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codeName="ThisWorkbook"/>
  <mc:AlternateContent xmlns:mc="http://schemas.openxmlformats.org/markup-compatibility/2006">
    <mc:Choice Requires="x15">
      <x15ac:absPath xmlns:x15ac="http://schemas.microsoft.com/office/spreadsheetml/2010/11/ac" url="C:\Users\k21\OneDrive - Oak Ridge National Laboratory\EPA Tools\RAD_Master QA Sheets\2019_Internal_Verification_Spreadsheets\"/>
    </mc:Choice>
  </mc:AlternateContent>
  <xr:revisionPtr revIDLastSave="4" documentId="13_ncr:1_{F9761E49-E285-48AE-91F8-BFB02284F1A7}" xr6:coauthVersionLast="43" xr6:coauthVersionMax="43" xr10:uidLastSave="{82BFD512-6045-41E1-93FD-3F316C981606}"/>
  <bookViews>
    <workbookView xWindow="-120" yWindow="-120" windowWidth="29040" windowHeight="15840" tabRatio="914" xr2:uid="{00000000-000D-0000-FFFF-FFFF00000000}"/>
  </bookViews>
  <sheets>
    <sheet name="Instructions" sheetId="29" r:id="rId1"/>
    <sheet name="RadSpec" sheetId="1" r:id="rId2"/>
    <sheet name="d" sheetId="30" r:id="rId3"/>
    <sheet name="d_ind" sheetId="7" r:id="rId4"/>
    <sheet name="d_out" sheetId="9" r:id="rId5"/>
    <sheet name="d_com" sheetId="11" r:id="rId6"/>
    <sheet name="d_con" sheetId="13" r:id="rId7"/>
    <sheet name="def_acf" sheetId="21" r:id="rId8"/>
    <sheet name="s_RadSpec" sheetId="6" r:id="rId9"/>
    <sheet name="s_ind" sheetId="8" r:id="rId10"/>
    <sheet name="s_out" sheetId="10" r:id="rId11"/>
    <sheet name="s_com" sheetId="12" r:id="rId12"/>
    <sheet name="s_con" sheetId="14" r:id="rId13"/>
    <sheet name="ss" sheetId="3" r:id="rId14"/>
    <sheet name="up_RadSpec" sheetId="28" r:id="rId15"/>
    <sheet name="up_ind" sheetId="24" r:id="rId16"/>
    <sheet name="up_out" sheetId="25" r:id="rId17"/>
    <sheet name="up_com" sheetId="26" r:id="rId18"/>
    <sheet name="up_con" sheetId="27" r:id="rId19"/>
  </sheets>
  <definedNames>
    <definedName name="_xlnm._FilterDatabase" localSheetId="5" hidden="1">d_com!$A$1:$N$76</definedName>
    <definedName name="_xlnm._FilterDatabase" localSheetId="6" hidden="1">d_con!$A$1:$AU$76</definedName>
    <definedName name="_xlnm._FilterDatabase" localSheetId="3" hidden="1">d_ind!$A$1:$N$76</definedName>
    <definedName name="_xlnm._FilterDatabase" localSheetId="4" hidden="1">d_out!$A$1:$N$76</definedName>
    <definedName name="_xlnm._FilterDatabase" localSheetId="7" hidden="1">def_acf!$A$1:$G$30</definedName>
    <definedName name="_xlnm._FilterDatabase" localSheetId="1" hidden="1">RadSpec!$A$1:$AK$30</definedName>
    <definedName name="_xlnm._FilterDatabase" localSheetId="11" hidden="1">s_com!$A$1:$AE$76</definedName>
    <definedName name="_xlnm._FilterDatabase" localSheetId="12" hidden="1">s_con!$A$1:$AU$76</definedName>
    <definedName name="_xlnm._FilterDatabase" localSheetId="9" hidden="1">s_ind!$A$1:$Y$76</definedName>
    <definedName name="_xlnm._FilterDatabase" localSheetId="10" hidden="1">s_out!$A$1:$AJ$76</definedName>
    <definedName name="_xlnm._FilterDatabase" localSheetId="8" hidden="1">s_RadSpec!$A$1:$AD$76</definedName>
    <definedName name="_xlnm._FilterDatabase" localSheetId="17" hidden="1">up_com!$A$1:$AJ$76</definedName>
    <definedName name="_xlnm._FilterDatabase" localSheetId="18" hidden="1">up_con!$A$1:$AU$76</definedName>
    <definedName name="_xlnm._FilterDatabase" localSheetId="15" hidden="1">up_ind!$A$1:$AJ$76</definedName>
    <definedName name="_xlnm._FilterDatabase" localSheetId="16" hidden="1">up_out!$A$1:$AJ$76</definedName>
    <definedName name="_xlnm._FilterDatabase" localSheetId="14" hidden="1">up_RadSpec!$A$1:$AK$30</definedName>
    <definedName name="A__sc">d!$W$31</definedName>
    <definedName name="A_excav">d!$W$14</definedName>
    <definedName name="A_R">d!$T$5</definedName>
    <definedName name="A_sc">d!$T$19</definedName>
    <definedName name="A_surf">d!$W$10</definedName>
    <definedName name="A_till">d!$W$23</definedName>
    <definedName name="A_wind">d!$Q$9</definedName>
    <definedName name="Ac">d!$T$15</definedName>
    <definedName name="Ac_doz">d!$W$26</definedName>
    <definedName name="Ac_grade">d!$W$25</definedName>
    <definedName name="As">d!$Q$8</definedName>
    <definedName name="B__sc">d!$W$32</definedName>
    <definedName name="B_doz">d!$W$27</definedName>
    <definedName name="B_grade">d!$W$28</definedName>
    <definedName name="B_sc">d!$T$20</definedName>
    <definedName name="B_wind">d!$Q$10</definedName>
    <definedName name="C_">d!$B$3</definedName>
    <definedName name="C__sc">d!$W$33</definedName>
    <definedName name="C_sc">d!$T$21</definedName>
    <definedName name="C_wind">d!$Q$11</definedName>
    <definedName name="d_excav">d!$W$15</definedName>
    <definedName name="distance">d!$T$11</definedName>
    <definedName name="DW_cw">d!$N$7</definedName>
    <definedName name="ED_com">d!$K$2</definedName>
    <definedName name="ED_con">d!$N$2</definedName>
    <definedName name="ED_ind">d!$E$2</definedName>
    <definedName name="ED_out">d!$H$2</definedName>
    <definedName name="EF_cw">d!$N$6</definedName>
    <definedName name="EF_iw">d!$E$6</definedName>
    <definedName name="EF_ow">d!$H$6</definedName>
    <definedName name="EF_w">d!$K$6</definedName>
    <definedName name="ET_cw_i">d!$N$10</definedName>
    <definedName name="ET_cw_o">d!$N$9</definedName>
    <definedName name="ET_iw_i">d!$E$8</definedName>
    <definedName name="ET_iw_o">d!$E$7</definedName>
    <definedName name="ET_ow_i">d!$H$8</definedName>
    <definedName name="ET_ow_o">d!$H$7</definedName>
    <definedName name="ET_w_i">d!$K$8</definedName>
    <definedName name="ET_w_o">d!$K$7</definedName>
    <definedName name="EW_cw">d!$N$8</definedName>
    <definedName name="F_D">d!$T$8</definedName>
    <definedName name="F_x">d!$Q$5</definedName>
    <definedName name="GSF_a">d!$B$5</definedName>
    <definedName name="GSF_i">d!$B$6</definedName>
    <definedName name="IRA_cw">d!$N$4</definedName>
    <definedName name="IRA_iw">d!$E$4</definedName>
    <definedName name="IRA_ow">d!$H$4</definedName>
    <definedName name="IRA_w">d!$K$4</definedName>
    <definedName name="IRS_cw">d!$N$5</definedName>
    <definedName name="IRS_iw">d!$E$5</definedName>
    <definedName name="IRS_ow">d!$H$5</definedName>
    <definedName name="IRS_w">d!$K$5</definedName>
    <definedName name="J__T">d!$W$4</definedName>
    <definedName name="K">d!$B$4</definedName>
    <definedName name="L_R">d!$T$10</definedName>
    <definedName name="M_doz">d!$W$7</definedName>
    <definedName name="M_dry">d!$T$16</definedName>
    <definedName name="M_excav">d!$W$6</definedName>
    <definedName name="M_grade">d!$W$8</definedName>
    <definedName name="M_m_doz">d!$W$19</definedName>
    <definedName name="M_m_excav">d!$W$17</definedName>
    <definedName name="M_pc_wind">d!$W$5</definedName>
    <definedName name="M_till">d!$W$9</definedName>
    <definedName name="N_A_doz">d!$W$29</definedName>
    <definedName name="N_A_dump">d!$W$16</definedName>
    <definedName name="N_A_grade">d!$W$30</definedName>
    <definedName name="N_A_till">d!$W$24</definedName>
    <definedName name="N_cars">d!$T$13</definedName>
    <definedName name="N_trucks">d!$T$14</definedName>
    <definedName name="p_days">d!$T$17</definedName>
    <definedName name="PEF__sc">d!$W$2</definedName>
    <definedName name="PEF_wind">d!$Q$2</definedName>
    <definedName name="PEFsc">d!$T$2</definedName>
    <definedName name="Q_C__sc">d!$W$3</definedName>
    <definedName name="Q_C_sc">d!$T$3</definedName>
    <definedName name="Q_C_wind">d!$Q$7</definedName>
    <definedName name="s">d!$T$18</definedName>
    <definedName name="s_A__sc">ss!$W$31</definedName>
    <definedName name="s_A_excav">ss!$W$14</definedName>
    <definedName name="s_A_R">ss!$T$5</definedName>
    <definedName name="s_A_sc">ss!$T$19</definedName>
    <definedName name="s_A_surf">ss!$W$10</definedName>
    <definedName name="s_A_till">ss!$W$23</definedName>
    <definedName name="s_A_wind">ss!$Q$9</definedName>
    <definedName name="s_Ac">ss!$T$15</definedName>
    <definedName name="s_Ac_doz">ss!$W$26</definedName>
    <definedName name="s_Ac_grade">ss!$W$25</definedName>
    <definedName name="s_As">ss!$Q$8</definedName>
    <definedName name="s_B__sc">ss!$W$32</definedName>
    <definedName name="s_B_doz">ss!$W$27</definedName>
    <definedName name="s_B_grade">ss!$W$28</definedName>
    <definedName name="s_B_sc">ss!$T$20</definedName>
    <definedName name="s_B_wind">ss!$Q$10</definedName>
    <definedName name="s_C">ss!$B$3</definedName>
    <definedName name="s_C__sc">ss!$W$33</definedName>
    <definedName name="s_C_sc">ss!$T$21</definedName>
    <definedName name="s_C_wind">ss!$Q$11</definedName>
    <definedName name="s_d_excav">ss!$W$15</definedName>
    <definedName name="s_distance">ss!$T$11</definedName>
    <definedName name="s_doz">d!$W$18</definedName>
    <definedName name="S_doz_speed">d!$W$20</definedName>
    <definedName name="s_DW_cw">ss!$N$7</definedName>
    <definedName name="s_ED_com">ss!$K$2</definedName>
    <definedName name="s_ED_con">ss!$N$2</definedName>
    <definedName name="s_ED_ind">ss!$E$2</definedName>
    <definedName name="s_ED_out">ss!$H$2</definedName>
    <definedName name="s_EF_cw">ss!$N$6</definedName>
    <definedName name="s_EF_iw">ss!$E$6</definedName>
    <definedName name="s_EF_ow">ss!$H$6</definedName>
    <definedName name="s_EF_w">ss!$K$6</definedName>
    <definedName name="s_ET_cw_i">ss!$N$10</definedName>
    <definedName name="s_ET_cw_o">ss!$N$9</definedName>
    <definedName name="s_ET_iw_i">ss!$E$8</definedName>
    <definedName name="s_ET_iw_o">ss!$E$7</definedName>
    <definedName name="s_ET_ow_i">ss!$H$8</definedName>
    <definedName name="s_ET_ow_o">ss!$H$7</definedName>
    <definedName name="s_ET_w_i">ss!$K$8</definedName>
    <definedName name="s_ET_w_o">ss!$K$7</definedName>
    <definedName name="s_EW_cw">ss!$N$8</definedName>
    <definedName name="s_F_D">ss!$T$8</definedName>
    <definedName name="s_F_x">ss!$Q$5</definedName>
    <definedName name="S_grade">d!$W$21</definedName>
    <definedName name="s_GSF_a">ss!$B$5</definedName>
    <definedName name="s_GSF_i">ss!$B$6</definedName>
    <definedName name="s_IRA_cw">ss!$N$4</definedName>
    <definedName name="s_IRA_iw">ss!$E$4</definedName>
    <definedName name="s_IRA_ow">ss!$H$4</definedName>
    <definedName name="s_IRA_w">ss!$K$4</definedName>
    <definedName name="s_IRS_cw">ss!$N$5</definedName>
    <definedName name="s_IRS_iw">ss!$E$5</definedName>
    <definedName name="s_IRS_ow">ss!$H$5</definedName>
    <definedName name="s_IRS_w">ss!$K$5</definedName>
    <definedName name="s_J__T">ss!$W$4</definedName>
    <definedName name="s_K">ss!$B$4</definedName>
    <definedName name="s_L_R">ss!$T$10</definedName>
    <definedName name="s_M_doz">ss!$W$7</definedName>
    <definedName name="s_M_dry">ss!$T$16</definedName>
    <definedName name="s_M_excav">ss!$W$6</definedName>
    <definedName name="s_M_grade">ss!$W$8</definedName>
    <definedName name="s_M_m_doz">ss!$W$19</definedName>
    <definedName name="s_M_m_excav">ss!$W$17</definedName>
    <definedName name="s_M_pc_wind">ss!$W$5</definedName>
    <definedName name="s_M_till">ss!$W$9</definedName>
    <definedName name="s_N_A_doz">ss!$W$29</definedName>
    <definedName name="s_N_A_dump">ss!$W$16</definedName>
    <definedName name="s_N_A_grade">ss!$W$30</definedName>
    <definedName name="s_N_A_till">ss!$W$24</definedName>
    <definedName name="s_N_cars">ss!$T$13</definedName>
    <definedName name="s_N_trucks">ss!$T$14</definedName>
    <definedName name="s_p_days">ss!$T$17</definedName>
    <definedName name="s_PEF__sc">ss!$W$2</definedName>
    <definedName name="s_PEF_wind">ss!$Q$2</definedName>
    <definedName name="s_PEFsc">ss!$T$2</definedName>
    <definedName name="s_Q_C__sc">ss!$W$3</definedName>
    <definedName name="s_Q_C_sc">ss!$T$3</definedName>
    <definedName name="s_Q_C_wind">ss!$Q$7</definedName>
    <definedName name="s_s">ss!$T$18</definedName>
    <definedName name="s_s_doz">ss!$W$18</definedName>
    <definedName name="s_S_doz_speed">ss!$W$20</definedName>
    <definedName name="s_S_grade">ss!$W$21</definedName>
    <definedName name="s_s_till">ss!$W$22</definedName>
    <definedName name="s_t_c">ss!$T$9</definedName>
    <definedName name="s_t_com">ss!$K$3</definedName>
    <definedName name="s_t_con">ss!$N$3</definedName>
    <definedName name="s_t_ind">ss!$E$3</definedName>
    <definedName name="s_t_out">ss!$H$3</definedName>
    <definedName name="s_T_t">ss!$T$4</definedName>
    <definedName name="s_till">d!$W$22</definedName>
    <definedName name="s_TR">ss!$B$2</definedName>
    <definedName name="s_Um">ss!$Q$3</definedName>
    <definedName name="s_Ut">ss!$Q$4</definedName>
    <definedName name="s_V">ss!$Q$6</definedName>
    <definedName name="s_W">ss!$T$6</definedName>
    <definedName name="s_W_R">ss!$T$12</definedName>
    <definedName name="s_ρ_soil">ss!$W$13</definedName>
    <definedName name="s_Σ_VKT">ss!$T$7</definedName>
    <definedName name="s_Σ_VKT_doz">ss!$W$11</definedName>
    <definedName name="s_Σ_VKT_grade">ss!$W$12</definedName>
    <definedName name="t_c">d!$T$9</definedName>
    <definedName name="t_com">d!$K$3</definedName>
    <definedName name="t_con">d!$N$3</definedName>
    <definedName name="t_ind">d!$E$3</definedName>
    <definedName name="t_out">d!$H$3</definedName>
    <definedName name="T_t">d!$T$4</definedName>
    <definedName name="TR">d!$B$2</definedName>
    <definedName name="Um">d!$Q$3</definedName>
    <definedName name="Ut">d!$Q$4</definedName>
    <definedName name="V">d!$Q$6</definedName>
    <definedName name="W">d!$T$6</definedName>
    <definedName name="W_R">d!$T$12</definedName>
    <definedName name="ρ_soil">d!$W$13</definedName>
    <definedName name="Σ_VKT">d!$T$7</definedName>
    <definedName name="Σ_VKT_doz">d!$W$11</definedName>
    <definedName name="Σ_VKT_grade">d!$W$12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G76" i="26" l="1"/>
  <c r="AF76" i="26"/>
  <c r="I76" i="26"/>
  <c r="H76" i="26"/>
  <c r="G76" i="26"/>
  <c r="AG75" i="26"/>
  <c r="AF75" i="26"/>
  <c r="T75" i="26"/>
  <c r="H75" i="26"/>
  <c r="G75" i="26"/>
  <c r="AG74" i="26"/>
  <c r="AF74" i="26"/>
  <c r="I74" i="26"/>
  <c r="H74" i="26"/>
  <c r="G74" i="26"/>
  <c r="AG73" i="26"/>
  <c r="AF73" i="26"/>
  <c r="T73" i="26"/>
  <c r="H73" i="26"/>
  <c r="G73" i="26"/>
  <c r="AG72" i="26"/>
  <c r="AF72" i="26"/>
  <c r="I72" i="26"/>
  <c r="H72" i="26"/>
  <c r="G72" i="26"/>
  <c r="AG71" i="26"/>
  <c r="AF71" i="26"/>
  <c r="T71" i="26"/>
  <c r="H71" i="26"/>
  <c r="G71" i="26"/>
  <c r="AG70" i="26"/>
  <c r="AF70" i="26"/>
  <c r="I70" i="26"/>
  <c r="H70" i="26"/>
  <c r="G70" i="26"/>
  <c r="AG69" i="26"/>
  <c r="AF69" i="26"/>
  <c r="T69" i="26"/>
  <c r="H69" i="26"/>
  <c r="G69" i="26"/>
  <c r="AG68" i="26"/>
  <c r="AF68" i="26"/>
  <c r="I68" i="26"/>
  <c r="H68" i="26"/>
  <c r="G68" i="26"/>
  <c r="AG67" i="26"/>
  <c r="AF67" i="26"/>
  <c r="T67" i="26"/>
  <c r="H67" i="26"/>
  <c r="G67" i="26"/>
  <c r="AG66" i="26"/>
  <c r="AF66" i="26"/>
  <c r="I66" i="26"/>
  <c r="H66" i="26"/>
  <c r="G66" i="26"/>
  <c r="AG65" i="26"/>
  <c r="AF65" i="26"/>
  <c r="T65" i="26"/>
  <c r="H65" i="26"/>
  <c r="G65" i="26"/>
  <c r="AG64" i="26"/>
  <c r="AF64" i="26"/>
  <c r="I64" i="26"/>
  <c r="H64" i="26"/>
  <c r="G64" i="26"/>
  <c r="AG62" i="26"/>
  <c r="AF62" i="26"/>
  <c r="T62" i="26"/>
  <c r="H62" i="26"/>
  <c r="G62" i="26"/>
  <c r="AG61" i="26"/>
  <c r="AF61" i="26"/>
  <c r="I61" i="26"/>
  <c r="H61" i="26"/>
  <c r="G61" i="26"/>
  <c r="AG60" i="26"/>
  <c r="AF60" i="26"/>
  <c r="T60" i="26"/>
  <c r="H60" i="26"/>
  <c r="G60" i="26"/>
  <c r="AG59" i="26"/>
  <c r="AF59" i="26"/>
  <c r="I59" i="26"/>
  <c r="H59" i="26"/>
  <c r="G59" i="26"/>
  <c r="AG58" i="26"/>
  <c r="AF58" i="26"/>
  <c r="T58" i="26"/>
  <c r="H58" i="26"/>
  <c r="G58" i="26"/>
  <c r="AG57" i="26"/>
  <c r="AF57" i="26"/>
  <c r="I57" i="26"/>
  <c r="H57" i="26"/>
  <c r="G57" i="26"/>
  <c r="AG56" i="26"/>
  <c r="AF56" i="26"/>
  <c r="T56" i="26"/>
  <c r="H56" i="26"/>
  <c r="G56" i="26"/>
  <c r="AG55" i="26"/>
  <c r="AF55" i="26"/>
  <c r="I55" i="26"/>
  <c r="H55" i="26"/>
  <c r="G55" i="26"/>
  <c r="AG54" i="26"/>
  <c r="AF54" i="26"/>
  <c r="T54" i="26"/>
  <c r="H54" i="26"/>
  <c r="G54" i="26"/>
  <c r="AG53" i="26"/>
  <c r="AF53" i="26"/>
  <c r="I53" i="26"/>
  <c r="H53" i="26"/>
  <c r="G53" i="26"/>
  <c r="AG52" i="26"/>
  <c r="AF52" i="26"/>
  <c r="T52" i="26"/>
  <c r="H52" i="26"/>
  <c r="G52" i="26"/>
  <c r="AG51" i="26"/>
  <c r="AF51" i="26"/>
  <c r="I51" i="26"/>
  <c r="H51" i="26"/>
  <c r="G51" i="26"/>
  <c r="AG50" i="26"/>
  <c r="AF50" i="26"/>
  <c r="T50" i="26"/>
  <c r="H50" i="26"/>
  <c r="G50" i="26"/>
  <c r="AG49" i="26"/>
  <c r="AF49" i="26"/>
  <c r="I49" i="26"/>
  <c r="L49" i="26" s="1"/>
  <c r="H49" i="26"/>
  <c r="G49" i="26"/>
  <c r="AG47" i="26"/>
  <c r="AF47" i="26"/>
  <c r="T47" i="26"/>
  <c r="H47" i="26"/>
  <c r="G47" i="26"/>
  <c r="AG46" i="26"/>
  <c r="AF46" i="26"/>
  <c r="I46" i="26"/>
  <c r="H46" i="26"/>
  <c r="G46" i="26"/>
  <c r="AG44" i="26"/>
  <c r="AF44" i="26"/>
  <c r="AH44" i="26" s="1"/>
  <c r="T44" i="26"/>
  <c r="Y44" i="26" s="1"/>
  <c r="H44" i="26"/>
  <c r="G44" i="26"/>
  <c r="AG43" i="26"/>
  <c r="AF43" i="26"/>
  <c r="V43" i="26"/>
  <c r="AA43" i="26" s="1"/>
  <c r="I43" i="26"/>
  <c r="L43" i="26" s="1"/>
  <c r="H43" i="26"/>
  <c r="G43" i="26"/>
  <c r="AG42" i="26"/>
  <c r="AF42" i="26"/>
  <c r="T42" i="26"/>
  <c r="Y42" i="26" s="1"/>
  <c r="H42" i="26"/>
  <c r="G42" i="26"/>
  <c r="AG41" i="26"/>
  <c r="AF41" i="26"/>
  <c r="I41" i="26"/>
  <c r="H41" i="26"/>
  <c r="G41" i="26"/>
  <c r="AG40" i="26"/>
  <c r="AF40" i="26"/>
  <c r="T40" i="26"/>
  <c r="H40" i="26"/>
  <c r="G40" i="26"/>
  <c r="AG39" i="26"/>
  <c r="AF39" i="26"/>
  <c r="I39" i="26"/>
  <c r="H39" i="26"/>
  <c r="G39" i="26"/>
  <c r="AG38" i="26"/>
  <c r="AF38" i="26"/>
  <c r="T38" i="26"/>
  <c r="H38" i="26"/>
  <c r="G38" i="26"/>
  <c r="AG37" i="26"/>
  <c r="AF37" i="26"/>
  <c r="I37" i="26"/>
  <c r="H37" i="26"/>
  <c r="G37" i="26"/>
  <c r="AG36" i="26"/>
  <c r="AF36" i="26"/>
  <c r="T36" i="26"/>
  <c r="Y36" i="26" s="1"/>
  <c r="H36" i="26"/>
  <c r="G36" i="26"/>
  <c r="AG35" i="26"/>
  <c r="AF35" i="26"/>
  <c r="V35" i="26"/>
  <c r="AA35" i="26" s="1"/>
  <c r="I35" i="26"/>
  <c r="L35" i="26" s="1"/>
  <c r="H35" i="26"/>
  <c r="G35" i="26"/>
  <c r="AG34" i="26"/>
  <c r="AF34" i="26"/>
  <c r="T34" i="26"/>
  <c r="H34" i="26"/>
  <c r="G34" i="26"/>
  <c r="AG33" i="26"/>
  <c r="AF33" i="26"/>
  <c r="I33" i="26"/>
  <c r="L33" i="26" s="1"/>
  <c r="H33" i="26"/>
  <c r="G33" i="26"/>
  <c r="AG32" i="26"/>
  <c r="AF32" i="26"/>
  <c r="T32" i="26"/>
  <c r="H32" i="26"/>
  <c r="G32" i="26"/>
  <c r="AD30" i="26"/>
  <c r="AC30" i="26"/>
  <c r="W30" i="26"/>
  <c r="W35" i="26" s="1"/>
  <c r="AB35" i="26" s="1"/>
  <c r="V30" i="26"/>
  <c r="U30" i="26"/>
  <c r="U35" i="26" s="1"/>
  <c r="T30" i="26"/>
  <c r="T35" i="26" s="1"/>
  <c r="Y35" i="26" s="1"/>
  <c r="S30" i="26"/>
  <c r="S35" i="26" s="1"/>
  <c r="R30" i="26"/>
  <c r="Q30" i="26"/>
  <c r="P30" i="26"/>
  <c r="O30" i="26"/>
  <c r="N30" i="26"/>
  <c r="I30" i="26"/>
  <c r="E30" i="26"/>
  <c r="D30" i="26"/>
  <c r="C30" i="26"/>
  <c r="C35" i="26" s="1"/>
  <c r="AD29" i="26"/>
  <c r="AC29" i="26"/>
  <c r="W29" i="26"/>
  <c r="W71" i="26" s="1"/>
  <c r="V29" i="26"/>
  <c r="V71" i="26" s="1"/>
  <c r="U29" i="26"/>
  <c r="U57" i="26" s="1"/>
  <c r="T29" i="26"/>
  <c r="T57" i="26" s="1"/>
  <c r="S29" i="26"/>
  <c r="S71" i="26" s="1"/>
  <c r="R29" i="26"/>
  <c r="Q29" i="26"/>
  <c r="P29" i="26"/>
  <c r="O29" i="26"/>
  <c r="N29" i="26"/>
  <c r="I29" i="26"/>
  <c r="I71" i="26" s="1"/>
  <c r="E29" i="26"/>
  <c r="D29" i="26"/>
  <c r="C29" i="26"/>
  <c r="F29" i="26" s="1"/>
  <c r="AD28" i="26"/>
  <c r="AC28" i="26"/>
  <c r="W28" i="26"/>
  <c r="W43" i="26" s="1"/>
  <c r="V28" i="26"/>
  <c r="U28" i="26"/>
  <c r="U43" i="26" s="1"/>
  <c r="T28" i="26"/>
  <c r="T43" i="26" s="1"/>
  <c r="S28" i="26"/>
  <c r="S43" i="26" s="1"/>
  <c r="R28" i="26"/>
  <c r="R43" i="26" s="1"/>
  <c r="Q28" i="26"/>
  <c r="P28" i="26"/>
  <c r="O28" i="26"/>
  <c r="N28" i="26"/>
  <c r="N43" i="26" s="1"/>
  <c r="I28" i="26"/>
  <c r="E28" i="26"/>
  <c r="D28" i="26"/>
  <c r="C28" i="26"/>
  <c r="C43" i="26" s="1"/>
  <c r="AD27" i="26"/>
  <c r="AC27" i="26"/>
  <c r="W27" i="26"/>
  <c r="W62" i="26" s="1"/>
  <c r="V27" i="26"/>
  <c r="V62" i="26" s="1"/>
  <c r="U27" i="26"/>
  <c r="U76" i="26" s="1"/>
  <c r="T27" i="26"/>
  <c r="T76" i="26" s="1"/>
  <c r="S27" i="26"/>
  <c r="S62" i="26" s="1"/>
  <c r="R27" i="26"/>
  <c r="Q27" i="26"/>
  <c r="P27" i="26"/>
  <c r="O27" i="26"/>
  <c r="N27" i="26"/>
  <c r="I27" i="26"/>
  <c r="I62" i="26" s="1"/>
  <c r="E27" i="26"/>
  <c r="D27" i="26"/>
  <c r="C27" i="26"/>
  <c r="AD26" i="26"/>
  <c r="AC26" i="26"/>
  <c r="W26" i="26"/>
  <c r="W36" i="26" s="1"/>
  <c r="AB36" i="26" s="1"/>
  <c r="V26" i="26"/>
  <c r="V36" i="26" s="1"/>
  <c r="U26" i="26"/>
  <c r="U36" i="26" s="1"/>
  <c r="T26" i="26"/>
  <c r="S26" i="26"/>
  <c r="S36" i="26" s="1"/>
  <c r="R26" i="26"/>
  <c r="R36" i="26" s="1"/>
  <c r="Q26" i="26"/>
  <c r="P26" i="26"/>
  <c r="O26" i="26"/>
  <c r="N26" i="26"/>
  <c r="I26" i="26"/>
  <c r="I36" i="26" s="1"/>
  <c r="L36" i="26" s="1"/>
  <c r="E26" i="26"/>
  <c r="D26" i="26"/>
  <c r="C26" i="26"/>
  <c r="AD25" i="26"/>
  <c r="AC25" i="26"/>
  <c r="W25" i="26"/>
  <c r="W50" i="26" s="1"/>
  <c r="V25" i="26"/>
  <c r="V50" i="26" s="1"/>
  <c r="U25" i="26"/>
  <c r="U64" i="26" s="1"/>
  <c r="T25" i="26"/>
  <c r="T64" i="26" s="1"/>
  <c r="S25" i="26"/>
  <c r="S50" i="26" s="1"/>
  <c r="R25" i="26"/>
  <c r="Q25" i="26"/>
  <c r="P25" i="26"/>
  <c r="O25" i="26"/>
  <c r="N25" i="26"/>
  <c r="N64" i="26" s="1"/>
  <c r="I25" i="26"/>
  <c r="I50" i="26" s="1"/>
  <c r="E25" i="26"/>
  <c r="D25" i="26"/>
  <c r="C25" i="26"/>
  <c r="F25" i="26" s="1"/>
  <c r="AD24" i="26"/>
  <c r="AC24" i="26"/>
  <c r="W24" i="26"/>
  <c r="W69" i="26" s="1"/>
  <c r="V24" i="26"/>
  <c r="V69" i="26" s="1"/>
  <c r="U24" i="26"/>
  <c r="U55" i="26" s="1"/>
  <c r="T24" i="26"/>
  <c r="T55" i="26" s="1"/>
  <c r="S24" i="26"/>
  <c r="S69" i="26" s="1"/>
  <c r="R24" i="26"/>
  <c r="Q24" i="26"/>
  <c r="P24" i="26"/>
  <c r="O24" i="26"/>
  <c r="N24" i="26"/>
  <c r="I24" i="26"/>
  <c r="I69" i="26" s="1"/>
  <c r="E24" i="26"/>
  <c r="D24" i="26"/>
  <c r="C24" i="26"/>
  <c r="AD23" i="26"/>
  <c r="AC23" i="26"/>
  <c r="W23" i="26"/>
  <c r="W49" i="26" s="1"/>
  <c r="V23" i="26"/>
  <c r="V49" i="26" s="1"/>
  <c r="U23" i="26"/>
  <c r="U49" i="26" s="1"/>
  <c r="T23" i="26"/>
  <c r="T49" i="26" s="1"/>
  <c r="S23" i="26"/>
  <c r="S49" i="26" s="1"/>
  <c r="R23" i="26"/>
  <c r="R49" i="26" s="1"/>
  <c r="Q23" i="26"/>
  <c r="P23" i="26"/>
  <c r="O23" i="26"/>
  <c r="N23" i="26"/>
  <c r="N49" i="26" s="1"/>
  <c r="I23" i="26"/>
  <c r="E23" i="26"/>
  <c r="D23" i="26"/>
  <c r="C23" i="26"/>
  <c r="AD22" i="26"/>
  <c r="AC22" i="26"/>
  <c r="W22" i="26"/>
  <c r="W37" i="26" s="1"/>
  <c r="V22" i="26"/>
  <c r="V37" i="26" s="1"/>
  <c r="AA37" i="26" s="1"/>
  <c r="U22" i="26"/>
  <c r="U37" i="26" s="1"/>
  <c r="Z37" i="26" s="1"/>
  <c r="T22" i="26"/>
  <c r="T37" i="26" s="1"/>
  <c r="S22" i="26"/>
  <c r="S37" i="26" s="1"/>
  <c r="R22" i="26"/>
  <c r="Q22" i="26"/>
  <c r="P22" i="26"/>
  <c r="O22" i="26"/>
  <c r="N22" i="26"/>
  <c r="I22" i="26"/>
  <c r="E22" i="26"/>
  <c r="D22" i="26"/>
  <c r="C22" i="26"/>
  <c r="C37" i="26" s="1"/>
  <c r="AD21" i="26"/>
  <c r="AC21" i="26"/>
  <c r="W21" i="26"/>
  <c r="W65" i="26" s="1"/>
  <c r="V21" i="26"/>
  <c r="V65" i="26" s="1"/>
  <c r="U21" i="26"/>
  <c r="U51" i="26" s="1"/>
  <c r="T21" i="26"/>
  <c r="T51" i="26" s="1"/>
  <c r="S21" i="26"/>
  <c r="S65" i="26" s="1"/>
  <c r="R21" i="26"/>
  <c r="Q21" i="26"/>
  <c r="P21" i="26"/>
  <c r="O21" i="26"/>
  <c r="N21" i="26"/>
  <c r="I21" i="26"/>
  <c r="I65" i="26" s="1"/>
  <c r="E21" i="26"/>
  <c r="D21" i="26"/>
  <c r="C21" i="26"/>
  <c r="AD20" i="26"/>
  <c r="AC20" i="26"/>
  <c r="W20" i="26"/>
  <c r="W56" i="26" s="1"/>
  <c r="V20" i="26"/>
  <c r="V56" i="26" s="1"/>
  <c r="U20" i="26"/>
  <c r="U70" i="26" s="1"/>
  <c r="T20" i="26"/>
  <c r="T70" i="26" s="1"/>
  <c r="S20" i="26"/>
  <c r="S56" i="26" s="1"/>
  <c r="R20" i="26"/>
  <c r="Q20" i="26"/>
  <c r="P20" i="26"/>
  <c r="O20" i="26"/>
  <c r="N20" i="26"/>
  <c r="I20" i="26"/>
  <c r="I56" i="26" s="1"/>
  <c r="E20" i="26"/>
  <c r="D20" i="26"/>
  <c r="C20" i="26"/>
  <c r="AD19" i="26"/>
  <c r="AC19" i="26"/>
  <c r="W19" i="26"/>
  <c r="W42" i="26" s="1"/>
  <c r="V19" i="26"/>
  <c r="V42" i="26" s="1"/>
  <c r="AA42" i="26" s="1"/>
  <c r="U19" i="26"/>
  <c r="U42" i="26" s="1"/>
  <c r="Z42" i="26" s="1"/>
  <c r="T19" i="26"/>
  <c r="S19" i="26"/>
  <c r="S42" i="26" s="1"/>
  <c r="R19" i="26"/>
  <c r="Q19" i="26"/>
  <c r="P19" i="26"/>
  <c r="O19" i="26"/>
  <c r="N19" i="26"/>
  <c r="I19" i="26"/>
  <c r="I42" i="26" s="1"/>
  <c r="E19" i="26"/>
  <c r="D19" i="26"/>
  <c r="C19" i="26"/>
  <c r="C42" i="26" s="1"/>
  <c r="AD18" i="26"/>
  <c r="AC18" i="26"/>
  <c r="W18" i="26"/>
  <c r="W75" i="26" s="1"/>
  <c r="V18" i="26"/>
  <c r="V75" i="26" s="1"/>
  <c r="U18" i="26"/>
  <c r="U61" i="26" s="1"/>
  <c r="T18" i="26"/>
  <c r="T61" i="26" s="1"/>
  <c r="S18" i="26"/>
  <c r="S75" i="26" s="1"/>
  <c r="R18" i="26"/>
  <c r="Q18" i="26"/>
  <c r="P18" i="26"/>
  <c r="O18" i="26"/>
  <c r="N18" i="26"/>
  <c r="I18" i="26"/>
  <c r="I75" i="26" s="1"/>
  <c r="E18" i="26"/>
  <c r="D18" i="26"/>
  <c r="C18" i="26"/>
  <c r="AD17" i="26"/>
  <c r="AC17" i="26"/>
  <c r="W17" i="26"/>
  <c r="W52" i="26" s="1"/>
  <c r="V17" i="26"/>
  <c r="V52" i="26" s="1"/>
  <c r="U17" i="26"/>
  <c r="U66" i="26" s="1"/>
  <c r="T17" i="26"/>
  <c r="T66" i="26" s="1"/>
  <c r="S17" i="26"/>
  <c r="S52" i="26" s="1"/>
  <c r="R17" i="26"/>
  <c r="Q17" i="26"/>
  <c r="P17" i="26"/>
  <c r="O17" i="26"/>
  <c r="N17" i="26"/>
  <c r="I17" i="26"/>
  <c r="I52" i="26" s="1"/>
  <c r="E17" i="26"/>
  <c r="D17" i="26"/>
  <c r="C17" i="26"/>
  <c r="AD16" i="26"/>
  <c r="AC16" i="26"/>
  <c r="W16" i="26"/>
  <c r="W58" i="26" s="1"/>
  <c r="V16" i="26"/>
  <c r="V58" i="26" s="1"/>
  <c r="U16" i="26"/>
  <c r="U72" i="26" s="1"/>
  <c r="T16" i="26"/>
  <c r="T72" i="26" s="1"/>
  <c r="S16" i="26"/>
  <c r="S58" i="26" s="1"/>
  <c r="R16" i="26"/>
  <c r="Q16" i="26"/>
  <c r="P16" i="26"/>
  <c r="O16" i="26"/>
  <c r="N16" i="26"/>
  <c r="I16" i="26"/>
  <c r="I58" i="26" s="1"/>
  <c r="E16" i="26"/>
  <c r="D16" i="26"/>
  <c r="C16" i="26"/>
  <c r="AD15" i="26"/>
  <c r="AC15" i="26"/>
  <c r="W15" i="26"/>
  <c r="W44" i="26" s="1"/>
  <c r="AB44" i="26" s="1"/>
  <c r="V15" i="26"/>
  <c r="V44" i="26" s="1"/>
  <c r="AA44" i="26" s="1"/>
  <c r="U15" i="26"/>
  <c r="U44" i="26" s="1"/>
  <c r="T15" i="26"/>
  <c r="S15" i="26"/>
  <c r="S44" i="26" s="1"/>
  <c r="R15" i="26"/>
  <c r="R44" i="26" s="1"/>
  <c r="Q15" i="26"/>
  <c r="P15" i="26"/>
  <c r="O15" i="26"/>
  <c r="N15" i="26"/>
  <c r="N44" i="26" s="1"/>
  <c r="I15" i="26"/>
  <c r="I44" i="26" s="1"/>
  <c r="L44" i="26" s="1"/>
  <c r="E15" i="26"/>
  <c r="D15" i="26"/>
  <c r="C15" i="26"/>
  <c r="C44" i="26" s="1"/>
  <c r="F44" i="26" s="1"/>
  <c r="AD14" i="26"/>
  <c r="AC14" i="26"/>
  <c r="W14" i="26"/>
  <c r="W34" i="26" s="1"/>
  <c r="V14" i="26"/>
  <c r="V34" i="26" s="1"/>
  <c r="AA34" i="26" s="1"/>
  <c r="U14" i="26"/>
  <c r="U34" i="26" s="1"/>
  <c r="T14" i="26"/>
  <c r="S14" i="26"/>
  <c r="S34" i="26" s="1"/>
  <c r="R14" i="26"/>
  <c r="Q14" i="26"/>
  <c r="P14" i="26"/>
  <c r="O14" i="26"/>
  <c r="N14" i="26"/>
  <c r="I14" i="26"/>
  <c r="I34" i="26" s="1"/>
  <c r="E14" i="26"/>
  <c r="D14" i="26"/>
  <c r="C14" i="26"/>
  <c r="F14" i="26" s="1"/>
  <c r="AD13" i="26"/>
  <c r="AC13" i="26"/>
  <c r="W13" i="26"/>
  <c r="W33" i="26" s="1"/>
  <c r="AB33" i="26" s="1"/>
  <c r="V13" i="26"/>
  <c r="V33" i="26" s="1"/>
  <c r="AA33" i="26" s="1"/>
  <c r="U13" i="26"/>
  <c r="U33" i="26" s="1"/>
  <c r="T13" i="26"/>
  <c r="T33" i="26" s="1"/>
  <c r="S13" i="26"/>
  <c r="S33" i="26" s="1"/>
  <c r="R13" i="26"/>
  <c r="R33" i="26" s="1"/>
  <c r="Q13" i="26"/>
  <c r="P13" i="26"/>
  <c r="O13" i="26"/>
  <c r="N13" i="26"/>
  <c r="N33" i="26" s="1"/>
  <c r="I13" i="26"/>
  <c r="E13" i="26"/>
  <c r="D13" i="26"/>
  <c r="C13" i="26"/>
  <c r="C33" i="26" s="1"/>
  <c r="AD12" i="26"/>
  <c r="AC12" i="26"/>
  <c r="W12" i="26"/>
  <c r="W60" i="26" s="1"/>
  <c r="V12" i="26"/>
  <c r="V60" i="26" s="1"/>
  <c r="U12" i="26"/>
  <c r="U74" i="26" s="1"/>
  <c r="T12" i="26"/>
  <c r="T74" i="26" s="1"/>
  <c r="S12" i="26"/>
  <c r="S60" i="26" s="1"/>
  <c r="R12" i="26"/>
  <c r="Q12" i="26"/>
  <c r="P12" i="26"/>
  <c r="O12" i="26"/>
  <c r="N12" i="26"/>
  <c r="I12" i="26"/>
  <c r="I60" i="26" s="1"/>
  <c r="E12" i="26"/>
  <c r="D12" i="26"/>
  <c r="C12" i="26"/>
  <c r="AD11" i="26"/>
  <c r="AC11" i="26"/>
  <c r="W11" i="26"/>
  <c r="W39" i="26" s="1"/>
  <c r="AB39" i="26" s="1"/>
  <c r="V11" i="26"/>
  <c r="V39" i="26" s="1"/>
  <c r="AA39" i="26" s="1"/>
  <c r="U11" i="26"/>
  <c r="U39" i="26" s="1"/>
  <c r="T11" i="26"/>
  <c r="T39" i="26" s="1"/>
  <c r="S11" i="26"/>
  <c r="S39" i="26" s="1"/>
  <c r="R11" i="26"/>
  <c r="Q11" i="26"/>
  <c r="P11" i="26"/>
  <c r="O11" i="26"/>
  <c r="N11" i="26"/>
  <c r="I11" i="26"/>
  <c r="E11" i="26"/>
  <c r="D11" i="26"/>
  <c r="C11" i="26"/>
  <c r="C39" i="26" s="1"/>
  <c r="AD10" i="26"/>
  <c r="AC10" i="26"/>
  <c r="W10" i="26"/>
  <c r="W46" i="26" s="1"/>
  <c r="V10" i="26"/>
  <c r="V46" i="26" s="1"/>
  <c r="U10" i="26"/>
  <c r="U46" i="26" s="1"/>
  <c r="T10" i="26"/>
  <c r="T46" i="26" s="1"/>
  <c r="S10" i="26"/>
  <c r="S46" i="26" s="1"/>
  <c r="R10" i="26"/>
  <c r="R46" i="26" s="1"/>
  <c r="Q10" i="26"/>
  <c r="P10" i="26"/>
  <c r="O10" i="26"/>
  <c r="N10" i="26"/>
  <c r="N46" i="26" s="1"/>
  <c r="I10" i="26"/>
  <c r="E10" i="26"/>
  <c r="D10" i="26"/>
  <c r="C10" i="26"/>
  <c r="C46" i="26" s="1"/>
  <c r="AD9" i="26"/>
  <c r="AC9" i="26"/>
  <c r="W9" i="26"/>
  <c r="W54" i="26" s="1"/>
  <c r="V9" i="26"/>
  <c r="V54" i="26" s="1"/>
  <c r="U9" i="26"/>
  <c r="U68" i="26" s="1"/>
  <c r="T9" i="26"/>
  <c r="T68" i="26" s="1"/>
  <c r="S9" i="26"/>
  <c r="S54" i="26" s="1"/>
  <c r="R9" i="26"/>
  <c r="Q9" i="26"/>
  <c r="P9" i="26"/>
  <c r="O9" i="26"/>
  <c r="N9" i="26"/>
  <c r="I9" i="26"/>
  <c r="I54" i="26" s="1"/>
  <c r="E9" i="26"/>
  <c r="D9" i="26"/>
  <c r="C9" i="26"/>
  <c r="AD8" i="26"/>
  <c r="AC8" i="26"/>
  <c r="W8" i="26"/>
  <c r="W41" i="26" s="1"/>
  <c r="V8" i="26"/>
  <c r="V41" i="26" s="1"/>
  <c r="AA41" i="26" s="1"/>
  <c r="U8" i="26"/>
  <c r="U41" i="26" s="1"/>
  <c r="T8" i="26"/>
  <c r="T41" i="26" s="1"/>
  <c r="S8" i="26"/>
  <c r="S41" i="26" s="1"/>
  <c r="R8" i="26"/>
  <c r="Q8" i="26"/>
  <c r="P8" i="26"/>
  <c r="O8" i="26"/>
  <c r="N8" i="26"/>
  <c r="I8" i="26"/>
  <c r="E8" i="26"/>
  <c r="D8" i="26"/>
  <c r="C8" i="26"/>
  <c r="C41" i="26" s="1"/>
  <c r="AD7" i="26"/>
  <c r="AC7" i="26"/>
  <c r="W7" i="26"/>
  <c r="W73" i="26" s="1"/>
  <c r="V7" i="26"/>
  <c r="V73" i="26" s="1"/>
  <c r="U7" i="26"/>
  <c r="U59" i="26" s="1"/>
  <c r="T7" i="26"/>
  <c r="T59" i="26" s="1"/>
  <c r="S7" i="26"/>
  <c r="S73" i="26" s="1"/>
  <c r="R7" i="26"/>
  <c r="Q7" i="26"/>
  <c r="P7" i="26"/>
  <c r="O7" i="26"/>
  <c r="N7" i="26"/>
  <c r="I7" i="26"/>
  <c r="I73" i="26" s="1"/>
  <c r="E7" i="26"/>
  <c r="D7" i="26"/>
  <c r="C7" i="26"/>
  <c r="AD6" i="26"/>
  <c r="AC6" i="26"/>
  <c r="W6" i="26"/>
  <c r="W47" i="26" s="1"/>
  <c r="V6" i="26"/>
  <c r="V47" i="26" s="1"/>
  <c r="AA47" i="26" s="1"/>
  <c r="U6" i="26"/>
  <c r="U47" i="26" s="1"/>
  <c r="Z47" i="26" s="1"/>
  <c r="T6" i="26"/>
  <c r="S6" i="26"/>
  <c r="S47" i="26" s="1"/>
  <c r="R6" i="26"/>
  <c r="R47" i="26" s="1"/>
  <c r="Q6" i="26"/>
  <c r="P6" i="26"/>
  <c r="O6" i="26"/>
  <c r="N6" i="26"/>
  <c r="N47" i="26" s="1"/>
  <c r="I6" i="26"/>
  <c r="I47" i="26" s="1"/>
  <c r="L47" i="26" s="1"/>
  <c r="E6" i="26"/>
  <c r="D6" i="26"/>
  <c r="C6" i="26"/>
  <c r="C47" i="26" s="1"/>
  <c r="F47" i="26" s="1"/>
  <c r="AD5" i="26"/>
  <c r="AC5" i="26"/>
  <c r="W5" i="26"/>
  <c r="W67" i="26" s="1"/>
  <c r="AB67" i="26" s="1"/>
  <c r="V5" i="26"/>
  <c r="V67" i="26" s="1"/>
  <c r="U5" i="26"/>
  <c r="U53" i="26" s="1"/>
  <c r="T5" i="26"/>
  <c r="T53" i="26" s="1"/>
  <c r="S5" i="26"/>
  <c r="S67" i="26" s="1"/>
  <c r="R5" i="26"/>
  <c r="Q5" i="26"/>
  <c r="P5" i="26"/>
  <c r="O5" i="26"/>
  <c r="N5" i="26"/>
  <c r="I5" i="26"/>
  <c r="I67" i="26" s="1"/>
  <c r="E5" i="26"/>
  <c r="D5" i="26"/>
  <c r="C5" i="26"/>
  <c r="F5" i="26" s="1"/>
  <c r="AD4" i="26"/>
  <c r="AC4" i="26"/>
  <c r="W4" i="26"/>
  <c r="W40" i="26" s="1"/>
  <c r="AB40" i="26" s="1"/>
  <c r="V4" i="26"/>
  <c r="V40" i="26" s="1"/>
  <c r="AA40" i="26" s="1"/>
  <c r="U4" i="26"/>
  <c r="U40" i="26" s="1"/>
  <c r="Z40" i="26" s="1"/>
  <c r="T4" i="26"/>
  <c r="S4" i="26"/>
  <c r="S40" i="26" s="1"/>
  <c r="R4" i="26"/>
  <c r="R40" i="26" s="1"/>
  <c r="Q4" i="26"/>
  <c r="P4" i="26"/>
  <c r="O4" i="26"/>
  <c r="N4" i="26"/>
  <c r="N40" i="26" s="1"/>
  <c r="I4" i="26"/>
  <c r="I40" i="26" s="1"/>
  <c r="E4" i="26"/>
  <c r="D4" i="26"/>
  <c r="C4" i="26"/>
  <c r="AD3" i="26"/>
  <c r="AC3" i="26"/>
  <c r="W3" i="26"/>
  <c r="W32" i="26" s="1"/>
  <c r="V3" i="26"/>
  <c r="V32" i="26" s="1"/>
  <c r="U3" i="26"/>
  <c r="U32" i="26" s="1"/>
  <c r="T3" i="26"/>
  <c r="S3" i="26"/>
  <c r="S32" i="26" s="1"/>
  <c r="R3" i="26"/>
  <c r="Q3" i="26"/>
  <c r="P3" i="26"/>
  <c r="O3" i="26"/>
  <c r="N3" i="26"/>
  <c r="I3" i="26"/>
  <c r="I32" i="26" s="1"/>
  <c r="E3" i="26"/>
  <c r="D3" i="26"/>
  <c r="C3" i="26"/>
  <c r="C32" i="26" s="1"/>
  <c r="AD2" i="26"/>
  <c r="AD38" i="26" s="1"/>
  <c r="AC2" i="26"/>
  <c r="W2" i="26"/>
  <c r="W38" i="26" s="1"/>
  <c r="V2" i="26"/>
  <c r="V38" i="26" s="1"/>
  <c r="AA38" i="26" s="1"/>
  <c r="U2" i="26"/>
  <c r="U38" i="26" s="1"/>
  <c r="T2" i="26"/>
  <c r="S2" i="26"/>
  <c r="S38" i="26" s="1"/>
  <c r="R2" i="26"/>
  <c r="R38" i="26" s="1"/>
  <c r="Q2" i="26"/>
  <c r="P2" i="26"/>
  <c r="O2" i="26"/>
  <c r="N2" i="26"/>
  <c r="I2" i="26"/>
  <c r="I38" i="26" s="1"/>
  <c r="L38" i="26" s="1"/>
  <c r="E2" i="26"/>
  <c r="D2" i="26"/>
  <c r="C2" i="26"/>
  <c r="C38" i="26" s="1"/>
  <c r="F38" i="26" s="1"/>
  <c r="AC61" i="26"/>
  <c r="Q56" i="26"/>
  <c r="K51" i="26"/>
  <c r="AB49" i="26"/>
  <c r="K46" i="26"/>
  <c r="Y43" i="26"/>
  <c r="D43" i="26"/>
  <c r="K41" i="26"/>
  <c r="N38" i="26"/>
  <c r="P37" i="26"/>
  <c r="D35" i="26"/>
  <c r="K34" i="26"/>
  <c r="X33" i="26"/>
  <c r="O33" i="26"/>
  <c r="J33" i="26"/>
  <c r="AI32" i="26"/>
  <c r="AC32" i="26"/>
  <c r="AG30" i="26"/>
  <c r="AI35" i="26" s="1"/>
  <c r="AF30" i="26"/>
  <c r="AD35" i="26"/>
  <c r="AC35" i="26"/>
  <c r="Z35" i="26"/>
  <c r="X35" i="26"/>
  <c r="R35" i="26"/>
  <c r="Q35" i="26"/>
  <c r="P35" i="26"/>
  <c r="O35" i="26"/>
  <c r="N35" i="26"/>
  <c r="H30" i="26"/>
  <c r="K35" i="26" s="1"/>
  <c r="G30" i="26"/>
  <c r="E35" i="26"/>
  <c r="AG29" i="26"/>
  <c r="AF29" i="26"/>
  <c r="O71" i="26"/>
  <c r="H29" i="26"/>
  <c r="G29" i="26"/>
  <c r="AG28" i="26"/>
  <c r="AI43" i="26" s="1"/>
  <c r="AF28" i="26"/>
  <c r="AD43" i="26"/>
  <c r="AC43" i="26"/>
  <c r="AB43" i="26"/>
  <c r="Z43" i="26"/>
  <c r="X43" i="26"/>
  <c r="Q43" i="26"/>
  <c r="P43" i="26"/>
  <c r="O43" i="26"/>
  <c r="H28" i="26"/>
  <c r="K43" i="26" s="1"/>
  <c r="G28" i="26"/>
  <c r="E43" i="26"/>
  <c r="AG27" i="26"/>
  <c r="AF27" i="26"/>
  <c r="H27" i="26"/>
  <c r="G27" i="26"/>
  <c r="AG26" i="26"/>
  <c r="AI36" i="26" s="1"/>
  <c r="AF26" i="26"/>
  <c r="AJ36" i="26" s="1"/>
  <c r="AD36" i="26"/>
  <c r="AC36" i="26"/>
  <c r="AA36" i="26"/>
  <c r="Z36" i="26"/>
  <c r="X36" i="26"/>
  <c r="Q36" i="26"/>
  <c r="P36" i="26"/>
  <c r="O36" i="26"/>
  <c r="N36" i="26"/>
  <c r="H26" i="26"/>
  <c r="K36" i="26" s="1"/>
  <c r="G26" i="26"/>
  <c r="E36" i="26"/>
  <c r="D36" i="26"/>
  <c r="C36" i="26"/>
  <c r="AG25" i="26"/>
  <c r="AF25" i="26"/>
  <c r="AD64" i="26"/>
  <c r="R64" i="26"/>
  <c r="H25" i="26"/>
  <c r="G25" i="26"/>
  <c r="AG24" i="26"/>
  <c r="AF24" i="26"/>
  <c r="X69" i="26"/>
  <c r="H24" i="26"/>
  <c r="G24" i="26"/>
  <c r="C69" i="26"/>
  <c r="AG23" i="26"/>
  <c r="AF23" i="26"/>
  <c r="AD49" i="26"/>
  <c r="AC49" i="26"/>
  <c r="X49" i="26"/>
  <c r="Q49" i="26"/>
  <c r="P49" i="26"/>
  <c r="O49" i="26"/>
  <c r="H23" i="26"/>
  <c r="G23" i="26"/>
  <c r="E49" i="26"/>
  <c r="D49" i="26"/>
  <c r="C49" i="26"/>
  <c r="AG22" i="26"/>
  <c r="AI37" i="26" s="1"/>
  <c r="AF22" i="26"/>
  <c r="AD37" i="26"/>
  <c r="AC37" i="26"/>
  <c r="AE37" i="26" s="1"/>
  <c r="AB37" i="26"/>
  <c r="Y37" i="26"/>
  <c r="X37" i="26"/>
  <c r="R37" i="26"/>
  <c r="Q37" i="26"/>
  <c r="O37" i="26"/>
  <c r="N37" i="26"/>
  <c r="L37" i="26"/>
  <c r="H22" i="26"/>
  <c r="K37" i="26" s="1"/>
  <c r="G22" i="26"/>
  <c r="E37" i="26"/>
  <c r="D37" i="26"/>
  <c r="AG21" i="26"/>
  <c r="AF21" i="26"/>
  <c r="AE21" i="26"/>
  <c r="P65" i="26"/>
  <c r="H21" i="26"/>
  <c r="K65" i="26" s="1"/>
  <c r="G21" i="26"/>
  <c r="D65" i="26"/>
  <c r="AG20" i="26"/>
  <c r="AI70" i="26" s="1"/>
  <c r="AF20" i="26"/>
  <c r="Q70" i="26"/>
  <c r="H20" i="26"/>
  <c r="G20" i="26"/>
  <c r="AG19" i="26"/>
  <c r="AI42" i="26" s="1"/>
  <c r="AF19" i="26"/>
  <c r="AJ42" i="26" s="1"/>
  <c r="AD42" i="26"/>
  <c r="AC42" i="26"/>
  <c r="AB42" i="26"/>
  <c r="X42" i="26"/>
  <c r="R42" i="26"/>
  <c r="Q42" i="26"/>
  <c r="P42" i="26"/>
  <c r="O42" i="26"/>
  <c r="N42" i="26"/>
  <c r="L42" i="26"/>
  <c r="H19" i="26"/>
  <c r="K42" i="26" s="1"/>
  <c r="G19" i="26"/>
  <c r="J42" i="26" s="1"/>
  <c r="E42" i="26"/>
  <c r="F42" i="26" s="1"/>
  <c r="D42" i="26"/>
  <c r="AG18" i="26"/>
  <c r="AF18" i="26"/>
  <c r="AC75" i="26"/>
  <c r="H18" i="26"/>
  <c r="G18" i="26"/>
  <c r="AG17" i="26"/>
  <c r="AF17" i="26"/>
  <c r="AE17" i="26"/>
  <c r="H17" i="26"/>
  <c r="G17" i="26"/>
  <c r="C66" i="26"/>
  <c r="AG16" i="26"/>
  <c r="AF16" i="26"/>
  <c r="AC72" i="26"/>
  <c r="H16" i="26"/>
  <c r="G16" i="26"/>
  <c r="AG15" i="26"/>
  <c r="AI44" i="26" s="1"/>
  <c r="AF15" i="26"/>
  <c r="AJ44" i="26" s="1"/>
  <c r="AD44" i="26"/>
  <c r="AC44" i="26"/>
  <c r="Z44" i="26"/>
  <c r="X44" i="26"/>
  <c r="Q44" i="26"/>
  <c r="P44" i="26"/>
  <c r="O44" i="26"/>
  <c r="H15" i="26"/>
  <c r="K44" i="26" s="1"/>
  <c r="G15" i="26"/>
  <c r="E44" i="26"/>
  <c r="D44" i="26"/>
  <c r="AG14" i="26"/>
  <c r="AI34" i="26" s="1"/>
  <c r="AF14" i="26"/>
  <c r="AJ34" i="26" s="1"/>
  <c r="AD34" i="26"/>
  <c r="AC34" i="26"/>
  <c r="AB34" i="26"/>
  <c r="Z34" i="26"/>
  <c r="Y34" i="26"/>
  <c r="X34" i="26"/>
  <c r="R34" i="26"/>
  <c r="Q34" i="26"/>
  <c r="P34" i="26"/>
  <c r="O34" i="26"/>
  <c r="N34" i="26"/>
  <c r="L34" i="26"/>
  <c r="H14" i="26"/>
  <c r="G14" i="26"/>
  <c r="E34" i="26"/>
  <c r="D34" i="26"/>
  <c r="AG13" i="26"/>
  <c r="AF13" i="26"/>
  <c r="AD33" i="26"/>
  <c r="AC33" i="26"/>
  <c r="Z33" i="26"/>
  <c r="Y33" i="26"/>
  <c r="Q33" i="26"/>
  <c r="P33" i="26"/>
  <c r="H13" i="26"/>
  <c r="K33" i="26" s="1"/>
  <c r="G13" i="26"/>
  <c r="E33" i="26"/>
  <c r="D33" i="26"/>
  <c r="AG12" i="26"/>
  <c r="AF12" i="26"/>
  <c r="H12" i="26"/>
  <c r="K74" i="26" s="1"/>
  <c r="G12" i="26"/>
  <c r="AG11" i="26"/>
  <c r="AI39" i="26" s="1"/>
  <c r="AF11" i="26"/>
  <c r="AD39" i="26"/>
  <c r="AC39" i="26"/>
  <c r="Z39" i="26"/>
  <c r="Y39" i="26"/>
  <c r="X39" i="26"/>
  <c r="R39" i="26"/>
  <c r="Q39" i="26"/>
  <c r="P39" i="26"/>
  <c r="O39" i="26"/>
  <c r="N39" i="26"/>
  <c r="L39" i="26"/>
  <c r="H11" i="26"/>
  <c r="K39" i="26" s="1"/>
  <c r="G11" i="26"/>
  <c r="E39" i="26"/>
  <c r="D39" i="26"/>
  <c r="AG10" i="26"/>
  <c r="AF10" i="26"/>
  <c r="AD46" i="26"/>
  <c r="AC46" i="26"/>
  <c r="AB46" i="26"/>
  <c r="X45" i="26"/>
  <c r="Q46" i="26"/>
  <c r="P46" i="26"/>
  <c r="O46" i="26"/>
  <c r="L46" i="26"/>
  <c r="H10" i="26"/>
  <c r="G10" i="26"/>
  <c r="E46" i="26"/>
  <c r="D46" i="26"/>
  <c r="AG9" i="26"/>
  <c r="AF9" i="26"/>
  <c r="AE9" i="26"/>
  <c r="Z68" i="26"/>
  <c r="H9" i="26"/>
  <c r="G9" i="26"/>
  <c r="E68" i="26"/>
  <c r="AG8" i="26"/>
  <c r="AI41" i="26" s="1"/>
  <c r="AF8" i="26"/>
  <c r="AD41" i="26"/>
  <c r="AC41" i="26"/>
  <c r="AB41" i="26"/>
  <c r="Z41" i="26"/>
  <c r="Y41" i="26"/>
  <c r="X41" i="26"/>
  <c r="R41" i="26"/>
  <c r="Q41" i="26"/>
  <c r="P41" i="26"/>
  <c r="O41" i="26"/>
  <c r="N41" i="26"/>
  <c r="L41" i="26"/>
  <c r="H8" i="26"/>
  <c r="G8" i="26"/>
  <c r="E41" i="26"/>
  <c r="D41" i="26"/>
  <c r="AG7" i="26"/>
  <c r="AF7" i="26"/>
  <c r="AE7" i="26"/>
  <c r="H7" i="26"/>
  <c r="G7" i="26"/>
  <c r="F7" i="26"/>
  <c r="AG6" i="26"/>
  <c r="AI47" i="26" s="1"/>
  <c r="AF6" i="26"/>
  <c r="AJ47" i="26" s="1"/>
  <c r="AD47" i="26"/>
  <c r="AC47" i="26"/>
  <c r="AB47" i="26"/>
  <c r="Y47" i="26"/>
  <c r="X47" i="26"/>
  <c r="Q47" i="26"/>
  <c r="P47" i="26"/>
  <c r="O47" i="26"/>
  <c r="H6" i="26"/>
  <c r="K47" i="26" s="1"/>
  <c r="G6" i="26"/>
  <c r="M47" i="26" s="1"/>
  <c r="E47" i="26"/>
  <c r="D47" i="26"/>
  <c r="AG5" i="26"/>
  <c r="AF5" i="26"/>
  <c r="H5" i="26"/>
  <c r="G5" i="26"/>
  <c r="AG4" i="26"/>
  <c r="AI40" i="26" s="1"/>
  <c r="AF4" i="26"/>
  <c r="AJ40" i="26" s="1"/>
  <c r="AD40" i="26"/>
  <c r="AC40" i="26"/>
  <c r="Y40" i="26"/>
  <c r="X40" i="26"/>
  <c r="Q40" i="26"/>
  <c r="P40" i="26"/>
  <c r="O40" i="26"/>
  <c r="L40" i="26"/>
  <c r="H4" i="26"/>
  <c r="K40" i="26" s="1"/>
  <c r="G4" i="26"/>
  <c r="M40" i="26" s="1"/>
  <c r="E40" i="26"/>
  <c r="D40" i="26"/>
  <c r="C40" i="26"/>
  <c r="F40" i="26" s="1"/>
  <c r="AG3" i="26"/>
  <c r="AF3" i="26"/>
  <c r="AD32" i="26"/>
  <c r="R32" i="26"/>
  <c r="Q32" i="26"/>
  <c r="Q31" i="26" s="1"/>
  <c r="P32" i="26"/>
  <c r="O32" i="26"/>
  <c r="N32" i="26"/>
  <c r="H3" i="26"/>
  <c r="G3" i="26"/>
  <c r="E32" i="26"/>
  <c r="D32" i="26"/>
  <c r="D31" i="26" s="1"/>
  <c r="AG2" i="26"/>
  <c r="AI38" i="26" s="1"/>
  <c r="AF2" i="26"/>
  <c r="AJ38" i="26" s="1"/>
  <c r="AC38" i="26"/>
  <c r="AB38" i="26"/>
  <c r="Z38" i="26"/>
  <c r="Y38" i="26"/>
  <c r="X38" i="26"/>
  <c r="Q38" i="26"/>
  <c r="P38" i="26"/>
  <c r="O38" i="26"/>
  <c r="H2" i="26"/>
  <c r="K38" i="26" s="1"/>
  <c r="G2" i="26"/>
  <c r="M38" i="26" s="1"/>
  <c r="E38" i="26"/>
  <c r="D38" i="26"/>
  <c r="AG76" i="25"/>
  <c r="AF76" i="25"/>
  <c r="I76" i="25"/>
  <c r="H76" i="25"/>
  <c r="G76" i="25"/>
  <c r="AG75" i="25"/>
  <c r="AF75" i="25"/>
  <c r="T75" i="25"/>
  <c r="H75" i="25"/>
  <c r="G75" i="25"/>
  <c r="AG74" i="25"/>
  <c r="AF74" i="25"/>
  <c r="I74" i="25"/>
  <c r="H74" i="25"/>
  <c r="G74" i="25"/>
  <c r="AG73" i="25"/>
  <c r="AF73" i="25"/>
  <c r="T73" i="25"/>
  <c r="H73" i="25"/>
  <c r="G73" i="25"/>
  <c r="AG72" i="25"/>
  <c r="AF72" i="25"/>
  <c r="I72" i="25"/>
  <c r="H72" i="25"/>
  <c r="G72" i="25"/>
  <c r="AG71" i="25"/>
  <c r="AF71" i="25"/>
  <c r="T71" i="25"/>
  <c r="H71" i="25"/>
  <c r="G71" i="25"/>
  <c r="AG70" i="25"/>
  <c r="AF70" i="25"/>
  <c r="V70" i="25"/>
  <c r="I70" i="25"/>
  <c r="H70" i="25"/>
  <c r="G70" i="25"/>
  <c r="AG69" i="25"/>
  <c r="AF69" i="25"/>
  <c r="T69" i="25"/>
  <c r="H69" i="25"/>
  <c r="G69" i="25"/>
  <c r="AG68" i="25"/>
  <c r="AF68" i="25"/>
  <c r="I68" i="25"/>
  <c r="H68" i="25"/>
  <c r="G68" i="25"/>
  <c r="AG67" i="25"/>
  <c r="AF67" i="25"/>
  <c r="T67" i="25"/>
  <c r="H67" i="25"/>
  <c r="G67" i="25"/>
  <c r="AG66" i="25"/>
  <c r="AF66" i="25"/>
  <c r="I66" i="25"/>
  <c r="H66" i="25"/>
  <c r="G66" i="25"/>
  <c r="AG65" i="25"/>
  <c r="AF65" i="25"/>
  <c r="T65" i="25"/>
  <c r="H65" i="25"/>
  <c r="G65" i="25"/>
  <c r="AG64" i="25"/>
  <c r="AF64" i="25"/>
  <c r="I64" i="25"/>
  <c r="H64" i="25"/>
  <c r="G64" i="25"/>
  <c r="AG62" i="25"/>
  <c r="AF62" i="25"/>
  <c r="T62" i="25"/>
  <c r="H62" i="25"/>
  <c r="G62" i="25"/>
  <c r="AG61" i="25"/>
  <c r="AF61" i="25"/>
  <c r="V61" i="25"/>
  <c r="I61" i="25"/>
  <c r="H61" i="25"/>
  <c r="G61" i="25"/>
  <c r="AG60" i="25"/>
  <c r="AF60" i="25"/>
  <c r="T60" i="25"/>
  <c r="H60" i="25"/>
  <c r="G60" i="25"/>
  <c r="AG59" i="25"/>
  <c r="AF59" i="25"/>
  <c r="I59" i="25"/>
  <c r="H59" i="25"/>
  <c r="G59" i="25"/>
  <c r="AG58" i="25"/>
  <c r="AF58" i="25"/>
  <c r="T58" i="25"/>
  <c r="H58" i="25"/>
  <c r="G58" i="25"/>
  <c r="AG57" i="25"/>
  <c r="AF57" i="25"/>
  <c r="I57" i="25"/>
  <c r="H57" i="25"/>
  <c r="G57" i="25"/>
  <c r="AG56" i="25"/>
  <c r="AF56" i="25"/>
  <c r="T56" i="25"/>
  <c r="H56" i="25"/>
  <c r="G56" i="25"/>
  <c r="AG55" i="25"/>
  <c r="AF55" i="25"/>
  <c r="I55" i="25"/>
  <c r="H55" i="25"/>
  <c r="G55" i="25"/>
  <c r="AG54" i="25"/>
  <c r="AF54" i="25"/>
  <c r="T54" i="25"/>
  <c r="H54" i="25"/>
  <c r="G54" i="25"/>
  <c r="AG53" i="25"/>
  <c r="AF53" i="25"/>
  <c r="V53" i="25"/>
  <c r="H53" i="25"/>
  <c r="G53" i="25"/>
  <c r="AG52" i="25"/>
  <c r="AF52" i="25"/>
  <c r="T52" i="25"/>
  <c r="H52" i="25"/>
  <c r="G52" i="25"/>
  <c r="AG51" i="25"/>
  <c r="AF51" i="25"/>
  <c r="I51" i="25"/>
  <c r="H51" i="25"/>
  <c r="G51" i="25"/>
  <c r="AG50" i="25"/>
  <c r="AF50" i="25"/>
  <c r="T50" i="25"/>
  <c r="H50" i="25"/>
  <c r="G50" i="25"/>
  <c r="AG49" i="25"/>
  <c r="AF49" i="25"/>
  <c r="I49" i="25"/>
  <c r="H49" i="25"/>
  <c r="G49" i="25"/>
  <c r="AG47" i="25"/>
  <c r="AF47" i="25"/>
  <c r="T47" i="25"/>
  <c r="Y47" i="25" s="1"/>
  <c r="H47" i="25"/>
  <c r="G47" i="25"/>
  <c r="AG46" i="25"/>
  <c r="AF46" i="25"/>
  <c r="I46" i="25"/>
  <c r="H46" i="25"/>
  <c r="G46" i="25"/>
  <c r="AG44" i="25"/>
  <c r="AF44" i="25"/>
  <c r="T44" i="25"/>
  <c r="H44" i="25"/>
  <c r="G44" i="25"/>
  <c r="AG43" i="25"/>
  <c r="AF43" i="25"/>
  <c r="V43" i="25"/>
  <c r="I43" i="25"/>
  <c r="H43" i="25"/>
  <c r="G43" i="25"/>
  <c r="AG42" i="25"/>
  <c r="AF42" i="25"/>
  <c r="AH42" i="25" s="1"/>
  <c r="T42" i="25"/>
  <c r="H42" i="25"/>
  <c r="G42" i="25"/>
  <c r="AG41" i="25"/>
  <c r="AF41" i="25"/>
  <c r="I41" i="25"/>
  <c r="L41" i="25" s="1"/>
  <c r="H41" i="25"/>
  <c r="G41" i="25"/>
  <c r="AG40" i="25"/>
  <c r="AF40" i="25"/>
  <c r="H40" i="25"/>
  <c r="G40" i="25"/>
  <c r="AG39" i="25"/>
  <c r="AF39" i="25"/>
  <c r="I39" i="25"/>
  <c r="H39" i="25"/>
  <c r="G39" i="25"/>
  <c r="AG38" i="25"/>
  <c r="AF38" i="25"/>
  <c r="T38" i="25"/>
  <c r="Y38" i="25" s="1"/>
  <c r="H38" i="25"/>
  <c r="G38" i="25"/>
  <c r="AG37" i="25"/>
  <c r="AF37" i="25"/>
  <c r="I37" i="25"/>
  <c r="H37" i="25"/>
  <c r="G37" i="25"/>
  <c r="AG36" i="25"/>
  <c r="AF36" i="25"/>
  <c r="T36" i="25"/>
  <c r="H36" i="25"/>
  <c r="G36" i="25"/>
  <c r="AG35" i="25"/>
  <c r="AF35" i="25"/>
  <c r="V35" i="25"/>
  <c r="I35" i="25"/>
  <c r="H35" i="25"/>
  <c r="G35" i="25"/>
  <c r="AG34" i="25"/>
  <c r="AF34" i="25"/>
  <c r="T34" i="25"/>
  <c r="H34" i="25"/>
  <c r="G34" i="25"/>
  <c r="AG33" i="25"/>
  <c r="AF33" i="25"/>
  <c r="I33" i="25"/>
  <c r="L33" i="25" s="1"/>
  <c r="H33" i="25"/>
  <c r="G33" i="25"/>
  <c r="AG32" i="25"/>
  <c r="AF32" i="25"/>
  <c r="H32" i="25"/>
  <c r="G32" i="25"/>
  <c r="AD30" i="25"/>
  <c r="AC30" i="25"/>
  <c r="W30" i="25"/>
  <c r="W35" i="25" s="1"/>
  <c r="V30" i="25"/>
  <c r="U30" i="25"/>
  <c r="U35" i="25" s="1"/>
  <c r="Z35" i="25" s="1"/>
  <c r="T30" i="25"/>
  <c r="T35" i="25" s="1"/>
  <c r="Y35" i="25" s="1"/>
  <c r="S30" i="25"/>
  <c r="S35" i="25" s="1"/>
  <c r="R30" i="25"/>
  <c r="Q30" i="25"/>
  <c r="P30" i="25"/>
  <c r="O30" i="25"/>
  <c r="N30" i="25"/>
  <c r="I30" i="25"/>
  <c r="E30" i="25"/>
  <c r="D30" i="25"/>
  <c r="C30" i="25"/>
  <c r="AD29" i="25"/>
  <c r="AC29" i="25"/>
  <c r="W29" i="25"/>
  <c r="W71" i="25" s="1"/>
  <c r="V29" i="25"/>
  <c r="V71" i="25" s="1"/>
  <c r="U29" i="25"/>
  <c r="U57" i="25" s="1"/>
  <c r="T29" i="25"/>
  <c r="T57" i="25" s="1"/>
  <c r="S29" i="25"/>
  <c r="S71" i="25" s="1"/>
  <c r="R29" i="25"/>
  <c r="Q29" i="25"/>
  <c r="P29" i="25"/>
  <c r="O29" i="25"/>
  <c r="N29" i="25"/>
  <c r="I29" i="25"/>
  <c r="I71" i="25" s="1"/>
  <c r="E29" i="25"/>
  <c r="D29" i="25"/>
  <c r="C29" i="25"/>
  <c r="AD28" i="25"/>
  <c r="AC28" i="25"/>
  <c r="W28" i="25"/>
  <c r="W43" i="25" s="1"/>
  <c r="V28" i="25"/>
  <c r="U28" i="25"/>
  <c r="U43" i="25" s="1"/>
  <c r="Z43" i="25" s="1"/>
  <c r="T28" i="25"/>
  <c r="T43" i="25" s="1"/>
  <c r="S28" i="25"/>
  <c r="S43" i="25" s="1"/>
  <c r="X43" i="25" s="1"/>
  <c r="R28" i="25"/>
  <c r="Q28" i="25"/>
  <c r="P28" i="25"/>
  <c r="O28" i="25"/>
  <c r="N28" i="25"/>
  <c r="I28" i="25"/>
  <c r="E28" i="25"/>
  <c r="D28" i="25"/>
  <c r="C28" i="25"/>
  <c r="AD27" i="25"/>
  <c r="AC27" i="25"/>
  <c r="W27" i="25"/>
  <c r="W62" i="25" s="1"/>
  <c r="V27" i="25"/>
  <c r="V62" i="25" s="1"/>
  <c r="U27" i="25"/>
  <c r="U76" i="25" s="1"/>
  <c r="T27" i="25"/>
  <c r="T76" i="25" s="1"/>
  <c r="S27" i="25"/>
  <c r="S62" i="25" s="1"/>
  <c r="R27" i="25"/>
  <c r="Q27" i="25"/>
  <c r="P27" i="25"/>
  <c r="O27" i="25"/>
  <c r="N27" i="25"/>
  <c r="I27" i="25"/>
  <c r="I62" i="25" s="1"/>
  <c r="E27" i="25"/>
  <c r="D27" i="25"/>
  <c r="C27" i="25"/>
  <c r="AD26" i="25"/>
  <c r="AC26" i="25"/>
  <c r="W26" i="25"/>
  <c r="W36" i="25" s="1"/>
  <c r="AB36" i="25" s="1"/>
  <c r="V26" i="25"/>
  <c r="V36" i="25" s="1"/>
  <c r="AA36" i="25" s="1"/>
  <c r="U26" i="25"/>
  <c r="U36" i="25" s="1"/>
  <c r="T26" i="25"/>
  <c r="S26" i="25"/>
  <c r="S36" i="25" s="1"/>
  <c r="R26" i="25"/>
  <c r="R36" i="25" s="1"/>
  <c r="Q26" i="25"/>
  <c r="P26" i="25"/>
  <c r="O26" i="25"/>
  <c r="N26" i="25"/>
  <c r="I26" i="25"/>
  <c r="I36" i="25" s="1"/>
  <c r="L36" i="25" s="1"/>
  <c r="E26" i="25"/>
  <c r="D26" i="25"/>
  <c r="C26" i="25"/>
  <c r="AD25" i="25"/>
  <c r="AC25" i="25"/>
  <c r="W25" i="25"/>
  <c r="W50" i="25" s="1"/>
  <c r="V25" i="25"/>
  <c r="V50" i="25" s="1"/>
  <c r="U25" i="25"/>
  <c r="U64" i="25" s="1"/>
  <c r="T25" i="25"/>
  <c r="T64" i="25" s="1"/>
  <c r="S25" i="25"/>
  <c r="S50" i="25" s="1"/>
  <c r="R25" i="25"/>
  <c r="Q25" i="25"/>
  <c r="P25" i="25"/>
  <c r="O25" i="25"/>
  <c r="N25" i="25"/>
  <c r="I25" i="25"/>
  <c r="I50" i="25" s="1"/>
  <c r="E25" i="25"/>
  <c r="D25" i="25"/>
  <c r="C25" i="25"/>
  <c r="F25" i="25" s="1"/>
  <c r="AD24" i="25"/>
  <c r="AC24" i="25"/>
  <c r="W24" i="25"/>
  <c r="W69" i="25" s="1"/>
  <c r="V24" i="25"/>
  <c r="V69" i="25" s="1"/>
  <c r="U24" i="25"/>
  <c r="U55" i="25" s="1"/>
  <c r="T24" i="25"/>
  <c r="T55" i="25" s="1"/>
  <c r="S24" i="25"/>
  <c r="S69" i="25" s="1"/>
  <c r="R24" i="25"/>
  <c r="Q24" i="25"/>
  <c r="P24" i="25"/>
  <c r="O24" i="25"/>
  <c r="N24" i="25"/>
  <c r="I24" i="25"/>
  <c r="I69" i="25" s="1"/>
  <c r="E24" i="25"/>
  <c r="D24" i="25"/>
  <c r="C24" i="25"/>
  <c r="F24" i="25" s="1"/>
  <c r="AD23" i="25"/>
  <c r="AC23" i="25"/>
  <c r="W23" i="25"/>
  <c r="W49" i="25" s="1"/>
  <c r="V23" i="25"/>
  <c r="V49" i="25" s="1"/>
  <c r="U23" i="25"/>
  <c r="U49" i="25" s="1"/>
  <c r="T23" i="25"/>
  <c r="T49" i="25" s="1"/>
  <c r="S23" i="25"/>
  <c r="S49" i="25" s="1"/>
  <c r="R23" i="25"/>
  <c r="R49" i="25" s="1"/>
  <c r="Q23" i="25"/>
  <c r="P23" i="25"/>
  <c r="O23" i="25"/>
  <c r="N23" i="25"/>
  <c r="N49" i="25" s="1"/>
  <c r="I23" i="25"/>
  <c r="E23" i="25"/>
  <c r="D23" i="25"/>
  <c r="C23" i="25"/>
  <c r="AD22" i="25"/>
  <c r="AC22" i="25"/>
  <c r="W22" i="25"/>
  <c r="W37" i="25" s="1"/>
  <c r="AB37" i="25" s="1"/>
  <c r="V22" i="25"/>
  <c r="V37" i="25" s="1"/>
  <c r="AA37" i="25" s="1"/>
  <c r="U22" i="25"/>
  <c r="U37" i="25" s="1"/>
  <c r="T22" i="25"/>
  <c r="T37" i="25" s="1"/>
  <c r="S22" i="25"/>
  <c r="S37" i="25" s="1"/>
  <c r="X37" i="25" s="1"/>
  <c r="R22" i="25"/>
  <c r="R37" i="25" s="1"/>
  <c r="Q22" i="25"/>
  <c r="P22" i="25"/>
  <c r="O22" i="25"/>
  <c r="N22" i="25"/>
  <c r="N37" i="25" s="1"/>
  <c r="I22" i="25"/>
  <c r="E22" i="25"/>
  <c r="D22" i="25"/>
  <c r="C22" i="25"/>
  <c r="AD21" i="25"/>
  <c r="AC21" i="25"/>
  <c r="W21" i="25"/>
  <c r="W65" i="25" s="1"/>
  <c r="V21" i="25"/>
  <c r="V65" i="25" s="1"/>
  <c r="U21" i="25"/>
  <c r="U51" i="25" s="1"/>
  <c r="T21" i="25"/>
  <c r="T51" i="25" s="1"/>
  <c r="S21" i="25"/>
  <c r="S65" i="25" s="1"/>
  <c r="R21" i="25"/>
  <c r="Q21" i="25"/>
  <c r="P21" i="25"/>
  <c r="O21" i="25"/>
  <c r="N21" i="25"/>
  <c r="I21" i="25"/>
  <c r="I65" i="25" s="1"/>
  <c r="E21" i="25"/>
  <c r="D21" i="25"/>
  <c r="C21" i="25"/>
  <c r="AD20" i="25"/>
  <c r="AC20" i="25"/>
  <c r="W20" i="25"/>
  <c r="W56" i="25" s="1"/>
  <c r="V20" i="25"/>
  <c r="V56" i="25" s="1"/>
  <c r="U20" i="25"/>
  <c r="U70" i="25" s="1"/>
  <c r="T20" i="25"/>
  <c r="T70" i="25" s="1"/>
  <c r="S20" i="25"/>
  <c r="S56" i="25" s="1"/>
  <c r="R20" i="25"/>
  <c r="Q20" i="25"/>
  <c r="P20" i="25"/>
  <c r="O20" i="25"/>
  <c r="N20" i="25"/>
  <c r="N70" i="25" s="1"/>
  <c r="I20" i="25"/>
  <c r="I56" i="25" s="1"/>
  <c r="E20" i="25"/>
  <c r="D20" i="25"/>
  <c r="C20" i="25"/>
  <c r="AD19" i="25"/>
  <c r="AC19" i="25"/>
  <c r="W19" i="25"/>
  <c r="W42" i="25" s="1"/>
  <c r="V19" i="25"/>
  <c r="V42" i="25" s="1"/>
  <c r="AA42" i="25" s="1"/>
  <c r="U19" i="25"/>
  <c r="U42" i="25" s="1"/>
  <c r="T19" i="25"/>
  <c r="S19" i="25"/>
  <c r="S42" i="25" s="1"/>
  <c r="R19" i="25"/>
  <c r="R42" i="25" s="1"/>
  <c r="Q19" i="25"/>
  <c r="P19" i="25"/>
  <c r="O19" i="25"/>
  <c r="N19" i="25"/>
  <c r="N42" i="25" s="1"/>
  <c r="I19" i="25"/>
  <c r="I42" i="25" s="1"/>
  <c r="L42" i="25" s="1"/>
  <c r="E19" i="25"/>
  <c r="D19" i="25"/>
  <c r="C19" i="25"/>
  <c r="AD18" i="25"/>
  <c r="AC18" i="25"/>
  <c r="W18" i="25"/>
  <c r="W75" i="25" s="1"/>
  <c r="V18" i="25"/>
  <c r="V75" i="25" s="1"/>
  <c r="U18" i="25"/>
  <c r="U61" i="25" s="1"/>
  <c r="T18" i="25"/>
  <c r="T61" i="25" s="1"/>
  <c r="S18" i="25"/>
  <c r="S75" i="25" s="1"/>
  <c r="R18" i="25"/>
  <c r="Q18" i="25"/>
  <c r="P18" i="25"/>
  <c r="O18" i="25"/>
  <c r="N18" i="25"/>
  <c r="I18" i="25"/>
  <c r="I75" i="25" s="1"/>
  <c r="E18" i="25"/>
  <c r="D18" i="25"/>
  <c r="C18" i="25"/>
  <c r="AD17" i="25"/>
  <c r="AC17" i="25"/>
  <c r="W17" i="25"/>
  <c r="W52" i="25" s="1"/>
  <c r="V17" i="25"/>
  <c r="V52" i="25" s="1"/>
  <c r="U17" i="25"/>
  <c r="U66" i="25" s="1"/>
  <c r="T17" i="25"/>
  <c r="T66" i="25" s="1"/>
  <c r="S17" i="25"/>
  <c r="S52" i="25" s="1"/>
  <c r="R17" i="25"/>
  <c r="Q17" i="25"/>
  <c r="P17" i="25"/>
  <c r="O17" i="25"/>
  <c r="N17" i="25"/>
  <c r="I17" i="25"/>
  <c r="I52" i="25" s="1"/>
  <c r="E17" i="25"/>
  <c r="D17" i="25"/>
  <c r="C17" i="25"/>
  <c r="F17" i="25" s="1"/>
  <c r="AD16" i="25"/>
  <c r="AC16" i="25"/>
  <c r="W16" i="25"/>
  <c r="W58" i="25" s="1"/>
  <c r="V16" i="25"/>
  <c r="V58" i="25" s="1"/>
  <c r="U16" i="25"/>
  <c r="U72" i="25" s="1"/>
  <c r="T16" i="25"/>
  <c r="T72" i="25" s="1"/>
  <c r="S16" i="25"/>
  <c r="S58" i="25" s="1"/>
  <c r="R16" i="25"/>
  <c r="Q16" i="25"/>
  <c r="P16" i="25"/>
  <c r="O16" i="25"/>
  <c r="N16" i="25"/>
  <c r="I16" i="25"/>
  <c r="I58" i="25" s="1"/>
  <c r="E16" i="25"/>
  <c r="D16" i="25"/>
  <c r="C16" i="25"/>
  <c r="AD15" i="25"/>
  <c r="AC15" i="25"/>
  <c r="W15" i="25"/>
  <c r="W44" i="25" s="1"/>
  <c r="V15" i="25"/>
  <c r="V44" i="25" s="1"/>
  <c r="U15" i="25"/>
  <c r="U44" i="25" s="1"/>
  <c r="Z44" i="25" s="1"/>
  <c r="T15" i="25"/>
  <c r="S15" i="25"/>
  <c r="S44" i="25" s="1"/>
  <c r="R15" i="25"/>
  <c r="Q15" i="25"/>
  <c r="P15" i="25"/>
  <c r="O15" i="25"/>
  <c r="N15" i="25"/>
  <c r="N44" i="25" s="1"/>
  <c r="I15" i="25"/>
  <c r="I44" i="25" s="1"/>
  <c r="L44" i="25" s="1"/>
  <c r="E15" i="25"/>
  <c r="D15" i="25"/>
  <c r="C15" i="25"/>
  <c r="C44" i="25" s="1"/>
  <c r="AD14" i="25"/>
  <c r="AC14" i="25"/>
  <c r="W14" i="25"/>
  <c r="W34" i="25" s="1"/>
  <c r="V14" i="25"/>
  <c r="V34" i="25" s="1"/>
  <c r="U14" i="25"/>
  <c r="U34" i="25" s="1"/>
  <c r="Z34" i="25" s="1"/>
  <c r="T14" i="25"/>
  <c r="S14" i="25"/>
  <c r="S34" i="25" s="1"/>
  <c r="R14" i="25"/>
  <c r="Q14" i="25"/>
  <c r="P14" i="25"/>
  <c r="O14" i="25"/>
  <c r="N14" i="25"/>
  <c r="N34" i="25" s="1"/>
  <c r="I14" i="25"/>
  <c r="I34" i="25" s="1"/>
  <c r="E14" i="25"/>
  <c r="D14" i="25"/>
  <c r="C14" i="25"/>
  <c r="AD13" i="25"/>
  <c r="AC13" i="25"/>
  <c r="W13" i="25"/>
  <c r="W33" i="25" s="1"/>
  <c r="AB33" i="25" s="1"/>
  <c r="V13" i="25"/>
  <c r="V33" i="25" s="1"/>
  <c r="AA33" i="25" s="1"/>
  <c r="U13" i="25"/>
  <c r="U33" i="25" s="1"/>
  <c r="Z33" i="25" s="1"/>
  <c r="T13" i="25"/>
  <c r="T33" i="25" s="1"/>
  <c r="S13" i="25"/>
  <c r="S33" i="25" s="1"/>
  <c r="R13" i="25"/>
  <c r="R33" i="25" s="1"/>
  <c r="Q13" i="25"/>
  <c r="P13" i="25"/>
  <c r="O13" i="25"/>
  <c r="N13" i="25"/>
  <c r="I13" i="25"/>
  <c r="E13" i="25"/>
  <c r="D13" i="25"/>
  <c r="C13" i="25"/>
  <c r="F13" i="25" s="1"/>
  <c r="AD12" i="25"/>
  <c r="AC12" i="25"/>
  <c r="W12" i="25"/>
  <c r="W60" i="25" s="1"/>
  <c r="V12" i="25"/>
  <c r="V60" i="25" s="1"/>
  <c r="U12" i="25"/>
  <c r="U74" i="25" s="1"/>
  <c r="T12" i="25"/>
  <c r="T74" i="25" s="1"/>
  <c r="S12" i="25"/>
  <c r="S60" i="25" s="1"/>
  <c r="R12" i="25"/>
  <c r="Q12" i="25"/>
  <c r="P12" i="25"/>
  <c r="O12" i="25"/>
  <c r="N12" i="25"/>
  <c r="I12" i="25"/>
  <c r="I60" i="25" s="1"/>
  <c r="E12" i="25"/>
  <c r="D12" i="25"/>
  <c r="C12" i="25"/>
  <c r="AD11" i="25"/>
  <c r="AC11" i="25"/>
  <c r="W11" i="25"/>
  <c r="W39" i="25" s="1"/>
  <c r="V11" i="25"/>
  <c r="V39" i="25" s="1"/>
  <c r="AA39" i="25" s="1"/>
  <c r="U11" i="25"/>
  <c r="U39" i="25" s="1"/>
  <c r="Z39" i="25" s="1"/>
  <c r="T11" i="25"/>
  <c r="T39" i="25" s="1"/>
  <c r="S11" i="25"/>
  <c r="S39" i="25" s="1"/>
  <c r="R11" i="25"/>
  <c r="Q11" i="25"/>
  <c r="P11" i="25"/>
  <c r="O11" i="25"/>
  <c r="N11" i="25"/>
  <c r="I11" i="25"/>
  <c r="E11" i="25"/>
  <c r="D11" i="25"/>
  <c r="C11" i="25"/>
  <c r="AD10" i="25"/>
  <c r="AC10" i="25"/>
  <c r="W10" i="25"/>
  <c r="W46" i="25" s="1"/>
  <c r="V10" i="25"/>
  <c r="V46" i="25" s="1"/>
  <c r="U10" i="25"/>
  <c r="U46" i="25" s="1"/>
  <c r="T10" i="25"/>
  <c r="T46" i="25" s="1"/>
  <c r="S10" i="25"/>
  <c r="S46" i="25" s="1"/>
  <c r="X46" i="25" s="1"/>
  <c r="R10" i="25"/>
  <c r="R46" i="25" s="1"/>
  <c r="Q10" i="25"/>
  <c r="P10" i="25"/>
  <c r="O10" i="25"/>
  <c r="N10" i="25"/>
  <c r="N46" i="25" s="1"/>
  <c r="I10" i="25"/>
  <c r="E10" i="25"/>
  <c r="D10" i="25"/>
  <c r="C10" i="25"/>
  <c r="AD9" i="25"/>
  <c r="AC9" i="25"/>
  <c r="W9" i="25"/>
  <c r="W54" i="25" s="1"/>
  <c r="V9" i="25"/>
  <c r="V54" i="25" s="1"/>
  <c r="U9" i="25"/>
  <c r="U68" i="25" s="1"/>
  <c r="T9" i="25"/>
  <c r="T68" i="25" s="1"/>
  <c r="S9" i="25"/>
  <c r="S54" i="25" s="1"/>
  <c r="R9" i="25"/>
  <c r="R54" i="25" s="1"/>
  <c r="Q9" i="25"/>
  <c r="P9" i="25"/>
  <c r="O9" i="25"/>
  <c r="N9" i="25"/>
  <c r="I9" i="25"/>
  <c r="I54" i="25" s="1"/>
  <c r="E9" i="25"/>
  <c r="D9" i="25"/>
  <c r="C9" i="25"/>
  <c r="AD8" i="25"/>
  <c r="AC8" i="25"/>
  <c r="W8" i="25"/>
  <c r="W41" i="25" s="1"/>
  <c r="V8" i="25"/>
  <c r="V41" i="25" s="1"/>
  <c r="AA41" i="25" s="1"/>
  <c r="U8" i="25"/>
  <c r="U41" i="25" s="1"/>
  <c r="Z41" i="25" s="1"/>
  <c r="T8" i="25"/>
  <c r="T41" i="25" s="1"/>
  <c r="S8" i="25"/>
  <c r="S41" i="25" s="1"/>
  <c r="R8" i="25"/>
  <c r="Q8" i="25"/>
  <c r="P8" i="25"/>
  <c r="O8" i="25"/>
  <c r="N8" i="25"/>
  <c r="I8" i="25"/>
  <c r="E8" i="25"/>
  <c r="D8" i="25"/>
  <c r="C8" i="25"/>
  <c r="AD7" i="25"/>
  <c r="AC7" i="25"/>
  <c r="W7" i="25"/>
  <c r="W73" i="25" s="1"/>
  <c r="V7" i="25"/>
  <c r="V73" i="25" s="1"/>
  <c r="U7" i="25"/>
  <c r="U59" i="25" s="1"/>
  <c r="T7" i="25"/>
  <c r="T59" i="25" s="1"/>
  <c r="S7" i="25"/>
  <c r="S73" i="25" s="1"/>
  <c r="R7" i="25"/>
  <c r="Q7" i="25"/>
  <c r="P7" i="25"/>
  <c r="O7" i="25"/>
  <c r="N7" i="25"/>
  <c r="I7" i="25"/>
  <c r="I73" i="25" s="1"/>
  <c r="E7" i="25"/>
  <c r="D7" i="25"/>
  <c r="C7" i="25"/>
  <c r="F7" i="25" s="1"/>
  <c r="AD6" i="25"/>
  <c r="AC6" i="25"/>
  <c r="W6" i="25"/>
  <c r="W47" i="25" s="1"/>
  <c r="V6" i="25"/>
  <c r="V47" i="25" s="1"/>
  <c r="U6" i="25"/>
  <c r="U47" i="25" s="1"/>
  <c r="Z47" i="25" s="1"/>
  <c r="T6" i="25"/>
  <c r="S6" i="25"/>
  <c r="S47" i="25" s="1"/>
  <c r="R6" i="25"/>
  <c r="Q6" i="25"/>
  <c r="P6" i="25"/>
  <c r="O6" i="25"/>
  <c r="N6" i="25"/>
  <c r="I6" i="25"/>
  <c r="I47" i="25" s="1"/>
  <c r="L47" i="25" s="1"/>
  <c r="E6" i="25"/>
  <c r="D6" i="25"/>
  <c r="C6" i="25"/>
  <c r="C47" i="25" s="1"/>
  <c r="F47" i="25" s="1"/>
  <c r="AD5" i="25"/>
  <c r="AC5" i="25"/>
  <c r="W5" i="25"/>
  <c r="W67" i="25" s="1"/>
  <c r="V5" i="25"/>
  <c r="V67" i="25" s="1"/>
  <c r="U5" i="25"/>
  <c r="T5" i="25"/>
  <c r="T53" i="25" s="1"/>
  <c r="S5" i="25"/>
  <c r="S67" i="25" s="1"/>
  <c r="R5" i="25"/>
  <c r="Q5" i="25"/>
  <c r="P5" i="25"/>
  <c r="O5" i="25"/>
  <c r="N5" i="25"/>
  <c r="I5" i="25"/>
  <c r="I67" i="25" s="1"/>
  <c r="E5" i="25"/>
  <c r="D5" i="25"/>
  <c r="C5" i="25"/>
  <c r="AD4" i="25"/>
  <c r="AE4" i="25" s="1"/>
  <c r="AC4" i="25"/>
  <c r="W4" i="25"/>
  <c r="W40" i="25" s="1"/>
  <c r="V4" i="25"/>
  <c r="V40" i="25" s="1"/>
  <c r="U4" i="25"/>
  <c r="U40" i="25" s="1"/>
  <c r="Z40" i="25" s="1"/>
  <c r="T4" i="25"/>
  <c r="T40" i="25" s="1"/>
  <c r="Y40" i="25" s="1"/>
  <c r="S4" i="25"/>
  <c r="S40" i="25" s="1"/>
  <c r="R4" i="25"/>
  <c r="R40" i="25" s="1"/>
  <c r="Q4" i="25"/>
  <c r="Q40" i="25" s="1"/>
  <c r="P4" i="25"/>
  <c r="O4" i="25"/>
  <c r="N4" i="25"/>
  <c r="N40" i="25" s="1"/>
  <c r="I4" i="25"/>
  <c r="I40" i="25" s="1"/>
  <c r="L40" i="25" s="1"/>
  <c r="E4" i="25"/>
  <c r="D4" i="25"/>
  <c r="C4" i="25"/>
  <c r="AD3" i="25"/>
  <c r="AD32" i="25" s="1"/>
  <c r="AC3" i="25"/>
  <c r="W3" i="25"/>
  <c r="W32" i="25" s="1"/>
  <c r="V3" i="25"/>
  <c r="V32" i="25" s="1"/>
  <c r="U3" i="25"/>
  <c r="U32" i="25" s="1"/>
  <c r="Z32" i="25" s="1"/>
  <c r="T3" i="25"/>
  <c r="T32" i="25" s="1"/>
  <c r="S3" i="25"/>
  <c r="S32" i="25" s="1"/>
  <c r="R3" i="25"/>
  <c r="R32" i="25" s="1"/>
  <c r="Q3" i="25"/>
  <c r="Q32" i="25" s="1"/>
  <c r="P3" i="25"/>
  <c r="O3" i="25"/>
  <c r="N3" i="25"/>
  <c r="N32" i="25" s="1"/>
  <c r="I3" i="25"/>
  <c r="I32" i="25" s="1"/>
  <c r="E3" i="25"/>
  <c r="D3" i="25"/>
  <c r="C3" i="25"/>
  <c r="AD2" i="25"/>
  <c r="AE2" i="25" s="1"/>
  <c r="AC2" i="25"/>
  <c r="W2" i="25"/>
  <c r="W38" i="25" s="1"/>
  <c r="V2" i="25"/>
  <c r="V38" i="25" s="1"/>
  <c r="AA38" i="25" s="1"/>
  <c r="U2" i="25"/>
  <c r="U38" i="25" s="1"/>
  <c r="Z38" i="25" s="1"/>
  <c r="T2" i="25"/>
  <c r="S2" i="25"/>
  <c r="S38" i="25" s="1"/>
  <c r="R2" i="25"/>
  <c r="R38" i="25" s="1"/>
  <c r="Q2" i="25"/>
  <c r="Q38" i="25" s="1"/>
  <c r="P2" i="25"/>
  <c r="O2" i="25"/>
  <c r="N2" i="25"/>
  <c r="N38" i="25" s="1"/>
  <c r="I2" i="25"/>
  <c r="I38" i="25" s="1"/>
  <c r="L38" i="25" s="1"/>
  <c r="E2" i="25"/>
  <c r="D2" i="25"/>
  <c r="C2" i="25"/>
  <c r="N56" i="25"/>
  <c r="K51" i="25"/>
  <c r="J50" i="25"/>
  <c r="AB49" i="25"/>
  <c r="L49" i="25"/>
  <c r="AH44" i="25"/>
  <c r="R44" i="25"/>
  <c r="AA43" i="25"/>
  <c r="D41" i="25"/>
  <c r="AA40" i="25"/>
  <c r="AH39" i="25"/>
  <c r="X39" i="25"/>
  <c r="Y39" i="25"/>
  <c r="P39" i="25"/>
  <c r="K39" i="25"/>
  <c r="D39" i="25"/>
  <c r="AH37" i="25"/>
  <c r="L37" i="25"/>
  <c r="AD36" i="25"/>
  <c r="N36" i="25"/>
  <c r="AH35" i="25"/>
  <c r="P35" i="25"/>
  <c r="AD34" i="25"/>
  <c r="AA34" i="25"/>
  <c r="R34" i="25"/>
  <c r="AJ33" i="25"/>
  <c r="AH33" i="25"/>
  <c r="Y33" i="25"/>
  <c r="P33" i="25"/>
  <c r="K33" i="25"/>
  <c r="D33" i="25"/>
  <c r="AG30" i="25"/>
  <c r="AI35" i="25" s="1"/>
  <c r="AF30" i="25"/>
  <c r="AD35" i="25"/>
  <c r="AB35" i="25"/>
  <c r="AA35" i="25"/>
  <c r="X35" i="25"/>
  <c r="R35" i="25"/>
  <c r="Q35" i="25"/>
  <c r="O35" i="25"/>
  <c r="N35" i="25"/>
  <c r="L35" i="25"/>
  <c r="H30" i="25"/>
  <c r="K35" i="25" s="1"/>
  <c r="G30" i="25"/>
  <c r="E35" i="25"/>
  <c r="D35" i="25"/>
  <c r="C35" i="25"/>
  <c r="AG29" i="25"/>
  <c r="AF29" i="25"/>
  <c r="AE29" i="25"/>
  <c r="H29" i="25"/>
  <c r="G29" i="25"/>
  <c r="F29" i="25"/>
  <c r="AG28" i="25"/>
  <c r="AI43" i="25" s="1"/>
  <c r="AF28" i="25"/>
  <c r="AH43" i="25" s="1"/>
  <c r="AD43" i="25"/>
  <c r="AB43" i="25"/>
  <c r="Y43" i="25"/>
  <c r="R43" i="25"/>
  <c r="Q43" i="25"/>
  <c r="P43" i="25"/>
  <c r="O43" i="25"/>
  <c r="N43" i="25"/>
  <c r="L43" i="25"/>
  <c r="H28" i="25"/>
  <c r="K43" i="25" s="1"/>
  <c r="G28" i="25"/>
  <c r="E43" i="25"/>
  <c r="D43" i="25"/>
  <c r="C43" i="25"/>
  <c r="AG27" i="25"/>
  <c r="AF27" i="25"/>
  <c r="AE27" i="25"/>
  <c r="H27" i="25"/>
  <c r="G27" i="25"/>
  <c r="F27" i="25"/>
  <c r="AG26" i="25"/>
  <c r="AI36" i="25" s="1"/>
  <c r="AF26" i="25"/>
  <c r="AJ36" i="25" s="1"/>
  <c r="Z36" i="25"/>
  <c r="Y36" i="25"/>
  <c r="X36" i="25"/>
  <c r="Q36" i="25"/>
  <c r="P36" i="25"/>
  <c r="O36" i="25"/>
  <c r="H26" i="25"/>
  <c r="K36" i="25" s="1"/>
  <c r="G26" i="25"/>
  <c r="E36" i="25"/>
  <c r="D36" i="25"/>
  <c r="AG25" i="25"/>
  <c r="AF25" i="25"/>
  <c r="AE25" i="25"/>
  <c r="AD64" i="25"/>
  <c r="H25" i="25"/>
  <c r="G25" i="25"/>
  <c r="AG24" i="25"/>
  <c r="AF24" i="25"/>
  <c r="H24" i="25"/>
  <c r="G24" i="25"/>
  <c r="AG23" i="25"/>
  <c r="AF23" i="25"/>
  <c r="AE23" i="25"/>
  <c r="AD49" i="25"/>
  <c r="AC49" i="25"/>
  <c r="X49" i="25"/>
  <c r="Q49" i="25"/>
  <c r="P49" i="25"/>
  <c r="O49" i="25"/>
  <c r="H23" i="25"/>
  <c r="G23" i="25"/>
  <c r="F23" i="25"/>
  <c r="E49" i="25"/>
  <c r="D49" i="25"/>
  <c r="C49" i="25"/>
  <c r="AG22" i="25"/>
  <c r="AI37" i="25" s="1"/>
  <c r="AF22" i="25"/>
  <c r="AD37" i="25"/>
  <c r="Z37" i="25"/>
  <c r="Y37" i="25"/>
  <c r="Q37" i="25"/>
  <c r="P37" i="25"/>
  <c r="O37" i="25"/>
  <c r="H22" i="25"/>
  <c r="K37" i="25" s="1"/>
  <c r="G22" i="25"/>
  <c r="E37" i="25"/>
  <c r="D37" i="25"/>
  <c r="C37" i="25"/>
  <c r="AG21" i="25"/>
  <c r="AF21" i="25"/>
  <c r="AE21" i="25"/>
  <c r="AC65" i="25"/>
  <c r="Y65" i="25"/>
  <c r="P65" i="25"/>
  <c r="H21" i="25"/>
  <c r="K65" i="25" s="1"/>
  <c r="G21" i="25"/>
  <c r="F21" i="25"/>
  <c r="D65" i="25"/>
  <c r="AG20" i="25"/>
  <c r="AF20" i="25"/>
  <c r="AD70" i="25"/>
  <c r="H20" i="25"/>
  <c r="G20" i="25"/>
  <c r="AG19" i="25"/>
  <c r="AI42" i="25" s="1"/>
  <c r="AF19" i="25"/>
  <c r="AD42" i="25"/>
  <c r="AC42" i="25"/>
  <c r="AB42" i="25"/>
  <c r="Z42" i="25"/>
  <c r="Y42" i="25"/>
  <c r="X42" i="25"/>
  <c r="Q42" i="25"/>
  <c r="P42" i="25"/>
  <c r="O42" i="25"/>
  <c r="H19" i="25"/>
  <c r="K42" i="25" s="1"/>
  <c r="G19" i="25"/>
  <c r="E42" i="25"/>
  <c r="D42" i="25"/>
  <c r="C42" i="25"/>
  <c r="F42" i="25" s="1"/>
  <c r="AG18" i="25"/>
  <c r="AF18" i="25"/>
  <c r="H18" i="25"/>
  <c r="G18" i="25"/>
  <c r="AG17" i="25"/>
  <c r="AF17" i="25"/>
  <c r="AE17" i="25"/>
  <c r="H17" i="25"/>
  <c r="G17" i="25"/>
  <c r="AG16" i="25"/>
  <c r="AF16" i="25"/>
  <c r="H16" i="25"/>
  <c r="G16" i="25"/>
  <c r="AG15" i="25"/>
  <c r="AI44" i="25" s="1"/>
  <c r="AF15" i="25"/>
  <c r="AJ44" i="25" s="1"/>
  <c r="AD44" i="25"/>
  <c r="AC44" i="25"/>
  <c r="AB44" i="25"/>
  <c r="AA44" i="25"/>
  <c r="Y44" i="25"/>
  <c r="X44" i="25"/>
  <c r="Q44" i="25"/>
  <c r="P44" i="25"/>
  <c r="O44" i="25"/>
  <c r="H15" i="25"/>
  <c r="K44" i="25" s="1"/>
  <c r="G15" i="25"/>
  <c r="E44" i="25"/>
  <c r="D44" i="25"/>
  <c r="AG14" i="25"/>
  <c r="AI34" i="25" s="1"/>
  <c r="AF14" i="25"/>
  <c r="AJ34" i="25" s="1"/>
  <c r="AB34" i="25"/>
  <c r="Y34" i="25"/>
  <c r="X34" i="25"/>
  <c r="Q34" i="25"/>
  <c r="P34" i="25"/>
  <c r="O34" i="25"/>
  <c r="L34" i="25"/>
  <c r="H14" i="25"/>
  <c r="K34" i="25" s="1"/>
  <c r="G14" i="25"/>
  <c r="E34" i="25"/>
  <c r="D34" i="25"/>
  <c r="AG13" i="25"/>
  <c r="AI33" i="25" s="1"/>
  <c r="AF13" i="25"/>
  <c r="AE13" i="25"/>
  <c r="AD33" i="25"/>
  <c r="AC33" i="25"/>
  <c r="X33" i="25"/>
  <c r="Q33" i="25"/>
  <c r="O33" i="25"/>
  <c r="N33" i="25"/>
  <c r="H13" i="25"/>
  <c r="G13" i="25"/>
  <c r="E33" i="25"/>
  <c r="C33" i="25"/>
  <c r="F33" i="25" s="1"/>
  <c r="AG12" i="25"/>
  <c r="AF12" i="25"/>
  <c r="H12" i="25"/>
  <c r="G12" i="25"/>
  <c r="E74" i="25"/>
  <c r="AG11" i="25"/>
  <c r="AI39" i="25" s="1"/>
  <c r="AF11" i="25"/>
  <c r="AD39" i="25"/>
  <c r="AC39" i="25"/>
  <c r="AB39" i="25"/>
  <c r="R39" i="25"/>
  <c r="Q39" i="25"/>
  <c r="O39" i="25"/>
  <c r="N39" i="25"/>
  <c r="L39" i="25"/>
  <c r="H11" i="25"/>
  <c r="G11" i="25"/>
  <c r="E39" i="25"/>
  <c r="C39" i="25"/>
  <c r="AG10" i="25"/>
  <c r="AF10" i="25"/>
  <c r="AD46" i="25"/>
  <c r="X45" i="25"/>
  <c r="Q46" i="25"/>
  <c r="P46" i="25"/>
  <c r="O46" i="25"/>
  <c r="H10" i="25"/>
  <c r="G10" i="25"/>
  <c r="E46" i="25"/>
  <c r="D46" i="25"/>
  <c r="AG9" i="25"/>
  <c r="AF9" i="25"/>
  <c r="AE9" i="25"/>
  <c r="H9" i="25"/>
  <c r="G9" i="25"/>
  <c r="F9" i="25"/>
  <c r="AG8" i="25"/>
  <c r="AI41" i="25" s="1"/>
  <c r="AF8" i="25"/>
  <c r="AD41" i="25"/>
  <c r="AB41" i="25"/>
  <c r="Y41" i="25"/>
  <c r="X41" i="25"/>
  <c r="R41" i="25"/>
  <c r="Q41" i="25"/>
  <c r="P41" i="25"/>
  <c r="O41" i="25"/>
  <c r="N41" i="25"/>
  <c r="H8" i="25"/>
  <c r="K41" i="25" s="1"/>
  <c r="G8" i="25"/>
  <c r="E41" i="25"/>
  <c r="AG7" i="25"/>
  <c r="AF7" i="25"/>
  <c r="AE7" i="25"/>
  <c r="H7" i="25"/>
  <c r="G7" i="25"/>
  <c r="AG6" i="25"/>
  <c r="AI47" i="25" s="1"/>
  <c r="AF6" i="25"/>
  <c r="AE6" i="25"/>
  <c r="AD47" i="25"/>
  <c r="AC47" i="25"/>
  <c r="AB47" i="25"/>
  <c r="AA47" i="25"/>
  <c r="X47" i="25"/>
  <c r="R47" i="25"/>
  <c r="Q47" i="25"/>
  <c r="P47" i="25"/>
  <c r="O47" i="25"/>
  <c r="N47" i="25"/>
  <c r="H6" i="25"/>
  <c r="K47" i="25" s="1"/>
  <c r="G6" i="25"/>
  <c r="E47" i="25"/>
  <c r="D47" i="25"/>
  <c r="AG5" i="25"/>
  <c r="AF5" i="25"/>
  <c r="AE5" i="25"/>
  <c r="H5" i="25"/>
  <c r="G5" i="25"/>
  <c r="F5" i="25"/>
  <c r="AG4" i="25"/>
  <c r="AI40" i="25" s="1"/>
  <c r="AF4" i="25"/>
  <c r="AD40" i="25"/>
  <c r="AC40" i="25"/>
  <c r="AB40" i="25"/>
  <c r="X40" i="25"/>
  <c r="P40" i="25"/>
  <c r="O40" i="25"/>
  <c r="H4" i="25"/>
  <c r="K40" i="25" s="1"/>
  <c r="G4" i="25"/>
  <c r="E40" i="25"/>
  <c r="D40" i="25"/>
  <c r="C40" i="25"/>
  <c r="F40" i="25" s="1"/>
  <c r="AG3" i="25"/>
  <c r="AF3" i="25"/>
  <c r="AC32" i="25"/>
  <c r="P32" i="25"/>
  <c r="O32" i="25"/>
  <c r="H3" i="25"/>
  <c r="G3" i="25"/>
  <c r="J32" i="25" s="1"/>
  <c r="E32" i="25"/>
  <c r="D32" i="25"/>
  <c r="C32" i="25"/>
  <c r="AG2" i="25"/>
  <c r="AI38" i="25" s="1"/>
  <c r="AF2" i="25"/>
  <c r="AJ38" i="25" s="1"/>
  <c r="AC38" i="25"/>
  <c r="AB38" i="25"/>
  <c r="X38" i="25"/>
  <c r="P38" i="25"/>
  <c r="O38" i="25"/>
  <c r="H2" i="25"/>
  <c r="K38" i="25" s="1"/>
  <c r="G2" i="25"/>
  <c r="M38" i="25" s="1"/>
  <c r="E38" i="25"/>
  <c r="D38" i="25"/>
  <c r="C38" i="25"/>
  <c r="F38" i="25" s="1"/>
  <c r="D63" i="10"/>
  <c r="AG30" i="12"/>
  <c r="AF30" i="12"/>
  <c r="W30" i="12"/>
  <c r="V30" i="12"/>
  <c r="U30" i="12"/>
  <c r="T30" i="12"/>
  <c r="S30" i="12"/>
  <c r="I30" i="12"/>
  <c r="I35" i="12" s="1"/>
  <c r="L35" i="12" s="1"/>
  <c r="H30" i="12"/>
  <c r="AG29" i="12"/>
  <c r="AF29" i="12"/>
  <c r="W29" i="12"/>
  <c r="V29" i="12"/>
  <c r="U29" i="12"/>
  <c r="T29" i="12"/>
  <c r="S29" i="12"/>
  <c r="I29" i="12"/>
  <c r="H29" i="12"/>
  <c r="AG28" i="12"/>
  <c r="AF28" i="12"/>
  <c r="W28" i="12"/>
  <c r="V28" i="12"/>
  <c r="U28" i="12"/>
  <c r="T28" i="12"/>
  <c r="S28" i="12"/>
  <c r="I28" i="12"/>
  <c r="H28" i="12"/>
  <c r="AG27" i="12"/>
  <c r="AF27" i="12"/>
  <c r="W27" i="12"/>
  <c r="V27" i="12"/>
  <c r="U27" i="12"/>
  <c r="T27" i="12"/>
  <c r="S27" i="12"/>
  <c r="I27" i="12"/>
  <c r="H27" i="12"/>
  <c r="AG26" i="12"/>
  <c r="AF26" i="12"/>
  <c r="W26" i="12"/>
  <c r="V26" i="12"/>
  <c r="V36" i="12" s="1"/>
  <c r="AA36" i="12" s="1"/>
  <c r="U26" i="12"/>
  <c r="T26" i="12"/>
  <c r="S26" i="12"/>
  <c r="I26" i="12"/>
  <c r="H26" i="12"/>
  <c r="AG25" i="12"/>
  <c r="AF25" i="12"/>
  <c r="W25" i="12"/>
  <c r="V25" i="12"/>
  <c r="U25" i="12"/>
  <c r="T25" i="12"/>
  <c r="S25" i="12"/>
  <c r="I25" i="12"/>
  <c r="H25" i="12"/>
  <c r="AG24" i="12"/>
  <c r="AF24" i="12"/>
  <c r="W24" i="12"/>
  <c r="V24" i="12"/>
  <c r="U24" i="12"/>
  <c r="T24" i="12"/>
  <c r="S24" i="12"/>
  <c r="I24" i="12"/>
  <c r="H24" i="12"/>
  <c r="AG23" i="12"/>
  <c r="AF23" i="12"/>
  <c r="W23" i="12"/>
  <c r="V23" i="12"/>
  <c r="V49" i="12" s="1"/>
  <c r="U23" i="12"/>
  <c r="U49" i="12" s="1"/>
  <c r="T23" i="12"/>
  <c r="S23" i="12"/>
  <c r="I23" i="12"/>
  <c r="I49" i="12" s="1"/>
  <c r="H23" i="12"/>
  <c r="H49" i="12" s="1"/>
  <c r="AG22" i="12"/>
  <c r="AF22" i="12"/>
  <c r="W22" i="12"/>
  <c r="W37" i="12" s="1"/>
  <c r="AB37" i="12" s="1"/>
  <c r="V22" i="12"/>
  <c r="V37" i="12" s="1"/>
  <c r="AA37" i="12" s="1"/>
  <c r="U22" i="12"/>
  <c r="T22" i="12"/>
  <c r="S22" i="12"/>
  <c r="S37" i="12" s="1"/>
  <c r="X37" i="12" s="1"/>
  <c r="I22" i="12"/>
  <c r="I37" i="12" s="1"/>
  <c r="L37" i="12" s="1"/>
  <c r="H22" i="12"/>
  <c r="AG21" i="12"/>
  <c r="AF21" i="12"/>
  <c r="W21" i="12"/>
  <c r="V21" i="12"/>
  <c r="U21" i="12"/>
  <c r="T21" i="12"/>
  <c r="S21" i="12"/>
  <c r="I21" i="12"/>
  <c r="H21" i="12"/>
  <c r="AG20" i="12"/>
  <c r="AF20" i="12"/>
  <c r="W20" i="12"/>
  <c r="V20" i="12"/>
  <c r="U20" i="12"/>
  <c r="T20" i="12"/>
  <c r="S20" i="12"/>
  <c r="I20" i="12"/>
  <c r="H20" i="12"/>
  <c r="AG19" i="12"/>
  <c r="AG42" i="12" s="1"/>
  <c r="AI42" i="12" s="1"/>
  <c r="AF19" i="12"/>
  <c r="W19" i="12"/>
  <c r="V19" i="12"/>
  <c r="V42" i="12" s="1"/>
  <c r="AA42" i="12" s="1"/>
  <c r="U19" i="12"/>
  <c r="U42" i="12" s="1"/>
  <c r="Z42" i="12" s="1"/>
  <c r="T19" i="12"/>
  <c r="S19" i="12"/>
  <c r="I19" i="12"/>
  <c r="H19" i="12"/>
  <c r="H42" i="12" s="1"/>
  <c r="K42" i="12" s="1"/>
  <c r="AG18" i="12"/>
  <c r="AF18" i="12"/>
  <c r="W18" i="12"/>
  <c r="V18" i="12"/>
  <c r="U18" i="12"/>
  <c r="T18" i="12"/>
  <c r="S18" i="12"/>
  <c r="I18" i="12"/>
  <c r="H18" i="12"/>
  <c r="AG17" i="12"/>
  <c r="AF17" i="12"/>
  <c r="W17" i="12"/>
  <c r="V17" i="12"/>
  <c r="U17" i="12"/>
  <c r="T17" i="12"/>
  <c r="S17" i="12"/>
  <c r="I17" i="12"/>
  <c r="H17" i="12"/>
  <c r="AG16" i="12"/>
  <c r="AF16" i="12"/>
  <c r="W16" i="12"/>
  <c r="V16" i="12"/>
  <c r="U16" i="12"/>
  <c r="T16" i="12"/>
  <c r="S16" i="12"/>
  <c r="I16" i="12"/>
  <c r="H16" i="12"/>
  <c r="AG15" i="12"/>
  <c r="AG44" i="12" s="1"/>
  <c r="AI44" i="12" s="1"/>
  <c r="AF15" i="12"/>
  <c r="W15" i="12"/>
  <c r="V15" i="12"/>
  <c r="V44" i="12" s="1"/>
  <c r="AA44" i="12" s="1"/>
  <c r="U15" i="12"/>
  <c r="U44" i="12" s="1"/>
  <c r="Z44" i="12" s="1"/>
  <c r="T15" i="12"/>
  <c r="S15" i="12"/>
  <c r="I15" i="12"/>
  <c r="I44" i="12" s="1"/>
  <c r="L44" i="12" s="1"/>
  <c r="H15" i="12"/>
  <c r="AG14" i="12"/>
  <c r="AF14" i="12"/>
  <c r="W14" i="12"/>
  <c r="V14" i="12"/>
  <c r="V34" i="12" s="1"/>
  <c r="AA34" i="12" s="1"/>
  <c r="U14" i="12"/>
  <c r="T14" i="12"/>
  <c r="S14" i="12"/>
  <c r="S34" i="12" s="1"/>
  <c r="X34" i="12" s="1"/>
  <c r="I14" i="12"/>
  <c r="H14" i="12"/>
  <c r="AG13" i="12"/>
  <c r="AF13" i="12"/>
  <c r="AF33" i="12" s="1"/>
  <c r="AH33" i="12" s="1"/>
  <c r="W13" i="12"/>
  <c r="V13" i="12"/>
  <c r="U13" i="12"/>
  <c r="T13" i="12"/>
  <c r="S13" i="12"/>
  <c r="S33" i="12" s="1"/>
  <c r="X33" i="12" s="1"/>
  <c r="I13" i="12"/>
  <c r="H13" i="12"/>
  <c r="AG12" i="12"/>
  <c r="AF12" i="12"/>
  <c r="W12" i="12"/>
  <c r="V12" i="12"/>
  <c r="U12" i="12"/>
  <c r="T12" i="12"/>
  <c r="S12" i="12"/>
  <c r="I12" i="12"/>
  <c r="H12" i="12"/>
  <c r="AG11" i="12"/>
  <c r="AG39" i="12" s="1"/>
  <c r="AI39" i="12" s="1"/>
  <c r="AF11" i="12"/>
  <c r="W11" i="12"/>
  <c r="V11" i="12"/>
  <c r="U11" i="12"/>
  <c r="T11" i="12"/>
  <c r="S11" i="12"/>
  <c r="I11" i="12"/>
  <c r="H11" i="12"/>
  <c r="AG10" i="12"/>
  <c r="AF10" i="12"/>
  <c r="W10" i="12"/>
  <c r="V10" i="12"/>
  <c r="U10" i="12"/>
  <c r="T10" i="12"/>
  <c r="S10" i="12"/>
  <c r="S46" i="12" s="1"/>
  <c r="I10" i="12"/>
  <c r="I46" i="12" s="1"/>
  <c r="H10" i="12"/>
  <c r="AG9" i="12"/>
  <c r="AF9" i="12"/>
  <c r="W9" i="12"/>
  <c r="V9" i="12"/>
  <c r="U9" i="12"/>
  <c r="T9" i="12"/>
  <c r="S9" i="12"/>
  <c r="I9" i="12"/>
  <c r="H9" i="12"/>
  <c r="AG8" i="12"/>
  <c r="AF8" i="12"/>
  <c r="W8" i="12"/>
  <c r="V8" i="12"/>
  <c r="U8" i="12"/>
  <c r="U41" i="12" s="1"/>
  <c r="Z41" i="12" s="1"/>
  <c r="T8" i="12"/>
  <c r="T41" i="12" s="1"/>
  <c r="Y41" i="12" s="1"/>
  <c r="S8" i="12"/>
  <c r="I8" i="12"/>
  <c r="H8" i="12"/>
  <c r="AG7" i="12"/>
  <c r="AF7" i="12"/>
  <c r="W7" i="12"/>
  <c r="V7" i="12"/>
  <c r="U7" i="12"/>
  <c r="T7" i="12"/>
  <c r="S7" i="12"/>
  <c r="I7" i="12"/>
  <c r="H7" i="12"/>
  <c r="AG6" i="12"/>
  <c r="AF6" i="12"/>
  <c r="W6" i="12"/>
  <c r="V6" i="12"/>
  <c r="V47" i="12" s="1"/>
  <c r="AA47" i="12" s="1"/>
  <c r="U6" i="12"/>
  <c r="T6" i="12"/>
  <c r="S6" i="12"/>
  <c r="I6" i="12"/>
  <c r="I47" i="12" s="1"/>
  <c r="L47" i="12" s="1"/>
  <c r="H6" i="12"/>
  <c r="AG5" i="12"/>
  <c r="AF5" i="12"/>
  <c r="W5" i="12"/>
  <c r="V5" i="12"/>
  <c r="U5" i="12"/>
  <c r="T5" i="12"/>
  <c r="S5" i="12"/>
  <c r="I5" i="12"/>
  <c r="H5" i="12"/>
  <c r="AG4" i="12"/>
  <c r="AF4" i="12"/>
  <c r="AF40" i="12" s="1"/>
  <c r="W4" i="12"/>
  <c r="V4" i="12"/>
  <c r="U4" i="12"/>
  <c r="U40" i="12" s="1"/>
  <c r="Z40" i="12" s="1"/>
  <c r="T4" i="12"/>
  <c r="T40" i="12" s="1"/>
  <c r="Y40" i="12" s="1"/>
  <c r="S4" i="12"/>
  <c r="I4" i="12"/>
  <c r="H4" i="12"/>
  <c r="H40" i="12" s="1"/>
  <c r="K40" i="12" s="1"/>
  <c r="AG3" i="12"/>
  <c r="AG32" i="12" s="1"/>
  <c r="AF3" i="12"/>
  <c r="W3" i="12"/>
  <c r="V3" i="12"/>
  <c r="V32" i="12" s="1"/>
  <c r="U3" i="12"/>
  <c r="U32" i="12" s="1"/>
  <c r="T3" i="12"/>
  <c r="S3" i="12"/>
  <c r="I3" i="12"/>
  <c r="I32" i="12" s="1"/>
  <c r="H3" i="12"/>
  <c r="AG2" i="12"/>
  <c r="AF2" i="12"/>
  <c r="W2" i="12"/>
  <c r="W38" i="12" s="1"/>
  <c r="AB38" i="12" s="1"/>
  <c r="V2" i="12"/>
  <c r="V38" i="12" s="1"/>
  <c r="AA38" i="12" s="1"/>
  <c r="U2" i="12"/>
  <c r="T2" i="12"/>
  <c r="S2" i="12"/>
  <c r="I2" i="12"/>
  <c r="H2" i="12"/>
  <c r="AG30" i="10"/>
  <c r="AF30" i="10"/>
  <c r="W30" i="10"/>
  <c r="V30" i="10"/>
  <c r="U30" i="10"/>
  <c r="T30" i="10"/>
  <c r="S30" i="10"/>
  <c r="I30" i="10"/>
  <c r="H30" i="10"/>
  <c r="AG29" i="10"/>
  <c r="AF29" i="10"/>
  <c r="W29" i="10"/>
  <c r="V29" i="10"/>
  <c r="U29" i="10"/>
  <c r="T29" i="10"/>
  <c r="S29" i="10"/>
  <c r="I29" i="10"/>
  <c r="H29" i="10"/>
  <c r="AG28" i="10"/>
  <c r="AF28" i="10"/>
  <c r="W28" i="10"/>
  <c r="V28" i="10"/>
  <c r="U28" i="10"/>
  <c r="T28" i="10"/>
  <c r="S28" i="10"/>
  <c r="I28" i="10"/>
  <c r="H28" i="10"/>
  <c r="AG27" i="10"/>
  <c r="AF27" i="10"/>
  <c r="W27" i="10"/>
  <c r="V27" i="10"/>
  <c r="U27" i="10"/>
  <c r="T27" i="10"/>
  <c r="S27" i="10"/>
  <c r="I27" i="10"/>
  <c r="H27" i="10"/>
  <c r="AG26" i="10"/>
  <c r="AF26" i="10"/>
  <c r="W26" i="10"/>
  <c r="V26" i="10"/>
  <c r="U26" i="10"/>
  <c r="T26" i="10"/>
  <c r="S26" i="10"/>
  <c r="I26" i="10"/>
  <c r="H26" i="10"/>
  <c r="AG25" i="10"/>
  <c r="AF25" i="10"/>
  <c r="W25" i="10"/>
  <c r="V25" i="10"/>
  <c r="U25" i="10"/>
  <c r="T25" i="10"/>
  <c r="S25" i="10"/>
  <c r="I25" i="10"/>
  <c r="H25" i="10"/>
  <c r="AG24" i="10"/>
  <c r="AF24" i="10"/>
  <c r="W24" i="10"/>
  <c r="V24" i="10"/>
  <c r="U24" i="10"/>
  <c r="T24" i="10"/>
  <c r="S24" i="10"/>
  <c r="I24" i="10"/>
  <c r="H24" i="10"/>
  <c r="AG23" i="10"/>
  <c r="AF23" i="10"/>
  <c r="W23" i="10"/>
  <c r="V23" i="10"/>
  <c r="U23" i="10"/>
  <c r="T23" i="10"/>
  <c r="S23" i="10"/>
  <c r="I23" i="10"/>
  <c r="H23" i="10"/>
  <c r="AG22" i="10"/>
  <c r="AF22" i="10"/>
  <c r="W22" i="10"/>
  <c r="V22" i="10"/>
  <c r="U22" i="10"/>
  <c r="T22" i="10"/>
  <c r="S22" i="10"/>
  <c r="I22" i="10"/>
  <c r="H22" i="10"/>
  <c r="AG21" i="10"/>
  <c r="AF21" i="10"/>
  <c r="W21" i="10"/>
  <c r="V21" i="10"/>
  <c r="U21" i="10"/>
  <c r="T21" i="10"/>
  <c r="S21" i="10"/>
  <c r="I21" i="10"/>
  <c r="H21" i="10"/>
  <c r="AG20" i="10"/>
  <c r="AF20" i="10"/>
  <c r="W20" i="10"/>
  <c r="V20" i="10"/>
  <c r="U20" i="10"/>
  <c r="T20" i="10"/>
  <c r="S20" i="10"/>
  <c r="I20" i="10"/>
  <c r="H20" i="10"/>
  <c r="AG19" i="10"/>
  <c r="AF19" i="10"/>
  <c r="W19" i="10"/>
  <c r="V19" i="10"/>
  <c r="U19" i="10"/>
  <c r="T19" i="10"/>
  <c r="S19" i="10"/>
  <c r="I19" i="10"/>
  <c r="H19" i="10"/>
  <c r="AG18" i="10"/>
  <c r="AF18" i="10"/>
  <c r="W18" i="10"/>
  <c r="V18" i="10"/>
  <c r="U18" i="10"/>
  <c r="T18" i="10"/>
  <c r="S18" i="10"/>
  <c r="I18" i="10"/>
  <c r="H18" i="10"/>
  <c r="AG17" i="10"/>
  <c r="AF17" i="10"/>
  <c r="W17" i="10"/>
  <c r="V17" i="10"/>
  <c r="U17" i="10"/>
  <c r="T17" i="10"/>
  <c r="S17" i="10"/>
  <c r="I17" i="10"/>
  <c r="H17" i="10"/>
  <c r="AG16" i="10"/>
  <c r="AF16" i="10"/>
  <c r="W16" i="10"/>
  <c r="V16" i="10"/>
  <c r="U16" i="10"/>
  <c r="T16" i="10"/>
  <c r="S16" i="10"/>
  <c r="I16" i="10"/>
  <c r="H16" i="10"/>
  <c r="AG15" i="10"/>
  <c r="AF15" i="10"/>
  <c r="W15" i="10"/>
  <c r="V15" i="10"/>
  <c r="U15" i="10"/>
  <c r="T15" i="10"/>
  <c r="S15" i="10"/>
  <c r="I15" i="10"/>
  <c r="H15" i="10"/>
  <c r="AG14" i="10"/>
  <c r="AF14" i="10"/>
  <c r="W14" i="10"/>
  <c r="V14" i="10"/>
  <c r="U14" i="10"/>
  <c r="T14" i="10"/>
  <c r="S14" i="10"/>
  <c r="I14" i="10"/>
  <c r="H14" i="10"/>
  <c r="AG13" i="10"/>
  <c r="AF13" i="10"/>
  <c r="W13" i="10"/>
  <c r="V13" i="10"/>
  <c r="U13" i="10"/>
  <c r="T13" i="10"/>
  <c r="S13" i="10"/>
  <c r="I13" i="10"/>
  <c r="H13" i="10"/>
  <c r="AG12" i="10"/>
  <c r="AF12" i="10"/>
  <c r="W12" i="10"/>
  <c r="V12" i="10"/>
  <c r="U12" i="10"/>
  <c r="T12" i="10"/>
  <c r="S12" i="10"/>
  <c r="I12" i="10"/>
  <c r="H12" i="10"/>
  <c r="AG11" i="10"/>
  <c r="AF11" i="10"/>
  <c r="W11" i="10"/>
  <c r="V11" i="10"/>
  <c r="U11" i="10"/>
  <c r="T11" i="10"/>
  <c r="S11" i="10"/>
  <c r="I11" i="10"/>
  <c r="H11" i="10"/>
  <c r="AG10" i="10"/>
  <c r="AF10" i="10"/>
  <c r="W10" i="10"/>
  <c r="V10" i="10"/>
  <c r="U10" i="10"/>
  <c r="T10" i="10"/>
  <c r="S10" i="10"/>
  <c r="I10" i="10"/>
  <c r="H10" i="10"/>
  <c r="AG9" i="10"/>
  <c r="AF9" i="10"/>
  <c r="W9" i="10"/>
  <c r="V9" i="10"/>
  <c r="U9" i="10"/>
  <c r="T9" i="10"/>
  <c r="S9" i="10"/>
  <c r="I9" i="10"/>
  <c r="H9" i="10"/>
  <c r="AG8" i="10"/>
  <c r="AF8" i="10"/>
  <c r="W8" i="10"/>
  <c r="V8" i="10"/>
  <c r="U8" i="10"/>
  <c r="T8" i="10"/>
  <c r="S8" i="10"/>
  <c r="I8" i="10"/>
  <c r="H8" i="10"/>
  <c r="AG7" i="10"/>
  <c r="AF7" i="10"/>
  <c r="W7" i="10"/>
  <c r="V7" i="10"/>
  <c r="U7" i="10"/>
  <c r="T7" i="10"/>
  <c r="S7" i="10"/>
  <c r="I7" i="10"/>
  <c r="H7" i="10"/>
  <c r="AG6" i="10"/>
  <c r="AF6" i="10"/>
  <c r="W6" i="10"/>
  <c r="V6" i="10"/>
  <c r="U6" i="10"/>
  <c r="T6" i="10"/>
  <c r="S6" i="10"/>
  <c r="I6" i="10"/>
  <c r="H6" i="10"/>
  <c r="AG5" i="10"/>
  <c r="AF5" i="10"/>
  <c r="W5" i="10"/>
  <c r="V5" i="10"/>
  <c r="U5" i="10"/>
  <c r="T5" i="10"/>
  <c r="S5" i="10"/>
  <c r="I5" i="10"/>
  <c r="H5" i="10"/>
  <c r="AG4" i="10"/>
  <c r="AF4" i="10"/>
  <c r="W4" i="10"/>
  <c r="V4" i="10"/>
  <c r="U4" i="10"/>
  <c r="T4" i="10"/>
  <c r="S4" i="10"/>
  <c r="I4" i="10"/>
  <c r="H4" i="10"/>
  <c r="AG3" i="10"/>
  <c r="AF3" i="10"/>
  <c r="W3" i="10"/>
  <c r="V3" i="10"/>
  <c r="U3" i="10"/>
  <c r="T3" i="10"/>
  <c r="S3" i="10"/>
  <c r="I3" i="10"/>
  <c r="H3" i="10"/>
  <c r="AG2" i="10"/>
  <c r="AF2" i="10"/>
  <c r="W2" i="10"/>
  <c r="V2" i="10"/>
  <c r="U2" i="10"/>
  <c r="T2" i="10"/>
  <c r="S2" i="10"/>
  <c r="I2" i="10"/>
  <c r="H2" i="10"/>
  <c r="AG76" i="24"/>
  <c r="AF76" i="24"/>
  <c r="H76" i="24"/>
  <c r="G76" i="24"/>
  <c r="AG75" i="24"/>
  <c r="AF75" i="24"/>
  <c r="H75" i="24"/>
  <c r="G75" i="24"/>
  <c r="AG74" i="24"/>
  <c r="AF74" i="24"/>
  <c r="H74" i="24"/>
  <c r="G74" i="24"/>
  <c r="AG73" i="24"/>
  <c r="AF73" i="24"/>
  <c r="H73" i="24"/>
  <c r="G73" i="24"/>
  <c r="AG72" i="24"/>
  <c r="AF72" i="24"/>
  <c r="H72" i="24"/>
  <c r="G72" i="24"/>
  <c r="AG71" i="24"/>
  <c r="AF71" i="24"/>
  <c r="H71" i="24"/>
  <c r="G71" i="24"/>
  <c r="AG70" i="24"/>
  <c r="AF70" i="24"/>
  <c r="H70" i="24"/>
  <c r="G70" i="24"/>
  <c r="AG69" i="24"/>
  <c r="AF69" i="24"/>
  <c r="H69" i="24"/>
  <c r="G69" i="24"/>
  <c r="AG68" i="24"/>
  <c r="AF68" i="24"/>
  <c r="H68" i="24"/>
  <c r="G68" i="24"/>
  <c r="AG67" i="24"/>
  <c r="AF67" i="24"/>
  <c r="H67" i="24"/>
  <c r="G67" i="24"/>
  <c r="AG66" i="24"/>
  <c r="AF66" i="24"/>
  <c r="H66" i="24"/>
  <c r="G66" i="24"/>
  <c r="AG65" i="24"/>
  <c r="AF65" i="24"/>
  <c r="H65" i="24"/>
  <c r="G65" i="24"/>
  <c r="AG64" i="24"/>
  <c r="AF64" i="24"/>
  <c r="H64" i="24"/>
  <c r="G64" i="24"/>
  <c r="AG62" i="24"/>
  <c r="AF62" i="24"/>
  <c r="H62" i="24"/>
  <c r="G62" i="24"/>
  <c r="AG61" i="24"/>
  <c r="AF61" i="24"/>
  <c r="H61" i="24"/>
  <c r="G61" i="24"/>
  <c r="AG60" i="24"/>
  <c r="AF60" i="24"/>
  <c r="H60" i="24"/>
  <c r="G60" i="24"/>
  <c r="AG59" i="24"/>
  <c r="AF59" i="24"/>
  <c r="H59" i="24"/>
  <c r="G59" i="24"/>
  <c r="AG58" i="24"/>
  <c r="AF58" i="24"/>
  <c r="H58" i="24"/>
  <c r="G58" i="24"/>
  <c r="AG57" i="24"/>
  <c r="AF57" i="24"/>
  <c r="H57" i="24"/>
  <c r="G57" i="24"/>
  <c r="AG56" i="24"/>
  <c r="AF56" i="24"/>
  <c r="H56" i="24"/>
  <c r="G56" i="24"/>
  <c r="AG55" i="24"/>
  <c r="AF55" i="24"/>
  <c r="H55" i="24"/>
  <c r="G55" i="24"/>
  <c r="AG54" i="24"/>
  <c r="AF54" i="24"/>
  <c r="H54" i="24"/>
  <c r="G54" i="24"/>
  <c r="AG53" i="24"/>
  <c r="AF53" i="24"/>
  <c r="H53" i="24"/>
  <c r="G53" i="24"/>
  <c r="AG52" i="24"/>
  <c r="AF52" i="24"/>
  <c r="H52" i="24"/>
  <c r="G52" i="24"/>
  <c r="AG51" i="24"/>
  <c r="AF51" i="24"/>
  <c r="H51" i="24"/>
  <c r="G51" i="24"/>
  <c r="AG50" i="24"/>
  <c r="AF50" i="24"/>
  <c r="H50" i="24"/>
  <c r="G50" i="24"/>
  <c r="AG49" i="24"/>
  <c r="AF49" i="24"/>
  <c r="H49" i="24"/>
  <c r="G49" i="24"/>
  <c r="AG47" i="24"/>
  <c r="AF47" i="24"/>
  <c r="H47" i="24"/>
  <c r="G47" i="24"/>
  <c r="AG46" i="24"/>
  <c r="AF46" i="24"/>
  <c r="H46" i="24"/>
  <c r="G46" i="24"/>
  <c r="AG44" i="24"/>
  <c r="AF44" i="24"/>
  <c r="H44" i="24"/>
  <c r="G44" i="24"/>
  <c r="AG43" i="24"/>
  <c r="AF43" i="24"/>
  <c r="H43" i="24"/>
  <c r="G43" i="24"/>
  <c r="AG42" i="24"/>
  <c r="AF42" i="24"/>
  <c r="H42" i="24"/>
  <c r="G42" i="24"/>
  <c r="AG41" i="24"/>
  <c r="AF41" i="24"/>
  <c r="H41" i="24"/>
  <c r="G41" i="24"/>
  <c r="AG40" i="24"/>
  <c r="AF40" i="24"/>
  <c r="H40" i="24"/>
  <c r="G40" i="24"/>
  <c r="AG39" i="24"/>
  <c r="AF39" i="24"/>
  <c r="H39" i="24"/>
  <c r="G39" i="24"/>
  <c r="AG38" i="24"/>
  <c r="AF38" i="24"/>
  <c r="H38" i="24"/>
  <c r="G38" i="24"/>
  <c r="AG37" i="24"/>
  <c r="AF37" i="24"/>
  <c r="H37" i="24"/>
  <c r="G37" i="24"/>
  <c r="AG36" i="24"/>
  <c r="AF36" i="24"/>
  <c r="H36" i="24"/>
  <c r="G36" i="24"/>
  <c r="AG35" i="24"/>
  <c r="AF35" i="24"/>
  <c r="H35" i="24"/>
  <c r="G35" i="24"/>
  <c r="AG34" i="24"/>
  <c r="AF34" i="24"/>
  <c r="H34" i="24"/>
  <c r="G34" i="24"/>
  <c r="AG33" i="24"/>
  <c r="AF33" i="24"/>
  <c r="H33" i="24"/>
  <c r="G33" i="24"/>
  <c r="AG32" i="24"/>
  <c r="AF32" i="24"/>
  <c r="H32" i="24"/>
  <c r="G32" i="24"/>
  <c r="AD30" i="24"/>
  <c r="AC30" i="24"/>
  <c r="W30" i="24"/>
  <c r="W35" i="24" s="1"/>
  <c r="V30" i="24"/>
  <c r="V35" i="24" s="1"/>
  <c r="AA35" i="24" s="1"/>
  <c r="U30" i="24"/>
  <c r="U35" i="24" s="1"/>
  <c r="T30" i="24"/>
  <c r="T35" i="24" s="1"/>
  <c r="Y35" i="24" s="1"/>
  <c r="S30" i="24"/>
  <c r="S35" i="24" s="1"/>
  <c r="R30" i="24"/>
  <c r="Q30" i="24"/>
  <c r="P30" i="24"/>
  <c r="O30" i="24"/>
  <c r="N30" i="24"/>
  <c r="I30" i="24"/>
  <c r="I35" i="24" s="1"/>
  <c r="E30" i="24"/>
  <c r="D30" i="24"/>
  <c r="C30" i="24"/>
  <c r="AD29" i="24"/>
  <c r="AC29" i="24"/>
  <c r="W29" i="24"/>
  <c r="W71" i="24" s="1"/>
  <c r="V29" i="24"/>
  <c r="V71" i="24" s="1"/>
  <c r="AA71" i="24" s="1"/>
  <c r="U29" i="24"/>
  <c r="U57" i="24" s="1"/>
  <c r="T29" i="24"/>
  <c r="T57" i="24" s="1"/>
  <c r="S29" i="24"/>
  <c r="S71" i="24" s="1"/>
  <c r="R29" i="24"/>
  <c r="Q29" i="24"/>
  <c r="P29" i="24"/>
  <c r="O29" i="24"/>
  <c r="N29" i="24"/>
  <c r="I29" i="24"/>
  <c r="I71" i="24" s="1"/>
  <c r="E29" i="24"/>
  <c r="D29" i="24"/>
  <c r="C29" i="24"/>
  <c r="AD28" i="24"/>
  <c r="AC28" i="24"/>
  <c r="W28" i="24"/>
  <c r="W43" i="24" s="1"/>
  <c r="V28" i="24"/>
  <c r="V43" i="24" s="1"/>
  <c r="U28" i="24"/>
  <c r="U43" i="24" s="1"/>
  <c r="T28" i="24"/>
  <c r="T43" i="24" s="1"/>
  <c r="Y43" i="24" s="1"/>
  <c r="S28" i="24"/>
  <c r="S43" i="24" s="1"/>
  <c r="R28" i="24"/>
  <c r="Q28" i="24"/>
  <c r="P28" i="24"/>
  <c r="O28" i="24"/>
  <c r="N28" i="24"/>
  <c r="I28" i="24"/>
  <c r="I43" i="24" s="1"/>
  <c r="L43" i="24" s="1"/>
  <c r="E28" i="24"/>
  <c r="D28" i="24"/>
  <c r="C28" i="24"/>
  <c r="AD27" i="24"/>
  <c r="AC27" i="24"/>
  <c r="W27" i="24"/>
  <c r="W62" i="24" s="1"/>
  <c r="V27" i="24"/>
  <c r="V62" i="24" s="1"/>
  <c r="U27" i="24"/>
  <c r="U76" i="24" s="1"/>
  <c r="T27" i="24"/>
  <c r="T76" i="24" s="1"/>
  <c r="S27" i="24"/>
  <c r="S62" i="24" s="1"/>
  <c r="R27" i="24"/>
  <c r="Q27" i="24"/>
  <c r="P27" i="24"/>
  <c r="O27" i="24"/>
  <c r="N27" i="24"/>
  <c r="I27" i="24"/>
  <c r="I62" i="24" s="1"/>
  <c r="E27" i="24"/>
  <c r="D27" i="24"/>
  <c r="C27" i="24"/>
  <c r="AD26" i="24"/>
  <c r="AC26" i="24"/>
  <c r="W26" i="24"/>
  <c r="W36" i="24" s="1"/>
  <c r="V26" i="24"/>
  <c r="V36" i="24" s="1"/>
  <c r="U26" i="24"/>
  <c r="U36" i="24" s="1"/>
  <c r="Z36" i="24" s="1"/>
  <c r="T26" i="24"/>
  <c r="T36" i="24" s="1"/>
  <c r="Y36" i="24" s="1"/>
  <c r="S26" i="24"/>
  <c r="S36" i="24" s="1"/>
  <c r="X36" i="24" s="1"/>
  <c r="R26" i="24"/>
  <c r="Q26" i="24"/>
  <c r="P26" i="24"/>
  <c r="O26" i="24"/>
  <c r="N26" i="24"/>
  <c r="I26" i="24"/>
  <c r="I36" i="24" s="1"/>
  <c r="E26" i="24"/>
  <c r="D26" i="24"/>
  <c r="C26" i="24"/>
  <c r="AD25" i="24"/>
  <c r="AC25" i="24"/>
  <c r="W25" i="24"/>
  <c r="W50" i="24" s="1"/>
  <c r="V25" i="24"/>
  <c r="V50" i="24" s="1"/>
  <c r="U25" i="24"/>
  <c r="U64" i="24" s="1"/>
  <c r="T25" i="24"/>
  <c r="T64" i="24" s="1"/>
  <c r="S25" i="24"/>
  <c r="S50" i="24" s="1"/>
  <c r="R25" i="24"/>
  <c r="Q25" i="24"/>
  <c r="P25" i="24"/>
  <c r="O25" i="24"/>
  <c r="N25" i="24"/>
  <c r="I25" i="24"/>
  <c r="I50" i="24" s="1"/>
  <c r="E25" i="24"/>
  <c r="D25" i="24"/>
  <c r="C25" i="24"/>
  <c r="AD24" i="24"/>
  <c r="AC24" i="24"/>
  <c r="W24" i="24"/>
  <c r="W69" i="24" s="1"/>
  <c r="V24" i="24"/>
  <c r="V69" i="24" s="1"/>
  <c r="U24" i="24"/>
  <c r="U55" i="24" s="1"/>
  <c r="T24" i="24"/>
  <c r="T55" i="24" s="1"/>
  <c r="S24" i="24"/>
  <c r="S69" i="24" s="1"/>
  <c r="R24" i="24"/>
  <c r="Q24" i="24"/>
  <c r="P24" i="24"/>
  <c r="O24" i="24"/>
  <c r="N24" i="24"/>
  <c r="I24" i="24"/>
  <c r="I69" i="24" s="1"/>
  <c r="E24" i="24"/>
  <c r="D24" i="24"/>
  <c r="C24" i="24"/>
  <c r="AD23" i="24"/>
  <c r="AC23" i="24"/>
  <c r="W23" i="24"/>
  <c r="W49" i="24" s="1"/>
  <c r="V23" i="24"/>
  <c r="V49" i="24" s="1"/>
  <c r="U23" i="24"/>
  <c r="U49" i="24" s="1"/>
  <c r="T23" i="24"/>
  <c r="T49" i="24" s="1"/>
  <c r="S23" i="24"/>
  <c r="S49" i="24" s="1"/>
  <c r="R23" i="24"/>
  <c r="Q23" i="24"/>
  <c r="P23" i="24"/>
  <c r="O23" i="24"/>
  <c r="N23" i="24"/>
  <c r="I23" i="24"/>
  <c r="I49" i="24" s="1"/>
  <c r="E23" i="24"/>
  <c r="D23" i="24"/>
  <c r="C23" i="24"/>
  <c r="AD22" i="24"/>
  <c r="AC22" i="24"/>
  <c r="W22" i="24"/>
  <c r="W37" i="24" s="1"/>
  <c r="V22" i="24"/>
  <c r="V37" i="24" s="1"/>
  <c r="U22" i="24"/>
  <c r="U37" i="24" s="1"/>
  <c r="T22" i="24"/>
  <c r="T37" i="24" s="1"/>
  <c r="S22" i="24"/>
  <c r="S37" i="24" s="1"/>
  <c r="X37" i="24" s="1"/>
  <c r="R22" i="24"/>
  <c r="Q22" i="24"/>
  <c r="P22" i="24"/>
  <c r="O22" i="24"/>
  <c r="N22" i="24"/>
  <c r="I22" i="24"/>
  <c r="I37" i="24" s="1"/>
  <c r="E22" i="24"/>
  <c r="D22" i="24"/>
  <c r="C22" i="24"/>
  <c r="AD21" i="24"/>
  <c r="AC21" i="24"/>
  <c r="W21" i="24"/>
  <c r="W65" i="24" s="1"/>
  <c r="V21" i="24"/>
  <c r="V65" i="24" s="1"/>
  <c r="U21" i="24"/>
  <c r="U51" i="24" s="1"/>
  <c r="T21" i="24"/>
  <c r="T51" i="24" s="1"/>
  <c r="S21" i="24"/>
  <c r="S65" i="24" s="1"/>
  <c r="X65" i="24" s="1"/>
  <c r="R21" i="24"/>
  <c r="Q21" i="24"/>
  <c r="P21" i="24"/>
  <c r="O21" i="24"/>
  <c r="N21" i="24"/>
  <c r="I21" i="24"/>
  <c r="I65" i="24" s="1"/>
  <c r="E21" i="24"/>
  <c r="D21" i="24"/>
  <c r="C21" i="24"/>
  <c r="AD20" i="24"/>
  <c r="AC20" i="24"/>
  <c r="W20" i="24"/>
  <c r="W56" i="24" s="1"/>
  <c r="V20" i="24"/>
  <c r="V56" i="24" s="1"/>
  <c r="U20" i="24"/>
  <c r="U70" i="24" s="1"/>
  <c r="T20" i="24"/>
  <c r="T70" i="24" s="1"/>
  <c r="S20" i="24"/>
  <c r="S56" i="24" s="1"/>
  <c r="R20" i="24"/>
  <c r="Q20" i="24"/>
  <c r="P20" i="24"/>
  <c r="O20" i="24"/>
  <c r="N20" i="24"/>
  <c r="I20" i="24"/>
  <c r="I56" i="24" s="1"/>
  <c r="E20" i="24"/>
  <c r="D20" i="24"/>
  <c r="C20" i="24"/>
  <c r="AD19" i="24"/>
  <c r="AC19" i="24"/>
  <c r="W19" i="24"/>
  <c r="W42" i="24" s="1"/>
  <c r="V19" i="24"/>
  <c r="V42" i="24" s="1"/>
  <c r="U19" i="24"/>
  <c r="U42" i="24" s="1"/>
  <c r="T19" i="24"/>
  <c r="T42" i="24" s="1"/>
  <c r="S19" i="24"/>
  <c r="S42" i="24" s="1"/>
  <c r="X42" i="24" s="1"/>
  <c r="R19" i="24"/>
  <c r="Q19" i="24"/>
  <c r="P19" i="24"/>
  <c r="O19" i="24"/>
  <c r="N19" i="24"/>
  <c r="I19" i="24"/>
  <c r="I42" i="24" s="1"/>
  <c r="E19" i="24"/>
  <c r="D19" i="24"/>
  <c r="C19" i="24"/>
  <c r="AD18" i="24"/>
  <c r="AC18" i="24"/>
  <c r="W18" i="24"/>
  <c r="W75" i="24" s="1"/>
  <c r="V18" i="24"/>
  <c r="V75" i="24" s="1"/>
  <c r="U18" i="24"/>
  <c r="U61" i="24" s="1"/>
  <c r="T18" i="24"/>
  <c r="T61" i="24" s="1"/>
  <c r="S18" i="24"/>
  <c r="S75" i="24" s="1"/>
  <c r="R18" i="24"/>
  <c r="Q18" i="24"/>
  <c r="P18" i="24"/>
  <c r="O18" i="24"/>
  <c r="N18" i="24"/>
  <c r="I18" i="24"/>
  <c r="I75" i="24" s="1"/>
  <c r="E18" i="24"/>
  <c r="D18" i="24"/>
  <c r="C18" i="24"/>
  <c r="AD17" i="24"/>
  <c r="AC17" i="24"/>
  <c r="W17" i="24"/>
  <c r="W52" i="24" s="1"/>
  <c r="AB52" i="24" s="1"/>
  <c r="V17" i="24"/>
  <c r="V52" i="24" s="1"/>
  <c r="U17" i="24"/>
  <c r="U66" i="24" s="1"/>
  <c r="T17" i="24"/>
  <c r="T66" i="24" s="1"/>
  <c r="S17" i="24"/>
  <c r="S52" i="24" s="1"/>
  <c r="R17" i="24"/>
  <c r="Q17" i="24"/>
  <c r="P17" i="24"/>
  <c r="O17" i="24"/>
  <c r="N17" i="24"/>
  <c r="I17" i="24"/>
  <c r="I52" i="24" s="1"/>
  <c r="E17" i="24"/>
  <c r="D17" i="24"/>
  <c r="C17" i="24"/>
  <c r="AD16" i="24"/>
  <c r="AC16" i="24"/>
  <c r="W16" i="24"/>
  <c r="W58" i="24" s="1"/>
  <c r="V16" i="24"/>
  <c r="V58" i="24" s="1"/>
  <c r="U16" i="24"/>
  <c r="U72" i="24" s="1"/>
  <c r="T16" i="24"/>
  <c r="T72" i="24" s="1"/>
  <c r="S16" i="24"/>
  <c r="S58" i="24" s="1"/>
  <c r="R16" i="24"/>
  <c r="Q16" i="24"/>
  <c r="P16" i="24"/>
  <c r="O16" i="24"/>
  <c r="N16" i="24"/>
  <c r="I16" i="24"/>
  <c r="I58" i="24" s="1"/>
  <c r="E16" i="24"/>
  <c r="D16" i="24"/>
  <c r="C16" i="24"/>
  <c r="AD15" i="24"/>
  <c r="AC15" i="24"/>
  <c r="W15" i="24"/>
  <c r="W44" i="24" s="1"/>
  <c r="V15" i="24"/>
  <c r="V44" i="24" s="1"/>
  <c r="U15" i="24"/>
  <c r="U44" i="24" s="1"/>
  <c r="Z44" i="24" s="1"/>
  <c r="T15" i="24"/>
  <c r="T44" i="24" s="1"/>
  <c r="S15" i="24"/>
  <c r="S44" i="24" s="1"/>
  <c r="R15" i="24"/>
  <c r="Q15" i="24"/>
  <c r="P15" i="24"/>
  <c r="O15" i="24"/>
  <c r="N15" i="24"/>
  <c r="I15" i="24"/>
  <c r="I44" i="24" s="1"/>
  <c r="E15" i="24"/>
  <c r="D15" i="24"/>
  <c r="C15" i="24"/>
  <c r="AD14" i="24"/>
  <c r="AC14" i="24"/>
  <c r="W14" i="24"/>
  <c r="W34" i="24" s="1"/>
  <c r="V14" i="24"/>
  <c r="V34" i="24" s="1"/>
  <c r="U14" i="24"/>
  <c r="U34" i="24" s="1"/>
  <c r="Z34" i="24" s="1"/>
  <c r="T14" i="24"/>
  <c r="T34" i="24" s="1"/>
  <c r="S14" i="24"/>
  <c r="S34" i="24" s="1"/>
  <c r="R14" i="24"/>
  <c r="Q14" i="24"/>
  <c r="P14" i="24"/>
  <c r="O14" i="24"/>
  <c r="N14" i="24"/>
  <c r="I14" i="24"/>
  <c r="I34" i="24" s="1"/>
  <c r="M34" i="24" s="1"/>
  <c r="E14" i="24"/>
  <c r="D14" i="24"/>
  <c r="C14" i="24"/>
  <c r="AD13" i="24"/>
  <c r="AC13" i="24"/>
  <c r="W13" i="24"/>
  <c r="W33" i="24" s="1"/>
  <c r="AB33" i="24" s="1"/>
  <c r="V13" i="24"/>
  <c r="V33" i="24" s="1"/>
  <c r="U13" i="24"/>
  <c r="U33" i="24" s="1"/>
  <c r="T13" i="24"/>
  <c r="T33" i="24" s="1"/>
  <c r="S13" i="24"/>
  <c r="S33" i="24" s="1"/>
  <c r="X33" i="24" s="1"/>
  <c r="R13" i="24"/>
  <c r="Q13" i="24"/>
  <c r="P13" i="24"/>
  <c r="O13" i="24"/>
  <c r="N13" i="24"/>
  <c r="I13" i="24"/>
  <c r="I33" i="24" s="1"/>
  <c r="E13" i="24"/>
  <c r="D13" i="24"/>
  <c r="C13" i="24"/>
  <c r="AD12" i="24"/>
  <c r="AC12" i="24"/>
  <c r="W12" i="24"/>
  <c r="W60" i="24" s="1"/>
  <c r="V12" i="24"/>
  <c r="V60" i="24" s="1"/>
  <c r="U12" i="24"/>
  <c r="U74" i="24" s="1"/>
  <c r="T12" i="24"/>
  <c r="T74" i="24" s="1"/>
  <c r="S12" i="24"/>
  <c r="S60" i="24" s="1"/>
  <c r="R12" i="24"/>
  <c r="Q12" i="24"/>
  <c r="P12" i="24"/>
  <c r="O12" i="24"/>
  <c r="N12" i="24"/>
  <c r="I12" i="24"/>
  <c r="I60" i="24" s="1"/>
  <c r="E12" i="24"/>
  <c r="D12" i="24"/>
  <c r="C12" i="24"/>
  <c r="AD11" i="24"/>
  <c r="AC11" i="24"/>
  <c r="W11" i="24"/>
  <c r="W39" i="24" s="1"/>
  <c r="V11" i="24"/>
  <c r="V39" i="24" s="1"/>
  <c r="U11" i="24"/>
  <c r="U39" i="24" s="1"/>
  <c r="T11" i="24"/>
  <c r="T39" i="24" s="1"/>
  <c r="Y39" i="24" s="1"/>
  <c r="S11" i="24"/>
  <c r="S39" i="24" s="1"/>
  <c r="R11" i="24"/>
  <c r="Q11" i="24"/>
  <c r="P11" i="24"/>
  <c r="O11" i="24"/>
  <c r="N11" i="24"/>
  <c r="I11" i="24"/>
  <c r="I39" i="24" s="1"/>
  <c r="L39" i="24" s="1"/>
  <c r="E11" i="24"/>
  <c r="D11" i="24"/>
  <c r="C11" i="24"/>
  <c r="AD10" i="24"/>
  <c r="AC10" i="24"/>
  <c r="W10" i="24"/>
  <c r="W46" i="24" s="1"/>
  <c r="V10" i="24"/>
  <c r="V46" i="24" s="1"/>
  <c r="U10" i="24"/>
  <c r="U46" i="24" s="1"/>
  <c r="T10" i="24"/>
  <c r="T46" i="24" s="1"/>
  <c r="Y46" i="24" s="1"/>
  <c r="S10" i="24"/>
  <c r="S46" i="24" s="1"/>
  <c r="R10" i="24"/>
  <c r="Q10" i="24"/>
  <c r="P10" i="24"/>
  <c r="O10" i="24"/>
  <c r="N10" i="24"/>
  <c r="I10" i="24"/>
  <c r="I46" i="24" s="1"/>
  <c r="E10" i="24"/>
  <c r="D10" i="24"/>
  <c r="C10" i="24"/>
  <c r="AD9" i="24"/>
  <c r="AC9" i="24"/>
  <c r="W9" i="24"/>
  <c r="W54" i="24" s="1"/>
  <c r="V9" i="24"/>
  <c r="V54" i="24" s="1"/>
  <c r="U9" i="24"/>
  <c r="U68" i="24" s="1"/>
  <c r="T9" i="24"/>
  <c r="T68" i="24" s="1"/>
  <c r="S9" i="24"/>
  <c r="S54" i="24" s="1"/>
  <c r="R9" i="24"/>
  <c r="Q9" i="24"/>
  <c r="P9" i="24"/>
  <c r="O9" i="24"/>
  <c r="N9" i="24"/>
  <c r="I9" i="24"/>
  <c r="I54" i="24" s="1"/>
  <c r="E9" i="24"/>
  <c r="D9" i="24"/>
  <c r="C9" i="24"/>
  <c r="AD8" i="24"/>
  <c r="AC8" i="24"/>
  <c r="W8" i="24"/>
  <c r="W41" i="24" s="1"/>
  <c r="V8" i="24"/>
  <c r="V41" i="24" s="1"/>
  <c r="AA41" i="24" s="1"/>
  <c r="U8" i="24"/>
  <c r="U41" i="24" s="1"/>
  <c r="T8" i="24"/>
  <c r="T41" i="24" s="1"/>
  <c r="S8" i="24"/>
  <c r="S41" i="24" s="1"/>
  <c r="R8" i="24"/>
  <c r="Q8" i="24"/>
  <c r="P8" i="24"/>
  <c r="O8" i="24"/>
  <c r="N8" i="24"/>
  <c r="I8" i="24"/>
  <c r="I41" i="24" s="1"/>
  <c r="E8" i="24"/>
  <c r="D8" i="24"/>
  <c r="C8" i="24"/>
  <c r="AD7" i="24"/>
  <c r="AC7" i="24"/>
  <c r="W7" i="24"/>
  <c r="W73" i="24" s="1"/>
  <c r="V7" i="24"/>
  <c r="V73" i="24" s="1"/>
  <c r="U7" i="24"/>
  <c r="U59" i="24" s="1"/>
  <c r="T7" i="24"/>
  <c r="T59" i="24" s="1"/>
  <c r="S7" i="24"/>
  <c r="S73" i="24" s="1"/>
  <c r="R7" i="24"/>
  <c r="Q7" i="24"/>
  <c r="P7" i="24"/>
  <c r="O7" i="24"/>
  <c r="N7" i="24"/>
  <c r="I7" i="24"/>
  <c r="I73" i="24" s="1"/>
  <c r="E7" i="24"/>
  <c r="D7" i="24"/>
  <c r="C7" i="24"/>
  <c r="AD6" i="24"/>
  <c r="AC6" i="24"/>
  <c r="W6" i="24"/>
  <c r="W47" i="24" s="1"/>
  <c r="AB47" i="24" s="1"/>
  <c r="V6" i="24"/>
  <c r="V47" i="24" s="1"/>
  <c r="U6" i="24"/>
  <c r="U47" i="24" s="1"/>
  <c r="T6" i="24"/>
  <c r="T47" i="24" s="1"/>
  <c r="S6" i="24"/>
  <c r="S47" i="24" s="1"/>
  <c r="R6" i="24"/>
  <c r="Q6" i="24"/>
  <c r="P6" i="24"/>
  <c r="O6" i="24"/>
  <c r="N6" i="24"/>
  <c r="I6" i="24"/>
  <c r="I47" i="24" s="1"/>
  <c r="L47" i="24" s="1"/>
  <c r="E6" i="24"/>
  <c r="D6" i="24"/>
  <c r="C6" i="24"/>
  <c r="AD5" i="24"/>
  <c r="AC5" i="24"/>
  <c r="W5" i="24"/>
  <c r="W67" i="24" s="1"/>
  <c r="AB67" i="24" s="1"/>
  <c r="V5" i="24"/>
  <c r="V67" i="24" s="1"/>
  <c r="U5" i="24"/>
  <c r="U53" i="24" s="1"/>
  <c r="Z53" i="24" s="1"/>
  <c r="T5" i="24"/>
  <c r="T53" i="24" s="1"/>
  <c r="S5" i="24"/>
  <c r="S67" i="24" s="1"/>
  <c r="R5" i="24"/>
  <c r="Q5" i="24"/>
  <c r="P5" i="24"/>
  <c r="O5" i="24"/>
  <c r="N5" i="24"/>
  <c r="I5" i="24"/>
  <c r="I67" i="24" s="1"/>
  <c r="E5" i="24"/>
  <c r="D5" i="24"/>
  <c r="C5" i="24"/>
  <c r="AD4" i="24"/>
  <c r="AC4" i="24"/>
  <c r="W4" i="24"/>
  <c r="W40" i="24" s="1"/>
  <c r="V4" i="24"/>
  <c r="V40" i="24" s="1"/>
  <c r="U4" i="24"/>
  <c r="U40" i="24" s="1"/>
  <c r="T4" i="24"/>
  <c r="T40" i="24" s="1"/>
  <c r="S4" i="24"/>
  <c r="S40" i="24" s="1"/>
  <c r="R4" i="24"/>
  <c r="Q4" i="24"/>
  <c r="P4" i="24"/>
  <c r="O4" i="24"/>
  <c r="N4" i="24"/>
  <c r="I4" i="24"/>
  <c r="I40" i="24" s="1"/>
  <c r="L40" i="24" s="1"/>
  <c r="E4" i="24"/>
  <c r="D4" i="24"/>
  <c r="C4" i="24"/>
  <c r="AD3" i="24"/>
  <c r="AC3" i="24"/>
  <c r="W3" i="24"/>
  <c r="W32" i="24" s="1"/>
  <c r="V3" i="24"/>
  <c r="V32" i="24" s="1"/>
  <c r="U3" i="24"/>
  <c r="U32" i="24" s="1"/>
  <c r="T3" i="24"/>
  <c r="T32" i="24" s="1"/>
  <c r="S3" i="24"/>
  <c r="S32" i="24" s="1"/>
  <c r="R3" i="24"/>
  <c r="Q3" i="24"/>
  <c r="P3" i="24"/>
  <c r="O3" i="24"/>
  <c r="N3" i="24"/>
  <c r="I3" i="24"/>
  <c r="I32" i="24" s="1"/>
  <c r="E3" i="24"/>
  <c r="E32" i="24" s="1"/>
  <c r="D3" i="24"/>
  <c r="C3" i="24"/>
  <c r="AD2" i="24"/>
  <c r="AC2" i="24"/>
  <c r="W2" i="24"/>
  <c r="W38" i="24" s="1"/>
  <c r="V2" i="24"/>
  <c r="V38" i="24" s="1"/>
  <c r="AA38" i="24" s="1"/>
  <c r="U2" i="24"/>
  <c r="U38" i="24" s="1"/>
  <c r="T2" i="24"/>
  <c r="T38" i="24" s="1"/>
  <c r="S2" i="24"/>
  <c r="S38" i="24" s="1"/>
  <c r="R2" i="24"/>
  <c r="Q2" i="24"/>
  <c r="P2" i="24"/>
  <c r="O2" i="24"/>
  <c r="N2" i="24"/>
  <c r="I2" i="24"/>
  <c r="I38" i="24" s="1"/>
  <c r="L38" i="24" s="1"/>
  <c r="E2" i="24"/>
  <c r="D2" i="24"/>
  <c r="C2" i="24"/>
  <c r="P71" i="24"/>
  <c r="O71" i="24"/>
  <c r="P66" i="24"/>
  <c r="R65" i="24"/>
  <c r="O62" i="24"/>
  <c r="N62" i="24"/>
  <c r="Z61" i="24"/>
  <c r="E61" i="24"/>
  <c r="AC57" i="24"/>
  <c r="AI55" i="24"/>
  <c r="R55" i="24"/>
  <c r="Q55" i="24"/>
  <c r="X54" i="24"/>
  <c r="D54" i="24"/>
  <c r="C54" i="24"/>
  <c r="E53" i="24"/>
  <c r="K52" i="24"/>
  <c r="AC49" i="24"/>
  <c r="R49" i="24"/>
  <c r="J49" i="24"/>
  <c r="Z46" i="24"/>
  <c r="Q46" i="24"/>
  <c r="P46" i="24"/>
  <c r="E46" i="24"/>
  <c r="K45" i="24"/>
  <c r="AJ44" i="24"/>
  <c r="AH44" i="24"/>
  <c r="Y44" i="24"/>
  <c r="P44" i="24"/>
  <c r="O44" i="24"/>
  <c r="J44" i="24"/>
  <c r="D44" i="24"/>
  <c r="AI43" i="24"/>
  <c r="AA43" i="24"/>
  <c r="R43" i="24"/>
  <c r="Q43" i="24"/>
  <c r="AI42" i="24"/>
  <c r="Y42" i="24"/>
  <c r="O42" i="24"/>
  <c r="N42" i="24"/>
  <c r="K42" i="24"/>
  <c r="D42" i="24"/>
  <c r="C42" i="24"/>
  <c r="Z41" i="24"/>
  <c r="Q41" i="24"/>
  <c r="P41" i="24"/>
  <c r="E41" i="24"/>
  <c r="AH40" i="24"/>
  <c r="AD40" i="24"/>
  <c r="R40" i="24"/>
  <c r="N40" i="24"/>
  <c r="AH39" i="24"/>
  <c r="P39" i="24"/>
  <c r="N39" i="24"/>
  <c r="J39" i="24"/>
  <c r="D39" i="24"/>
  <c r="R38" i="24"/>
  <c r="K38" i="24"/>
  <c r="AD37" i="24"/>
  <c r="AC37" i="24"/>
  <c r="AE37" i="24" s="1"/>
  <c r="R37" i="24"/>
  <c r="N37" i="24"/>
  <c r="L37" i="24"/>
  <c r="K37" i="24"/>
  <c r="AA36" i="24"/>
  <c r="J36" i="24"/>
  <c r="E36" i="24"/>
  <c r="K35" i="24"/>
  <c r="AI34" i="24"/>
  <c r="AD34" i="24"/>
  <c r="AC34" i="24"/>
  <c r="AA34" i="24"/>
  <c r="R34" i="24"/>
  <c r="Q34" i="24"/>
  <c r="N34" i="24"/>
  <c r="L34" i="24"/>
  <c r="E34" i="24"/>
  <c r="AH33" i="24"/>
  <c r="Y33" i="24"/>
  <c r="P33" i="24"/>
  <c r="O33" i="24"/>
  <c r="K33" i="24"/>
  <c r="D33" i="24"/>
  <c r="C33" i="24"/>
  <c r="AI32" i="24"/>
  <c r="AC32" i="24"/>
  <c r="AG30" i="24"/>
  <c r="AI35" i="24" s="1"/>
  <c r="AF30" i="24"/>
  <c r="AD35" i="24"/>
  <c r="AE30" i="24"/>
  <c r="AB35" i="24"/>
  <c r="Z35" i="24"/>
  <c r="X35" i="24"/>
  <c r="R35" i="24"/>
  <c r="Q35" i="24"/>
  <c r="P35" i="24"/>
  <c r="O35" i="24"/>
  <c r="N35" i="24"/>
  <c r="L35" i="24"/>
  <c r="H30" i="24"/>
  <c r="G30" i="24"/>
  <c r="E35" i="24"/>
  <c r="D35" i="24"/>
  <c r="F30" i="24"/>
  <c r="AG29" i="24"/>
  <c r="AF29" i="24"/>
  <c r="AC71" i="24"/>
  <c r="P57" i="24"/>
  <c r="O57" i="24"/>
  <c r="N71" i="24"/>
  <c r="H29" i="24"/>
  <c r="G29" i="24"/>
  <c r="AG28" i="24"/>
  <c r="AF28" i="24"/>
  <c r="AD43" i="24"/>
  <c r="AE28" i="24"/>
  <c r="AB43" i="24"/>
  <c r="Z43" i="24"/>
  <c r="X43" i="24"/>
  <c r="P43" i="24"/>
  <c r="O43" i="24"/>
  <c r="N43" i="24"/>
  <c r="H28" i="24"/>
  <c r="K43" i="24" s="1"/>
  <c r="G28" i="24"/>
  <c r="E43" i="24"/>
  <c r="D43" i="24"/>
  <c r="AG27" i="24"/>
  <c r="AF27" i="24"/>
  <c r="O76" i="24"/>
  <c r="N76" i="24"/>
  <c r="H27" i="24"/>
  <c r="G27" i="24"/>
  <c r="AG26" i="24"/>
  <c r="AI36" i="24" s="1"/>
  <c r="AF26" i="24"/>
  <c r="AH36" i="24" s="1"/>
  <c r="AD36" i="24"/>
  <c r="AC36" i="24"/>
  <c r="AE36" i="24" s="1"/>
  <c r="AB36" i="24"/>
  <c r="R36" i="24"/>
  <c r="Q36" i="24"/>
  <c r="P36" i="24"/>
  <c r="O36" i="24"/>
  <c r="N36" i="24"/>
  <c r="L36" i="24"/>
  <c r="H26" i="24"/>
  <c r="K36" i="24" s="1"/>
  <c r="G26" i="24"/>
  <c r="D36" i="24"/>
  <c r="AG25" i="24"/>
  <c r="AF25" i="24"/>
  <c r="H25" i="24"/>
  <c r="G25" i="24"/>
  <c r="D50" i="24"/>
  <c r="C64" i="24"/>
  <c r="AG24" i="24"/>
  <c r="AI69" i="24" s="1"/>
  <c r="AF24" i="24"/>
  <c r="Y55" i="24"/>
  <c r="R69" i="24"/>
  <c r="Q69" i="24"/>
  <c r="L69" i="24"/>
  <c r="H24" i="24"/>
  <c r="G24" i="24"/>
  <c r="AG23" i="24"/>
  <c r="AF23" i="24"/>
  <c r="Q49" i="24"/>
  <c r="P49" i="24"/>
  <c r="O49" i="24"/>
  <c r="N49" i="24"/>
  <c r="H23" i="24"/>
  <c r="G23" i="24"/>
  <c r="D49" i="24"/>
  <c r="C49" i="24"/>
  <c r="AG22" i="24"/>
  <c r="AI37" i="24" s="1"/>
  <c r="AF22" i="24"/>
  <c r="AJ37" i="24" s="1"/>
  <c r="AE22" i="24"/>
  <c r="AB37" i="24"/>
  <c r="AA37" i="24"/>
  <c r="Z37" i="24"/>
  <c r="Y37" i="24"/>
  <c r="Q37" i="24"/>
  <c r="P37" i="24"/>
  <c r="O37" i="24"/>
  <c r="H22" i="24"/>
  <c r="G22" i="24"/>
  <c r="J37" i="24" s="1"/>
  <c r="E37" i="24"/>
  <c r="D37" i="24"/>
  <c r="AG21" i="24"/>
  <c r="AI65" i="24" s="1"/>
  <c r="AF21" i="24"/>
  <c r="R51" i="24"/>
  <c r="L65" i="24"/>
  <c r="H21" i="24"/>
  <c r="G21" i="24"/>
  <c r="C51" i="24"/>
  <c r="AG20" i="24"/>
  <c r="AF20" i="24"/>
  <c r="R56" i="24"/>
  <c r="Q56" i="24"/>
  <c r="P70" i="24"/>
  <c r="O70" i="24"/>
  <c r="H20" i="24"/>
  <c r="K70" i="24" s="1"/>
  <c r="G20" i="24"/>
  <c r="AG19" i="24"/>
  <c r="AF19" i="24"/>
  <c r="AE19" i="24"/>
  <c r="AC42" i="24"/>
  <c r="AB42" i="24"/>
  <c r="AA42" i="24"/>
  <c r="Z42" i="24"/>
  <c r="R42" i="24"/>
  <c r="Q42" i="24"/>
  <c r="P42" i="24"/>
  <c r="L42" i="24"/>
  <c r="H19" i="24"/>
  <c r="G19" i="24"/>
  <c r="AG18" i="24"/>
  <c r="AI75" i="24" s="1"/>
  <c r="AF18" i="24"/>
  <c r="AA75" i="24"/>
  <c r="N75" i="24"/>
  <c r="H18" i="24"/>
  <c r="K61" i="24" s="1"/>
  <c r="G18" i="24"/>
  <c r="E75" i="24"/>
  <c r="AG17" i="24"/>
  <c r="AI52" i="24" s="1"/>
  <c r="AF17" i="24"/>
  <c r="P52" i="24"/>
  <c r="O66" i="24"/>
  <c r="H17" i="24"/>
  <c r="K66" i="24" s="1"/>
  <c r="G17" i="24"/>
  <c r="AG16" i="24"/>
  <c r="AF16" i="24"/>
  <c r="Y72" i="24"/>
  <c r="N58" i="24"/>
  <c r="H16" i="24"/>
  <c r="G16" i="24"/>
  <c r="D72" i="24"/>
  <c r="AG15" i="24"/>
  <c r="AI44" i="24" s="1"/>
  <c r="AF15" i="24"/>
  <c r="AC44" i="24"/>
  <c r="AB44" i="24"/>
  <c r="AA44" i="24"/>
  <c r="X44" i="24"/>
  <c r="R44" i="24"/>
  <c r="Q44" i="24"/>
  <c r="N44" i="24"/>
  <c r="L44" i="24"/>
  <c r="H15" i="24"/>
  <c r="K44" i="24" s="1"/>
  <c r="G15" i="24"/>
  <c r="M44" i="24" s="1"/>
  <c r="C44" i="24"/>
  <c r="AG14" i="24"/>
  <c r="AF14" i="24"/>
  <c r="AE14" i="24"/>
  <c r="AB34" i="24"/>
  <c r="Y34" i="24"/>
  <c r="X34" i="24"/>
  <c r="P34" i="24"/>
  <c r="O34" i="24"/>
  <c r="H14" i="24"/>
  <c r="K34" i="24" s="1"/>
  <c r="G14" i="24"/>
  <c r="J34" i="24" s="1"/>
  <c r="D34" i="24"/>
  <c r="AG13" i="24"/>
  <c r="AI31" i="24" s="1"/>
  <c r="AF13" i="24"/>
  <c r="AC33" i="24"/>
  <c r="AA33" i="24"/>
  <c r="Z33" i="24"/>
  <c r="R33" i="24"/>
  <c r="Q33" i="24"/>
  <c r="N33" i="24"/>
  <c r="L33" i="24"/>
  <c r="H13" i="24"/>
  <c r="G13" i="24"/>
  <c r="AG12" i="24"/>
  <c r="AF12" i="24"/>
  <c r="P74" i="24"/>
  <c r="L60" i="24"/>
  <c r="H12" i="24"/>
  <c r="K74" i="24" s="1"/>
  <c r="G12" i="24"/>
  <c r="AG11" i="24"/>
  <c r="AI39" i="24" s="1"/>
  <c r="AF11" i="24"/>
  <c r="AE11" i="24"/>
  <c r="AC39" i="24"/>
  <c r="AB39" i="24"/>
  <c r="AA39" i="24"/>
  <c r="Z39" i="24"/>
  <c r="X39" i="24"/>
  <c r="R39" i="24"/>
  <c r="Q39" i="24"/>
  <c r="O39" i="24"/>
  <c r="H11" i="24"/>
  <c r="K39" i="24" s="1"/>
  <c r="G11" i="24"/>
  <c r="M39" i="24" s="1"/>
  <c r="C39" i="24"/>
  <c r="AG10" i="24"/>
  <c r="AF10" i="24"/>
  <c r="AD46" i="24"/>
  <c r="AC46" i="24"/>
  <c r="R46" i="24"/>
  <c r="O46" i="24"/>
  <c r="O45" i="24" s="1"/>
  <c r="N46" i="24"/>
  <c r="H10" i="24"/>
  <c r="K46" i="24" s="1"/>
  <c r="G10" i="24"/>
  <c r="D46" i="24"/>
  <c r="AG9" i="24"/>
  <c r="AF9" i="24"/>
  <c r="Y68" i="24"/>
  <c r="H9" i="24"/>
  <c r="G9" i="24"/>
  <c r="F9" i="24"/>
  <c r="D68" i="24"/>
  <c r="C68" i="24"/>
  <c r="AG8" i="24"/>
  <c r="AI41" i="24" s="1"/>
  <c r="AF8" i="24"/>
  <c r="AD41" i="24"/>
  <c r="AB41" i="24"/>
  <c r="Y41" i="24"/>
  <c r="X41" i="24"/>
  <c r="R41" i="24"/>
  <c r="O41" i="24"/>
  <c r="N41" i="24"/>
  <c r="L41" i="24"/>
  <c r="H8" i="24"/>
  <c r="K41" i="24" s="1"/>
  <c r="G8" i="24"/>
  <c r="M41" i="24" s="1"/>
  <c r="D41" i="24"/>
  <c r="AG7" i="24"/>
  <c r="AI73" i="24" s="1"/>
  <c r="AF7" i="24"/>
  <c r="L73" i="24"/>
  <c r="H7" i="24"/>
  <c r="G7" i="24"/>
  <c r="AG6" i="24"/>
  <c r="AI47" i="24" s="1"/>
  <c r="AF6" i="24"/>
  <c r="AD47" i="24"/>
  <c r="AA47" i="24"/>
  <c r="Z47" i="24"/>
  <c r="Y47" i="24"/>
  <c r="X47" i="24"/>
  <c r="R47" i="24"/>
  <c r="Q47" i="24"/>
  <c r="Q45" i="24" s="1"/>
  <c r="P47" i="24"/>
  <c r="P45" i="24" s="1"/>
  <c r="O47" i="24"/>
  <c r="N47" i="24"/>
  <c r="H6" i="24"/>
  <c r="K47" i="24" s="1"/>
  <c r="G6" i="24"/>
  <c r="E47" i="24"/>
  <c r="D47" i="24"/>
  <c r="AG5" i="24"/>
  <c r="AF5" i="24"/>
  <c r="AE5" i="24"/>
  <c r="AC67" i="24"/>
  <c r="H5" i="24"/>
  <c r="G5" i="24"/>
  <c r="F5" i="24"/>
  <c r="E67" i="24"/>
  <c r="AG4" i="24"/>
  <c r="AI40" i="24" s="1"/>
  <c r="AF4" i="24"/>
  <c r="AB40" i="24"/>
  <c r="AA40" i="24"/>
  <c r="Z40" i="24"/>
  <c r="Y40" i="24"/>
  <c r="X40" i="24"/>
  <c r="Q40" i="24"/>
  <c r="P40" i="24"/>
  <c r="O40" i="24"/>
  <c r="H4" i="24"/>
  <c r="K40" i="24" s="1"/>
  <c r="G4" i="24"/>
  <c r="E40" i="24"/>
  <c r="D40" i="24"/>
  <c r="AG3" i="24"/>
  <c r="AF3" i="24"/>
  <c r="AD32" i="24"/>
  <c r="Y32" i="24"/>
  <c r="R32" i="24"/>
  <c r="Q32" i="24"/>
  <c r="P32" i="24"/>
  <c r="O32" i="24"/>
  <c r="N32" i="24"/>
  <c r="H3" i="24"/>
  <c r="G3" i="24"/>
  <c r="F3" i="24"/>
  <c r="D32" i="24"/>
  <c r="C32" i="24"/>
  <c r="AG2" i="24"/>
  <c r="AI38" i="24" s="1"/>
  <c r="AF2" i="24"/>
  <c r="AD38" i="24"/>
  <c r="AB38" i="24"/>
  <c r="Z38" i="24"/>
  <c r="Y38" i="24"/>
  <c r="X38" i="24"/>
  <c r="Q38" i="24"/>
  <c r="P38" i="24"/>
  <c r="O38" i="24"/>
  <c r="N38" i="24"/>
  <c r="H2" i="24"/>
  <c r="G2" i="24"/>
  <c r="E38" i="24"/>
  <c r="D38" i="24"/>
  <c r="AU45" i="27"/>
  <c r="AU45" i="14"/>
  <c r="AJ48" i="8"/>
  <c r="AJ45" i="8"/>
  <c r="N3" i="8"/>
  <c r="O3" i="8"/>
  <c r="P3" i="8"/>
  <c r="Q3" i="8"/>
  <c r="Q32" i="8" s="1"/>
  <c r="R3" i="8"/>
  <c r="N4" i="8"/>
  <c r="O4" i="8"/>
  <c r="P4" i="8"/>
  <c r="Q4" i="8"/>
  <c r="R4" i="8"/>
  <c r="N5" i="8"/>
  <c r="O5" i="8"/>
  <c r="P5" i="8"/>
  <c r="Q5" i="8"/>
  <c r="R5" i="8"/>
  <c r="N6" i="8"/>
  <c r="O6" i="8"/>
  <c r="P6" i="8"/>
  <c r="Q6" i="8"/>
  <c r="R6" i="8"/>
  <c r="R47" i="8" s="1"/>
  <c r="N7" i="8"/>
  <c r="O7" i="8"/>
  <c r="P7" i="8"/>
  <c r="Q7" i="8"/>
  <c r="R7" i="8"/>
  <c r="N8" i="8"/>
  <c r="O8" i="8"/>
  <c r="P8" i="8"/>
  <c r="Q8" i="8"/>
  <c r="R8" i="8"/>
  <c r="N9" i="8"/>
  <c r="O9" i="8"/>
  <c r="P9" i="8"/>
  <c r="Q9" i="8"/>
  <c r="R9" i="8"/>
  <c r="N10" i="8"/>
  <c r="O10" i="8"/>
  <c r="P10" i="8"/>
  <c r="Q10" i="8"/>
  <c r="R10" i="8"/>
  <c r="R46" i="8" s="1"/>
  <c r="N11" i="8"/>
  <c r="O11" i="8"/>
  <c r="P11" i="8"/>
  <c r="Q11" i="8"/>
  <c r="Q39" i="8" s="1"/>
  <c r="R11" i="8"/>
  <c r="N12" i="8"/>
  <c r="O12" i="8"/>
  <c r="P12" i="8"/>
  <c r="Q12" i="8"/>
  <c r="R12" i="8"/>
  <c r="N13" i="8"/>
  <c r="O13" i="8"/>
  <c r="O33" i="8" s="1"/>
  <c r="P13" i="8"/>
  <c r="Q13" i="8"/>
  <c r="R13" i="8"/>
  <c r="N14" i="8"/>
  <c r="O14" i="8"/>
  <c r="P14" i="8"/>
  <c r="Q14" i="8"/>
  <c r="R14" i="8"/>
  <c r="N15" i="8"/>
  <c r="O15" i="8"/>
  <c r="P15" i="8"/>
  <c r="Q15" i="8"/>
  <c r="Q44" i="8" s="1"/>
  <c r="R15" i="8"/>
  <c r="N16" i="8"/>
  <c r="O16" i="8"/>
  <c r="P16" i="8"/>
  <c r="Q16" i="8"/>
  <c r="R16" i="8"/>
  <c r="N17" i="8"/>
  <c r="O17" i="8"/>
  <c r="P17" i="8"/>
  <c r="Q17" i="8"/>
  <c r="R17" i="8"/>
  <c r="N18" i="8"/>
  <c r="O18" i="8"/>
  <c r="P18" i="8"/>
  <c r="Q18" i="8"/>
  <c r="R18" i="8"/>
  <c r="N19" i="8"/>
  <c r="O19" i="8"/>
  <c r="P19" i="8"/>
  <c r="Q19" i="8"/>
  <c r="Q42" i="8" s="1"/>
  <c r="R19" i="8"/>
  <c r="N20" i="8"/>
  <c r="O20" i="8"/>
  <c r="P20" i="8"/>
  <c r="Q20" i="8"/>
  <c r="R20" i="8"/>
  <c r="N21" i="8"/>
  <c r="O21" i="8"/>
  <c r="P21" i="8"/>
  <c r="Q21" i="8"/>
  <c r="R21" i="8"/>
  <c r="N22" i="8"/>
  <c r="N37" i="8" s="1"/>
  <c r="O22" i="8"/>
  <c r="P22" i="8"/>
  <c r="Q22" i="8"/>
  <c r="R22" i="8"/>
  <c r="R37" i="8" s="1"/>
  <c r="N23" i="8"/>
  <c r="O23" i="8"/>
  <c r="P23" i="8"/>
  <c r="Q23" i="8"/>
  <c r="R23" i="8"/>
  <c r="N24" i="8"/>
  <c r="O24" i="8"/>
  <c r="P24" i="8"/>
  <c r="Q24" i="8"/>
  <c r="R24" i="8"/>
  <c r="N25" i="8"/>
  <c r="O25" i="8"/>
  <c r="P25" i="8"/>
  <c r="Q25" i="8"/>
  <c r="R25" i="8"/>
  <c r="N26" i="8"/>
  <c r="O26" i="8"/>
  <c r="P26" i="8"/>
  <c r="Q26" i="8"/>
  <c r="R26" i="8"/>
  <c r="R36" i="8" s="1"/>
  <c r="N27" i="8"/>
  <c r="O27" i="8"/>
  <c r="P27" i="8"/>
  <c r="Q27" i="8"/>
  <c r="R27" i="8"/>
  <c r="N28" i="8"/>
  <c r="O28" i="8"/>
  <c r="P28" i="8"/>
  <c r="P43" i="8" s="1"/>
  <c r="Q28" i="8"/>
  <c r="R28" i="8"/>
  <c r="N29" i="8"/>
  <c r="O29" i="8"/>
  <c r="P29" i="8"/>
  <c r="Q29" i="8"/>
  <c r="R29" i="8"/>
  <c r="N30" i="8"/>
  <c r="O30" i="8"/>
  <c r="P30" i="8"/>
  <c r="Q30" i="8"/>
  <c r="R30" i="8"/>
  <c r="R35" i="8" s="1"/>
  <c r="R2" i="8"/>
  <c r="Q2" i="8"/>
  <c r="P2" i="8"/>
  <c r="O2" i="8"/>
  <c r="N2" i="8"/>
  <c r="I3" i="8"/>
  <c r="I4" i="8"/>
  <c r="I5" i="8"/>
  <c r="I6" i="8"/>
  <c r="I47" i="8" s="1"/>
  <c r="L47" i="8" s="1"/>
  <c r="I7" i="8"/>
  <c r="I8" i="8"/>
  <c r="I9" i="8"/>
  <c r="I10" i="8"/>
  <c r="I11" i="8"/>
  <c r="I12" i="8"/>
  <c r="I13" i="8"/>
  <c r="I33" i="8" s="1"/>
  <c r="L33" i="8" s="1"/>
  <c r="I14" i="8"/>
  <c r="I34" i="8" s="1"/>
  <c r="L34" i="8" s="1"/>
  <c r="I15" i="8"/>
  <c r="I16" i="8"/>
  <c r="I17" i="8"/>
  <c r="I18" i="8"/>
  <c r="I19" i="8"/>
  <c r="I20" i="8"/>
  <c r="I21" i="8"/>
  <c r="I22" i="8"/>
  <c r="I37" i="8" s="1"/>
  <c r="L37" i="8" s="1"/>
  <c r="I23" i="8"/>
  <c r="I24" i="8"/>
  <c r="I25" i="8"/>
  <c r="I26" i="8"/>
  <c r="I36" i="8" s="1"/>
  <c r="L36" i="8" s="1"/>
  <c r="I27" i="8"/>
  <c r="I28" i="8"/>
  <c r="I29" i="8"/>
  <c r="I30" i="8"/>
  <c r="I35" i="8" s="1"/>
  <c r="L35" i="8" s="1"/>
  <c r="I2" i="8"/>
  <c r="AG30" i="8"/>
  <c r="AF30" i="8"/>
  <c r="W30" i="8"/>
  <c r="V30" i="8"/>
  <c r="V35" i="8" s="1"/>
  <c r="AA35" i="8" s="1"/>
  <c r="U30" i="8"/>
  <c r="T30" i="8"/>
  <c r="S30" i="8"/>
  <c r="S35" i="8" s="1"/>
  <c r="X35" i="8" s="1"/>
  <c r="AG29" i="8"/>
  <c r="AF29" i="8"/>
  <c r="W29" i="8"/>
  <c r="V29" i="8"/>
  <c r="U29" i="8"/>
  <c r="T29" i="8"/>
  <c r="S29" i="8"/>
  <c r="AG28" i="8"/>
  <c r="AF28" i="8"/>
  <c r="W28" i="8"/>
  <c r="W43" i="8" s="1"/>
  <c r="AB43" i="8" s="1"/>
  <c r="V28" i="8"/>
  <c r="V43" i="8" s="1"/>
  <c r="AA43" i="8" s="1"/>
  <c r="U28" i="8"/>
  <c r="T28" i="8"/>
  <c r="S28" i="8"/>
  <c r="S43" i="8" s="1"/>
  <c r="X43" i="8" s="1"/>
  <c r="I43" i="8"/>
  <c r="L43" i="8" s="1"/>
  <c r="AG27" i="8"/>
  <c r="AF27" i="8"/>
  <c r="W27" i="8"/>
  <c r="V27" i="8"/>
  <c r="U27" i="8"/>
  <c r="T27" i="8"/>
  <c r="S27" i="8"/>
  <c r="AG26" i="8"/>
  <c r="AF26" i="8"/>
  <c r="W26" i="8"/>
  <c r="V26" i="8"/>
  <c r="U26" i="8"/>
  <c r="T26" i="8"/>
  <c r="S26" i="8"/>
  <c r="AG25" i="8"/>
  <c r="AF25" i="8"/>
  <c r="W25" i="8"/>
  <c r="V25" i="8"/>
  <c r="U25" i="8"/>
  <c r="T25" i="8"/>
  <c r="S25" i="8"/>
  <c r="AG24" i="8"/>
  <c r="AF24" i="8"/>
  <c r="W24" i="8"/>
  <c r="V24" i="8"/>
  <c r="U24" i="8"/>
  <c r="T24" i="8"/>
  <c r="S24" i="8"/>
  <c r="AG23" i="8"/>
  <c r="AF23" i="8"/>
  <c r="W23" i="8"/>
  <c r="W49" i="8" s="1"/>
  <c r="V23" i="8"/>
  <c r="V49" i="8" s="1"/>
  <c r="U23" i="8"/>
  <c r="T23" i="8"/>
  <c r="S23" i="8"/>
  <c r="AG22" i="8"/>
  <c r="AF22" i="8"/>
  <c r="W22" i="8"/>
  <c r="W37" i="8" s="1"/>
  <c r="AB37" i="8" s="1"/>
  <c r="V22" i="8"/>
  <c r="U22" i="8"/>
  <c r="T22" i="8"/>
  <c r="S22" i="8"/>
  <c r="AG21" i="8"/>
  <c r="AF21" i="8"/>
  <c r="W21" i="8"/>
  <c r="V21" i="8"/>
  <c r="U21" i="8"/>
  <c r="T21" i="8"/>
  <c r="S21" i="8"/>
  <c r="AG20" i="8"/>
  <c r="AF20" i="8"/>
  <c r="W20" i="8"/>
  <c r="V20" i="8"/>
  <c r="U20" i="8"/>
  <c r="T20" i="8"/>
  <c r="S20" i="8"/>
  <c r="AG19" i="8"/>
  <c r="AF19" i="8"/>
  <c r="W19" i="8"/>
  <c r="W42" i="8" s="1"/>
  <c r="AB42" i="8" s="1"/>
  <c r="V19" i="8"/>
  <c r="V42" i="8" s="1"/>
  <c r="AA42" i="8" s="1"/>
  <c r="U19" i="8"/>
  <c r="T19" i="8"/>
  <c r="S19" i="8"/>
  <c r="AG18" i="8"/>
  <c r="AF18" i="8"/>
  <c r="W18" i="8"/>
  <c r="V18" i="8"/>
  <c r="U18" i="8"/>
  <c r="T18" i="8"/>
  <c r="S18" i="8"/>
  <c r="AG17" i="8"/>
  <c r="AF17" i="8"/>
  <c r="W17" i="8"/>
  <c r="V17" i="8"/>
  <c r="U17" i="8"/>
  <c r="T17" i="8"/>
  <c r="S17" i="8"/>
  <c r="AG16" i="8"/>
  <c r="AF16" i="8"/>
  <c r="W16" i="8"/>
  <c r="V16" i="8"/>
  <c r="U16" i="8"/>
  <c r="T16" i="8"/>
  <c r="S16" i="8"/>
  <c r="AG15" i="8"/>
  <c r="AF15" i="8"/>
  <c r="W15" i="8"/>
  <c r="V15" i="8"/>
  <c r="U15" i="8"/>
  <c r="T15" i="8"/>
  <c r="S15" i="8"/>
  <c r="S44" i="8" s="1"/>
  <c r="X44" i="8" s="1"/>
  <c r="I44" i="8"/>
  <c r="L44" i="8" s="1"/>
  <c r="AG14" i="8"/>
  <c r="AF14" i="8"/>
  <c r="W14" i="8"/>
  <c r="V14" i="8"/>
  <c r="V34" i="8" s="1"/>
  <c r="AA34" i="8" s="1"/>
  <c r="U14" i="8"/>
  <c r="T14" i="8"/>
  <c r="S14" i="8"/>
  <c r="S34" i="8" s="1"/>
  <c r="X34" i="8" s="1"/>
  <c r="AG13" i="8"/>
  <c r="AF13" i="8"/>
  <c r="W13" i="8"/>
  <c r="V13" i="8"/>
  <c r="V33" i="8" s="1"/>
  <c r="AA33" i="8" s="1"/>
  <c r="U13" i="8"/>
  <c r="T13" i="8"/>
  <c r="S13" i="8"/>
  <c r="S33" i="8" s="1"/>
  <c r="X33" i="8" s="1"/>
  <c r="AG12" i="8"/>
  <c r="AF12" i="8"/>
  <c r="W12" i="8"/>
  <c r="V12" i="8"/>
  <c r="U12" i="8"/>
  <c r="T12" i="8"/>
  <c r="S12" i="8"/>
  <c r="AG11" i="8"/>
  <c r="AF11" i="8"/>
  <c r="W11" i="8"/>
  <c r="W39" i="8" s="1"/>
  <c r="AB39" i="8" s="1"/>
  <c r="V11" i="8"/>
  <c r="V39" i="8" s="1"/>
  <c r="AA39" i="8" s="1"/>
  <c r="U11" i="8"/>
  <c r="T11" i="8"/>
  <c r="S11" i="8"/>
  <c r="S39" i="8" s="1"/>
  <c r="X39" i="8" s="1"/>
  <c r="I39" i="8"/>
  <c r="L39" i="8" s="1"/>
  <c r="AG10" i="8"/>
  <c r="AF10" i="8"/>
  <c r="W10" i="8"/>
  <c r="V10" i="8"/>
  <c r="U10" i="8"/>
  <c r="T10" i="8"/>
  <c r="S10" i="8"/>
  <c r="I46" i="8"/>
  <c r="AG9" i="8"/>
  <c r="AF9" i="8"/>
  <c r="W9" i="8"/>
  <c r="V9" i="8"/>
  <c r="U9" i="8"/>
  <c r="T9" i="8"/>
  <c r="S9" i="8"/>
  <c r="AG8" i="8"/>
  <c r="AF8" i="8"/>
  <c r="W8" i="8"/>
  <c r="V8" i="8"/>
  <c r="U8" i="8"/>
  <c r="T8" i="8"/>
  <c r="S8" i="8"/>
  <c r="S41" i="8" s="1"/>
  <c r="X41" i="8" s="1"/>
  <c r="I41" i="8"/>
  <c r="L41" i="8" s="1"/>
  <c r="AG7" i="8"/>
  <c r="AF7" i="8"/>
  <c r="W7" i="8"/>
  <c r="V7" i="8"/>
  <c r="U7" i="8"/>
  <c r="T7" i="8"/>
  <c r="S7" i="8"/>
  <c r="AG6" i="8"/>
  <c r="AF6" i="8"/>
  <c r="W6" i="8"/>
  <c r="W47" i="8" s="1"/>
  <c r="AB47" i="8" s="1"/>
  <c r="V6" i="8"/>
  <c r="V47" i="8" s="1"/>
  <c r="AA47" i="8" s="1"/>
  <c r="U6" i="8"/>
  <c r="T6" i="8"/>
  <c r="S6" i="8"/>
  <c r="AG5" i="8"/>
  <c r="AF5" i="8"/>
  <c r="W5" i="8"/>
  <c r="V5" i="8"/>
  <c r="U5" i="8"/>
  <c r="T5" i="8"/>
  <c r="S5" i="8"/>
  <c r="AG4" i="8"/>
  <c r="AF4" i="8"/>
  <c r="W4" i="8"/>
  <c r="V4" i="8"/>
  <c r="U4" i="8"/>
  <c r="T4" i="8"/>
  <c r="S4" i="8"/>
  <c r="S40" i="8" s="1"/>
  <c r="X40" i="8" s="1"/>
  <c r="AG3" i="8"/>
  <c r="AF3" i="8"/>
  <c r="W3" i="8"/>
  <c r="V3" i="8"/>
  <c r="V32" i="8" s="1"/>
  <c r="U3" i="8"/>
  <c r="T3" i="8"/>
  <c r="S3" i="8"/>
  <c r="S32" i="8" s="1"/>
  <c r="I32" i="8"/>
  <c r="AG2" i="8"/>
  <c r="AF2" i="8"/>
  <c r="W2" i="8"/>
  <c r="V2" i="8"/>
  <c r="U2" i="8"/>
  <c r="T2" i="8"/>
  <c r="S2" i="8"/>
  <c r="I38" i="8"/>
  <c r="L38" i="8" s="1"/>
  <c r="H3" i="8"/>
  <c r="H4" i="8"/>
  <c r="H5" i="8"/>
  <c r="H6" i="8"/>
  <c r="H47" i="8" s="1"/>
  <c r="K47" i="8" s="1"/>
  <c r="H7" i="8"/>
  <c r="H8" i="8"/>
  <c r="H9" i="8"/>
  <c r="H10" i="8"/>
  <c r="H46" i="8" s="1"/>
  <c r="H11" i="8"/>
  <c r="H12" i="8"/>
  <c r="H13" i="8"/>
  <c r="H33" i="8" s="1"/>
  <c r="K33" i="8" s="1"/>
  <c r="H14" i="8"/>
  <c r="H15" i="8"/>
  <c r="H16" i="8"/>
  <c r="H17" i="8"/>
  <c r="H18" i="8"/>
  <c r="H19" i="8"/>
  <c r="H20" i="8"/>
  <c r="H21" i="8"/>
  <c r="H22" i="8"/>
  <c r="H37" i="8" s="1"/>
  <c r="K37" i="8" s="1"/>
  <c r="H23" i="8"/>
  <c r="H24" i="8"/>
  <c r="H25" i="8"/>
  <c r="H26" i="8"/>
  <c r="H27" i="8"/>
  <c r="H28" i="8"/>
  <c r="H29" i="8"/>
  <c r="H30" i="8"/>
  <c r="H35" i="8" s="1"/>
  <c r="K35" i="8" s="1"/>
  <c r="H2" i="8"/>
  <c r="U40" i="8"/>
  <c r="Z40" i="8" s="1"/>
  <c r="S47" i="8"/>
  <c r="X47" i="8" s="1"/>
  <c r="U41" i="8"/>
  <c r="Z41" i="8" s="1"/>
  <c r="S46" i="8"/>
  <c r="W46" i="8"/>
  <c r="T33" i="8"/>
  <c r="Y33" i="8" s="1"/>
  <c r="W34" i="8"/>
  <c r="AB34" i="8" s="1"/>
  <c r="V44" i="8"/>
  <c r="AA44" i="8" s="1"/>
  <c r="S36" i="8"/>
  <c r="X36" i="8" s="1"/>
  <c r="U43" i="8"/>
  <c r="Z43" i="8" s="1"/>
  <c r="W35" i="8"/>
  <c r="AB35" i="8" s="1"/>
  <c r="S37" i="8"/>
  <c r="X37" i="8" s="1"/>
  <c r="E3" i="8"/>
  <c r="E4" i="8"/>
  <c r="E5" i="8"/>
  <c r="E6" i="8"/>
  <c r="E47" i="8" s="1"/>
  <c r="E7" i="8"/>
  <c r="E8" i="8"/>
  <c r="E9" i="8"/>
  <c r="E10" i="8"/>
  <c r="E46" i="8" s="1"/>
  <c r="E11" i="8"/>
  <c r="E12" i="8"/>
  <c r="E13" i="8"/>
  <c r="E14" i="8"/>
  <c r="E34" i="8" s="1"/>
  <c r="E15" i="8"/>
  <c r="E16" i="8"/>
  <c r="E17" i="8"/>
  <c r="E18" i="8"/>
  <c r="E19" i="8"/>
  <c r="E20" i="8"/>
  <c r="E21" i="8"/>
  <c r="E22" i="8"/>
  <c r="E37" i="8" s="1"/>
  <c r="E23" i="8"/>
  <c r="E24" i="8"/>
  <c r="E25" i="8"/>
  <c r="E26" i="8"/>
  <c r="E36" i="8" s="1"/>
  <c r="E27" i="8"/>
  <c r="E28" i="8"/>
  <c r="E29" i="8"/>
  <c r="E30" i="8"/>
  <c r="E35" i="8" s="1"/>
  <c r="E2" i="8"/>
  <c r="E33" i="8"/>
  <c r="C3" i="8"/>
  <c r="C32" i="8"/>
  <c r="AD30" i="12"/>
  <c r="AC30" i="12"/>
  <c r="AC35" i="12" s="1"/>
  <c r="AE35" i="12" s="1"/>
  <c r="T35" i="12"/>
  <c r="Y35" i="12" s="1"/>
  <c r="R30" i="12"/>
  <c r="Q30" i="12"/>
  <c r="P30" i="12"/>
  <c r="P35" i="12" s="1"/>
  <c r="O30" i="12"/>
  <c r="N30" i="12"/>
  <c r="G30" i="12"/>
  <c r="E30" i="12"/>
  <c r="D30" i="12"/>
  <c r="C30" i="12"/>
  <c r="C35" i="12" s="1"/>
  <c r="F35" i="12" s="1"/>
  <c r="AD29" i="12"/>
  <c r="AC29" i="12"/>
  <c r="AE29" i="12" s="1"/>
  <c r="R29" i="12"/>
  <c r="Q29" i="12"/>
  <c r="P29" i="12"/>
  <c r="O29" i="12"/>
  <c r="N29" i="12"/>
  <c r="G29" i="12"/>
  <c r="E29" i="12"/>
  <c r="D29" i="12"/>
  <c r="C29" i="12"/>
  <c r="F29" i="12" s="1"/>
  <c r="AD28" i="12"/>
  <c r="AC28" i="12"/>
  <c r="AC43" i="12" s="1"/>
  <c r="AE43" i="12" s="1"/>
  <c r="T43" i="12"/>
  <c r="Y43" i="12" s="1"/>
  <c r="R28" i="12"/>
  <c r="Q28" i="12"/>
  <c r="P28" i="12"/>
  <c r="P43" i="12" s="1"/>
  <c r="O28" i="12"/>
  <c r="N28" i="12"/>
  <c r="H43" i="12"/>
  <c r="K43" i="12" s="1"/>
  <c r="G28" i="12"/>
  <c r="E28" i="12"/>
  <c r="D28" i="12"/>
  <c r="C28" i="12"/>
  <c r="C43" i="12" s="1"/>
  <c r="AD27" i="12"/>
  <c r="AC27" i="12"/>
  <c r="AE27" i="12" s="1"/>
  <c r="R27" i="12"/>
  <c r="Q27" i="12"/>
  <c r="P27" i="12"/>
  <c r="O27" i="12"/>
  <c r="N27" i="12"/>
  <c r="G27" i="12"/>
  <c r="E27" i="12"/>
  <c r="D27" i="12"/>
  <c r="C27" i="12"/>
  <c r="F27" i="12" s="1"/>
  <c r="AD26" i="12"/>
  <c r="AC26" i="12"/>
  <c r="AC36" i="12" s="1"/>
  <c r="AE36" i="12" s="1"/>
  <c r="R26" i="12"/>
  <c r="Q26" i="12"/>
  <c r="P26" i="12"/>
  <c r="P36" i="12" s="1"/>
  <c r="O26" i="12"/>
  <c r="N26" i="12"/>
  <c r="H36" i="12"/>
  <c r="K36" i="12" s="1"/>
  <c r="G26" i="12"/>
  <c r="E26" i="12"/>
  <c r="D26" i="12"/>
  <c r="C26" i="12"/>
  <c r="AD25" i="12"/>
  <c r="AC25" i="12"/>
  <c r="AE25" i="12" s="1"/>
  <c r="R25" i="12"/>
  <c r="Q25" i="12"/>
  <c r="P25" i="12"/>
  <c r="O25" i="12"/>
  <c r="N25" i="12"/>
  <c r="G25" i="12"/>
  <c r="E25" i="12"/>
  <c r="D25" i="12"/>
  <c r="C25" i="12"/>
  <c r="AD24" i="12"/>
  <c r="AC24" i="12"/>
  <c r="R24" i="12"/>
  <c r="Q24" i="12"/>
  <c r="P24" i="12"/>
  <c r="O24" i="12"/>
  <c r="N24" i="12"/>
  <c r="G24" i="12"/>
  <c r="E24" i="12"/>
  <c r="D24" i="12"/>
  <c r="C24" i="12"/>
  <c r="F24" i="12" s="1"/>
  <c r="AD23" i="12"/>
  <c r="AC23" i="12"/>
  <c r="AE23" i="12" s="1"/>
  <c r="R23" i="12"/>
  <c r="Q23" i="12"/>
  <c r="P23" i="12"/>
  <c r="O23" i="12"/>
  <c r="N23" i="12"/>
  <c r="G23" i="12"/>
  <c r="E23" i="12"/>
  <c r="D23" i="12"/>
  <c r="C23" i="12"/>
  <c r="C49" i="12" s="1"/>
  <c r="AD22" i="12"/>
  <c r="AC22" i="12"/>
  <c r="T37" i="12"/>
  <c r="Y37" i="12" s="1"/>
  <c r="R22" i="12"/>
  <c r="Q22" i="12"/>
  <c r="P22" i="12"/>
  <c r="P37" i="12" s="1"/>
  <c r="O22" i="12"/>
  <c r="N22" i="12"/>
  <c r="H37" i="12"/>
  <c r="K37" i="12" s="1"/>
  <c r="G22" i="12"/>
  <c r="E22" i="12"/>
  <c r="D22" i="12"/>
  <c r="C22" i="12"/>
  <c r="AD21" i="12"/>
  <c r="AC21" i="12"/>
  <c r="AE21" i="12" s="1"/>
  <c r="R21" i="12"/>
  <c r="Q21" i="12"/>
  <c r="P21" i="12"/>
  <c r="O21" i="12"/>
  <c r="N21" i="12"/>
  <c r="G21" i="12"/>
  <c r="E21" i="12"/>
  <c r="D21" i="12"/>
  <c r="C21" i="12"/>
  <c r="F21" i="12" s="1"/>
  <c r="AD20" i="12"/>
  <c r="AC20" i="12"/>
  <c r="AE20" i="12" s="1"/>
  <c r="R20" i="12"/>
  <c r="Q20" i="12"/>
  <c r="P20" i="12"/>
  <c r="O20" i="12"/>
  <c r="N20" i="12"/>
  <c r="G20" i="12"/>
  <c r="E20" i="12"/>
  <c r="D20" i="12"/>
  <c r="C20" i="12"/>
  <c r="F20" i="12" s="1"/>
  <c r="AD19" i="12"/>
  <c r="AC19" i="12"/>
  <c r="AC42" i="12" s="1"/>
  <c r="T42" i="12"/>
  <c r="Y42" i="12" s="1"/>
  <c r="R19" i="12"/>
  <c r="Q19" i="12"/>
  <c r="P19" i="12"/>
  <c r="P42" i="12" s="1"/>
  <c r="O19" i="12"/>
  <c r="N19" i="12"/>
  <c r="G19" i="12"/>
  <c r="E19" i="12"/>
  <c r="D19" i="12"/>
  <c r="C19" i="12"/>
  <c r="C42" i="12" s="1"/>
  <c r="AD18" i="12"/>
  <c r="AC18" i="12"/>
  <c r="R18" i="12"/>
  <c r="Q18" i="12"/>
  <c r="P18" i="12"/>
  <c r="O18" i="12"/>
  <c r="N18" i="12"/>
  <c r="G18" i="12"/>
  <c r="E18" i="12"/>
  <c r="D18" i="12"/>
  <c r="C18" i="12"/>
  <c r="F18" i="12" s="1"/>
  <c r="AD17" i="12"/>
  <c r="AC17" i="12"/>
  <c r="AE17" i="12" s="1"/>
  <c r="R17" i="12"/>
  <c r="Q17" i="12"/>
  <c r="P17" i="12"/>
  <c r="O17" i="12"/>
  <c r="N17" i="12"/>
  <c r="G17" i="12"/>
  <c r="E17" i="12"/>
  <c r="D17" i="12"/>
  <c r="C17" i="12"/>
  <c r="AD16" i="12"/>
  <c r="AC16" i="12"/>
  <c r="AE16" i="12" s="1"/>
  <c r="R16" i="12"/>
  <c r="Q16" i="12"/>
  <c r="P16" i="12"/>
  <c r="O16" i="12"/>
  <c r="N16" i="12"/>
  <c r="G16" i="12"/>
  <c r="E16" i="12"/>
  <c r="D16" i="12"/>
  <c r="C16" i="12"/>
  <c r="F16" i="12" s="1"/>
  <c r="AD15" i="12"/>
  <c r="AC15" i="12"/>
  <c r="AC44" i="12" s="1"/>
  <c r="T44" i="12"/>
  <c r="Y44" i="12" s="1"/>
  <c r="R15" i="12"/>
  <c r="Q15" i="12"/>
  <c r="P15" i="12"/>
  <c r="P44" i="12" s="1"/>
  <c r="O15" i="12"/>
  <c r="N15" i="12"/>
  <c r="H44" i="12"/>
  <c r="K44" i="12" s="1"/>
  <c r="G15" i="12"/>
  <c r="E15" i="12"/>
  <c r="D15" i="12"/>
  <c r="C15" i="12"/>
  <c r="C44" i="12" s="1"/>
  <c r="AD14" i="12"/>
  <c r="AC14" i="12"/>
  <c r="T34" i="12"/>
  <c r="Y34" i="12" s="1"/>
  <c r="R14" i="12"/>
  <c r="Q14" i="12"/>
  <c r="P14" i="12"/>
  <c r="O14" i="12"/>
  <c r="N14" i="12"/>
  <c r="H34" i="12"/>
  <c r="K34" i="12" s="1"/>
  <c r="G14" i="12"/>
  <c r="E14" i="12"/>
  <c r="D14" i="12"/>
  <c r="C14" i="12"/>
  <c r="C34" i="12" s="1"/>
  <c r="AD13" i="12"/>
  <c r="AC13" i="12"/>
  <c r="AE13" i="12" s="1"/>
  <c r="T33" i="12"/>
  <c r="Y33" i="12" s="1"/>
  <c r="R13" i="12"/>
  <c r="Q13" i="12"/>
  <c r="P13" i="12"/>
  <c r="P33" i="12" s="1"/>
  <c r="O13" i="12"/>
  <c r="N13" i="12"/>
  <c r="G13" i="12"/>
  <c r="E13" i="12"/>
  <c r="D13" i="12"/>
  <c r="C13" i="12"/>
  <c r="F13" i="12" s="1"/>
  <c r="AD12" i="12"/>
  <c r="AC12" i="12"/>
  <c r="AE12" i="12" s="1"/>
  <c r="R12" i="12"/>
  <c r="Q12" i="12"/>
  <c r="P12" i="12"/>
  <c r="O12" i="12"/>
  <c r="N12" i="12"/>
  <c r="G12" i="12"/>
  <c r="E12" i="12"/>
  <c r="D12" i="12"/>
  <c r="C12" i="12"/>
  <c r="F12" i="12" s="1"/>
  <c r="AD11" i="12"/>
  <c r="AC11" i="12"/>
  <c r="AE11" i="12" s="1"/>
  <c r="R11" i="12"/>
  <c r="Q11" i="12"/>
  <c r="P11" i="12"/>
  <c r="P39" i="12" s="1"/>
  <c r="O11" i="12"/>
  <c r="N11" i="12"/>
  <c r="G11" i="12"/>
  <c r="G39" i="12" s="1"/>
  <c r="E11" i="12"/>
  <c r="D11" i="12"/>
  <c r="C11" i="12"/>
  <c r="F11" i="12" s="1"/>
  <c r="AG46" i="12"/>
  <c r="AD10" i="12"/>
  <c r="AC10" i="12"/>
  <c r="AC46" i="12" s="1"/>
  <c r="W46" i="12"/>
  <c r="T46" i="12"/>
  <c r="R10" i="12"/>
  <c r="Q10" i="12"/>
  <c r="P10" i="12"/>
  <c r="P46" i="12" s="1"/>
  <c r="O10" i="12"/>
  <c r="O46" i="12" s="1"/>
  <c r="N10" i="12"/>
  <c r="H46" i="12"/>
  <c r="G10" i="12"/>
  <c r="G46" i="12" s="1"/>
  <c r="E10" i="12"/>
  <c r="D10" i="12"/>
  <c r="C10" i="12"/>
  <c r="C46" i="12" s="1"/>
  <c r="AD9" i="12"/>
  <c r="AC9" i="12"/>
  <c r="AE9" i="12" s="1"/>
  <c r="R9" i="12"/>
  <c r="Q9" i="12"/>
  <c r="P9" i="12"/>
  <c r="O9" i="12"/>
  <c r="N9" i="12"/>
  <c r="G9" i="12"/>
  <c r="E9" i="12"/>
  <c r="D9" i="12"/>
  <c r="C9" i="12"/>
  <c r="F9" i="12" s="1"/>
  <c r="AG41" i="12"/>
  <c r="AI41" i="12" s="1"/>
  <c r="AD8" i="12"/>
  <c r="AC8" i="12"/>
  <c r="AC41" i="12" s="1"/>
  <c r="AE41" i="12" s="1"/>
  <c r="S41" i="12"/>
  <c r="X41" i="12" s="1"/>
  <c r="R8" i="12"/>
  <c r="Q8" i="12"/>
  <c r="P8" i="12"/>
  <c r="P41" i="12" s="1"/>
  <c r="O8" i="12"/>
  <c r="N8" i="12"/>
  <c r="I41" i="12"/>
  <c r="L41" i="12" s="1"/>
  <c r="H41" i="12"/>
  <c r="K41" i="12" s="1"/>
  <c r="G8" i="12"/>
  <c r="G41" i="12" s="1"/>
  <c r="E8" i="12"/>
  <c r="D8" i="12"/>
  <c r="C8" i="12"/>
  <c r="C41" i="12" s="1"/>
  <c r="AD7" i="12"/>
  <c r="AC7" i="12"/>
  <c r="AE7" i="12" s="1"/>
  <c r="R7" i="12"/>
  <c r="Q7" i="12"/>
  <c r="P7" i="12"/>
  <c r="O7" i="12"/>
  <c r="N7" i="12"/>
  <c r="G7" i="12"/>
  <c r="E7" i="12"/>
  <c r="D7" i="12"/>
  <c r="C7" i="12"/>
  <c r="AD6" i="12"/>
  <c r="AC6" i="12"/>
  <c r="R6" i="12"/>
  <c r="Q6" i="12"/>
  <c r="P6" i="12"/>
  <c r="O6" i="12"/>
  <c r="N6" i="12"/>
  <c r="G6" i="12"/>
  <c r="E6" i="12"/>
  <c r="D6" i="12"/>
  <c r="C6" i="12"/>
  <c r="AD5" i="12"/>
  <c r="AC5" i="12"/>
  <c r="AE5" i="12" s="1"/>
  <c r="R5" i="12"/>
  <c r="Q5" i="12"/>
  <c r="P5" i="12"/>
  <c r="O5" i="12"/>
  <c r="N5" i="12"/>
  <c r="G5" i="12"/>
  <c r="E5" i="12"/>
  <c r="D5" i="12"/>
  <c r="C5" i="12"/>
  <c r="AD4" i="12"/>
  <c r="AC4" i="12"/>
  <c r="AC40" i="12" s="1"/>
  <c r="AE40" i="12" s="1"/>
  <c r="R4" i="12"/>
  <c r="Q4" i="12"/>
  <c r="P4" i="12"/>
  <c r="P40" i="12" s="1"/>
  <c r="O4" i="12"/>
  <c r="N4" i="12"/>
  <c r="G4" i="12"/>
  <c r="E4" i="12"/>
  <c r="D4" i="12"/>
  <c r="C4" i="12"/>
  <c r="C40" i="12" s="1"/>
  <c r="AD3" i="12"/>
  <c r="AC3" i="12"/>
  <c r="T32" i="12"/>
  <c r="R3" i="12"/>
  <c r="Q3" i="12"/>
  <c r="P3" i="12"/>
  <c r="O3" i="12"/>
  <c r="N3" i="12"/>
  <c r="H32" i="12"/>
  <c r="G3" i="12"/>
  <c r="E3" i="12"/>
  <c r="D3" i="12"/>
  <c r="C3" i="12"/>
  <c r="AG38" i="12"/>
  <c r="AI38" i="12" s="1"/>
  <c r="AD2" i="12"/>
  <c r="AC2" i="12"/>
  <c r="AC38" i="12" s="1"/>
  <c r="AE38" i="12" s="1"/>
  <c r="S38" i="12"/>
  <c r="X38" i="12" s="1"/>
  <c r="R2" i="12"/>
  <c r="Q2" i="12"/>
  <c r="P2" i="12"/>
  <c r="P38" i="12" s="1"/>
  <c r="O2" i="12"/>
  <c r="N2" i="12"/>
  <c r="G2" i="12"/>
  <c r="G38" i="12" s="1"/>
  <c r="E2" i="12"/>
  <c r="D2" i="12"/>
  <c r="C2" i="12"/>
  <c r="C38" i="12" s="1"/>
  <c r="H35" i="12"/>
  <c r="K35" i="12" s="1"/>
  <c r="AD43" i="12"/>
  <c r="U43" i="12"/>
  <c r="Z43" i="12" s="1"/>
  <c r="Q43" i="12"/>
  <c r="I43" i="12"/>
  <c r="L43" i="12" s="1"/>
  <c r="D43" i="12"/>
  <c r="T36" i="12"/>
  <c r="Y36" i="12" s="1"/>
  <c r="F25" i="12"/>
  <c r="AC37" i="12"/>
  <c r="AE37" i="12" s="1"/>
  <c r="C37" i="12"/>
  <c r="AD42" i="12"/>
  <c r="Q42" i="12"/>
  <c r="I42" i="12"/>
  <c r="L42" i="12" s="1"/>
  <c r="D42" i="12"/>
  <c r="F17" i="12"/>
  <c r="AD44" i="12"/>
  <c r="Q44" i="12"/>
  <c r="D44" i="12"/>
  <c r="AC34" i="12"/>
  <c r="AE34" i="12" s="1"/>
  <c r="I34" i="12"/>
  <c r="L34" i="12" s="1"/>
  <c r="D34" i="12"/>
  <c r="AD33" i="12"/>
  <c r="U33" i="12"/>
  <c r="Z33" i="12" s="1"/>
  <c r="Q33" i="12"/>
  <c r="H33" i="12"/>
  <c r="K33" i="12" s="1"/>
  <c r="AD39" i="12"/>
  <c r="V39" i="12"/>
  <c r="AA39" i="12" s="1"/>
  <c r="U39" i="12"/>
  <c r="Z39" i="12" s="1"/>
  <c r="T39" i="12"/>
  <c r="Y39" i="12" s="1"/>
  <c r="Q39" i="12"/>
  <c r="I39" i="12"/>
  <c r="L39" i="12" s="1"/>
  <c r="H39" i="12"/>
  <c r="K39" i="12" s="1"/>
  <c r="AD41" i="12"/>
  <c r="Q41" i="12"/>
  <c r="D41" i="12"/>
  <c r="F5" i="12"/>
  <c r="AD40" i="12"/>
  <c r="Q40" i="12"/>
  <c r="I40" i="12"/>
  <c r="L40" i="12" s="1"/>
  <c r="D40" i="12"/>
  <c r="AD32" i="12"/>
  <c r="AE3" i="12"/>
  <c r="Q32" i="12"/>
  <c r="P32" i="12"/>
  <c r="D32" i="12"/>
  <c r="C32" i="12"/>
  <c r="AD38" i="12"/>
  <c r="U38" i="12"/>
  <c r="Z38" i="12" s="1"/>
  <c r="T38" i="12"/>
  <c r="Y38" i="12" s="1"/>
  <c r="Q38" i="12"/>
  <c r="I38" i="12"/>
  <c r="L38" i="12" s="1"/>
  <c r="H38" i="12"/>
  <c r="K38" i="12" s="1"/>
  <c r="D38" i="12"/>
  <c r="AD30" i="10"/>
  <c r="AC30" i="10"/>
  <c r="AC35" i="10" s="1"/>
  <c r="AE35" i="10" s="1"/>
  <c r="T35" i="10"/>
  <c r="Y35" i="10" s="1"/>
  <c r="R30" i="10"/>
  <c r="Q30" i="10"/>
  <c r="P30" i="10"/>
  <c r="P35" i="10" s="1"/>
  <c r="O30" i="10"/>
  <c r="N30" i="10"/>
  <c r="G30" i="10"/>
  <c r="E30" i="10"/>
  <c r="D30" i="10"/>
  <c r="C30" i="10"/>
  <c r="C35" i="10" s="1"/>
  <c r="AD29" i="10"/>
  <c r="AC29" i="10"/>
  <c r="AE29" i="10" s="1"/>
  <c r="R29" i="10"/>
  <c r="Q29" i="10"/>
  <c r="P29" i="10"/>
  <c r="O29" i="10"/>
  <c r="N29" i="10"/>
  <c r="G29" i="10"/>
  <c r="E29" i="10"/>
  <c r="D29" i="10"/>
  <c r="C29" i="10"/>
  <c r="F29" i="10" s="1"/>
  <c r="AD28" i="10"/>
  <c r="AC28" i="10"/>
  <c r="AC43" i="10" s="1"/>
  <c r="AE43" i="10" s="1"/>
  <c r="R28" i="10"/>
  <c r="Q28" i="10"/>
  <c r="P28" i="10"/>
  <c r="P43" i="10" s="1"/>
  <c r="O28" i="10"/>
  <c r="N28" i="10"/>
  <c r="H43" i="10"/>
  <c r="K43" i="10" s="1"/>
  <c r="G28" i="10"/>
  <c r="E28" i="10"/>
  <c r="D28" i="10"/>
  <c r="C28" i="10"/>
  <c r="C43" i="10" s="1"/>
  <c r="AD27" i="10"/>
  <c r="AC27" i="10"/>
  <c r="R27" i="10"/>
  <c r="Q27" i="10"/>
  <c r="P27" i="10"/>
  <c r="O27" i="10"/>
  <c r="N27" i="10"/>
  <c r="G27" i="10"/>
  <c r="E27" i="10"/>
  <c r="D27" i="10"/>
  <c r="C27" i="10"/>
  <c r="F27" i="10" s="1"/>
  <c r="AD26" i="10"/>
  <c r="AC26" i="10"/>
  <c r="AC36" i="10" s="1"/>
  <c r="AE36" i="10" s="1"/>
  <c r="T36" i="10"/>
  <c r="Y36" i="10" s="1"/>
  <c r="R26" i="10"/>
  <c r="Q26" i="10"/>
  <c r="P26" i="10"/>
  <c r="O26" i="10"/>
  <c r="N26" i="10"/>
  <c r="H36" i="10"/>
  <c r="K36" i="10" s="1"/>
  <c r="G26" i="10"/>
  <c r="E26" i="10"/>
  <c r="D26" i="10"/>
  <c r="C26" i="10"/>
  <c r="C36" i="10" s="1"/>
  <c r="AD25" i="10"/>
  <c r="AC25" i="10"/>
  <c r="AE25" i="10" s="1"/>
  <c r="R25" i="10"/>
  <c r="Q25" i="10"/>
  <c r="P25" i="10"/>
  <c r="O25" i="10"/>
  <c r="N25" i="10"/>
  <c r="G25" i="10"/>
  <c r="E25" i="10"/>
  <c r="D25" i="10"/>
  <c r="C25" i="10"/>
  <c r="F25" i="10" s="1"/>
  <c r="AD24" i="10"/>
  <c r="AC24" i="10"/>
  <c r="R24" i="10"/>
  <c r="Q24" i="10"/>
  <c r="P24" i="10"/>
  <c r="O24" i="10"/>
  <c r="N24" i="10"/>
  <c r="G24" i="10"/>
  <c r="E24" i="10"/>
  <c r="D24" i="10"/>
  <c r="C24" i="10"/>
  <c r="F24" i="10" s="1"/>
  <c r="AD23" i="10"/>
  <c r="AC23" i="10"/>
  <c r="AE23" i="10" s="1"/>
  <c r="T49" i="10"/>
  <c r="R23" i="10"/>
  <c r="Q23" i="10"/>
  <c r="P23" i="10"/>
  <c r="P49" i="10" s="1"/>
  <c r="O23" i="10"/>
  <c r="N23" i="10"/>
  <c r="H49" i="10"/>
  <c r="G23" i="10"/>
  <c r="E23" i="10"/>
  <c r="D23" i="10"/>
  <c r="C23" i="10"/>
  <c r="C49" i="10" s="1"/>
  <c r="AD22" i="10"/>
  <c r="AC22" i="10"/>
  <c r="T37" i="10"/>
  <c r="Y37" i="10" s="1"/>
  <c r="R22" i="10"/>
  <c r="Q22" i="10"/>
  <c r="P22" i="10"/>
  <c r="P37" i="10" s="1"/>
  <c r="O22" i="10"/>
  <c r="N22" i="10"/>
  <c r="H37" i="10"/>
  <c r="K37" i="10" s="1"/>
  <c r="G22" i="10"/>
  <c r="E22" i="10"/>
  <c r="D22" i="10"/>
  <c r="C22" i="10"/>
  <c r="AD21" i="10"/>
  <c r="AC21" i="10"/>
  <c r="AE21" i="10" s="1"/>
  <c r="R21" i="10"/>
  <c r="Q21" i="10"/>
  <c r="P21" i="10"/>
  <c r="O21" i="10"/>
  <c r="N21" i="10"/>
  <c r="G21" i="10"/>
  <c r="E21" i="10"/>
  <c r="D21" i="10"/>
  <c r="C21" i="10"/>
  <c r="F21" i="10" s="1"/>
  <c r="AD20" i="10"/>
  <c r="AC20" i="10"/>
  <c r="AE20" i="10" s="1"/>
  <c r="R20" i="10"/>
  <c r="Q20" i="10"/>
  <c r="P20" i="10"/>
  <c r="O20" i="10"/>
  <c r="N20" i="10"/>
  <c r="G20" i="10"/>
  <c r="E20" i="10"/>
  <c r="D20" i="10"/>
  <c r="C20" i="10"/>
  <c r="F20" i="10" s="1"/>
  <c r="AD19" i="10"/>
  <c r="AC19" i="10"/>
  <c r="T42" i="10"/>
  <c r="Y42" i="10" s="1"/>
  <c r="R19" i="10"/>
  <c r="Q19" i="10"/>
  <c r="P19" i="10"/>
  <c r="P42" i="10" s="1"/>
  <c r="O19" i="10"/>
  <c r="N19" i="10"/>
  <c r="H42" i="10"/>
  <c r="K42" i="10" s="1"/>
  <c r="G19" i="10"/>
  <c r="E19" i="10"/>
  <c r="D19" i="10"/>
  <c r="C19" i="10"/>
  <c r="AD18" i="10"/>
  <c r="AC18" i="10"/>
  <c r="AE18" i="10" s="1"/>
  <c r="R18" i="10"/>
  <c r="Q18" i="10"/>
  <c r="P18" i="10"/>
  <c r="O18" i="10"/>
  <c r="N18" i="10"/>
  <c r="G18" i="10"/>
  <c r="E18" i="10"/>
  <c r="D18" i="10"/>
  <c r="C18" i="10"/>
  <c r="F18" i="10" s="1"/>
  <c r="AD17" i="10"/>
  <c r="AC17" i="10"/>
  <c r="AE17" i="10" s="1"/>
  <c r="R17" i="10"/>
  <c r="Q17" i="10"/>
  <c r="P17" i="10"/>
  <c r="O17" i="10"/>
  <c r="N17" i="10"/>
  <c r="G17" i="10"/>
  <c r="E17" i="10"/>
  <c r="D17" i="10"/>
  <c r="C17" i="10"/>
  <c r="F17" i="10" s="1"/>
  <c r="AD16" i="10"/>
  <c r="AC16" i="10"/>
  <c r="R16" i="10"/>
  <c r="Q16" i="10"/>
  <c r="P16" i="10"/>
  <c r="O16" i="10"/>
  <c r="N16" i="10"/>
  <c r="G16" i="10"/>
  <c r="E16" i="10"/>
  <c r="D16" i="10"/>
  <c r="C16" i="10"/>
  <c r="AD15" i="10"/>
  <c r="AC15" i="10"/>
  <c r="AC44" i="10" s="1"/>
  <c r="T44" i="10"/>
  <c r="Y44" i="10" s="1"/>
  <c r="R15" i="10"/>
  <c r="Q15" i="10"/>
  <c r="P15" i="10"/>
  <c r="P44" i="10" s="1"/>
  <c r="O15" i="10"/>
  <c r="N15" i="10"/>
  <c r="G15" i="10"/>
  <c r="E15" i="10"/>
  <c r="D15" i="10"/>
  <c r="C15" i="10"/>
  <c r="C44" i="10" s="1"/>
  <c r="F44" i="10" s="1"/>
  <c r="AD14" i="10"/>
  <c r="AC14" i="10"/>
  <c r="AC34" i="10" s="1"/>
  <c r="AE34" i="10" s="1"/>
  <c r="T34" i="10"/>
  <c r="Y34" i="10" s="1"/>
  <c r="R14" i="10"/>
  <c r="Q14" i="10"/>
  <c r="P14" i="10"/>
  <c r="O14" i="10"/>
  <c r="N14" i="10"/>
  <c r="H34" i="10"/>
  <c r="K34" i="10" s="1"/>
  <c r="G14" i="10"/>
  <c r="E14" i="10"/>
  <c r="D14" i="10"/>
  <c r="C14" i="10"/>
  <c r="C34" i="10" s="1"/>
  <c r="AD13" i="10"/>
  <c r="AC13" i="10"/>
  <c r="AE13" i="10" s="1"/>
  <c r="R13" i="10"/>
  <c r="Q13" i="10"/>
  <c r="P13" i="10"/>
  <c r="O13" i="10"/>
  <c r="N13" i="10"/>
  <c r="G13" i="10"/>
  <c r="E13" i="10"/>
  <c r="D13" i="10"/>
  <c r="C13" i="10"/>
  <c r="AD12" i="10"/>
  <c r="AC12" i="10"/>
  <c r="AE12" i="10" s="1"/>
  <c r="R12" i="10"/>
  <c r="Q12" i="10"/>
  <c r="P12" i="10"/>
  <c r="O12" i="10"/>
  <c r="N12" i="10"/>
  <c r="G12" i="10"/>
  <c r="E12" i="10"/>
  <c r="D12" i="10"/>
  <c r="C12" i="10"/>
  <c r="F12" i="10" s="1"/>
  <c r="AD11" i="10"/>
  <c r="AC11" i="10"/>
  <c r="AE11" i="10" s="1"/>
  <c r="T39" i="10"/>
  <c r="Y39" i="10" s="1"/>
  <c r="R11" i="10"/>
  <c r="Q11" i="10"/>
  <c r="P11" i="10"/>
  <c r="P39" i="10" s="1"/>
  <c r="O11" i="10"/>
  <c r="N11" i="10"/>
  <c r="H39" i="10"/>
  <c r="K39" i="10" s="1"/>
  <c r="G11" i="10"/>
  <c r="E11" i="10"/>
  <c r="D11" i="10"/>
  <c r="C11" i="10"/>
  <c r="AD10" i="10"/>
  <c r="AC10" i="10"/>
  <c r="AC46" i="10" s="1"/>
  <c r="T46" i="10"/>
  <c r="R10" i="10"/>
  <c r="Q10" i="10"/>
  <c r="P10" i="10"/>
  <c r="P46" i="10" s="1"/>
  <c r="O10" i="10"/>
  <c r="N10" i="10"/>
  <c r="G10" i="10"/>
  <c r="E10" i="10"/>
  <c r="D10" i="10"/>
  <c r="C10" i="10"/>
  <c r="C46" i="10" s="1"/>
  <c r="AD9" i="10"/>
  <c r="AC9" i="10"/>
  <c r="AE9" i="10" s="1"/>
  <c r="R9" i="10"/>
  <c r="Q9" i="10"/>
  <c r="P9" i="10"/>
  <c r="O9" i="10"/>
  <c r="N9" i="10"/>
  <c r="G9" i="10"/>
  <c r="E9" i="10"/>
  <c r="D9" i="10"/>
  <c r="C9" i="10"/>
  <c r="F9" i="10" s="1"/>
  <c r="AD8" i="10"/>
  <c r="AC8" i="10"/>
  <c r="T41" i="10"/>
  <c r="Y41" i="10" s="1"/>
  <c r="R8" i="10"/>
  <c r="Q8" i="10"/>
  <c r="P8" i="10"/>
  <c r="P41" i="10" s="1"/>
  <c r="O8" i="10"/>
  <c r="N8" i="10"/>
  <c r="H41" i="10"/>
  <c r="K41" i="10" s="1"/>
  <c r="G8" i="10"/>
  <c r="E8" i="10"/>
  <c r="D8" i="10"/>
  <c r="C8" i="10"/>
  <c r="AD7" i="10"/>
  <c r="AC7" i="10"/>
  <c r="AE7" i="10" s="1"/>
  <c r="R7" i="10"/>
  <c r="Q7" i="10"/>
  <c r="P7" i="10"/>
  <c r="O7" i="10"/>
  <c r="N7" i="10"/>
  <c r="G7" i="10"/>
  <c r="E7" i="10"/>
  <c r="D7" i="10"/>
  <c r="C7" i="10"/>
  <c r="F7" i="10" s="1"/>
  <c r="AD6" i="10"/>
  <c r="AC6" i="10"/>
  <c r="AC47" i="10" s="1"/>
  <c r="AE47" i="10" s="1"/>
  <c r="T47" i="10"/>
  <c r="Y47" i="10" s="1"/>
  <c r="R6" i="10"/>
  <c r="Q6" i="10"/>
  <c r="P6" i="10"/>
  <c r="O6" i="10"/>
  <c r="N6" i="10"/>
  <c r="H47" i="10"/>
  <c r="K47" i="10" s="1"/>
  <c r="G6" i="10"/>
  <c r="E6" i="10"/>
  <c r="D6" i="10"/>
  <c r="C6" i="10"/>
  <c r="C47" i="10" s="1"/>
  <c r="AD5" i="10"/>
  <c r="AC5" i="10"/>
  <c r="AE5" i="10" s="1"/>
  <c r="R5" i="10"/>
  <c r="Q5" i="10"/>
  <c r="P5" i="10"/>
  <c r="O5" i="10"/>
  <c r="N5" i="10"/>
  <c r="G5" i="10"/>
  <c r="E5" i="10"/>
  <c r="D5" i="10"/>
  <c r="C5" i="10"/>
  <c r="AD4" i="10"/>
  <c r="AC4" i="10"/>
  <c r="AC40" i="10" s="1"/>
  <c r="AE40" i="10" s="1"/>
  <c r="U40" i="10"/>
  <c r="Z40" i="10" s="1"/>
  <c r="T40" i="10"/>
  <c r="Y40" i="10" s="1"/>
  <c r="R4" i="10"/>
  <c r="Q4" i="10"/>
  <c r="P4" i="10"/>
  <c r="P40" i="10" s="1"/>
  <c r="O4" i="10"/>
  <c r="N4" i="10"/>
  <c r="G4" i="10"/>
  <c r="E4" i="10"/>
  <c r="D4" i="10"/>
  <c r="C4" i="10"/>
  <c r="C40" i="10" s="1"/>
  <c r="AD3" i="10"/>
  <c r="AD32" i="10" s="1"/>
  <c r="AC3" i="10"/>
  <c r="AE3" i="10" s="1"/>
  <c r="U32" i="10"/>
  <c r="T32" i="10"/>
  <c r="R3" i="10"/>
  <c r="Q3" i="10"/>
  <c r="Q32" i="10" s="1"/>
  <c r="P3" i="10"/>
  <c r="P32" i="10" s="1"/>
  <c r="O3" i="10"/>
  <c r="N3" i="10"/>
  <c r="I32" i="10"/>
  <c r="H32" i="10"/>
  <c r="G3" i="10"/>
  <c r="E3" i="10"/>
  <c r="D3" i="10"/>
  <c r="D32" i="10" s="1"/>
  <c r="C3" i="10"/>
  <c r="C32" i="10" s="1"/>
  <c r="AD2" i="10"/>
  <c r="AC2" i="10"/>
  <c r="T38" i="10"/>
  <c r="Y38" i="10" s="1"/>
  <c r="R2" i="10"/>
  <c r="Q2" i="10"/>
  <c r="P2" i="10"/>
  <c r="P38" i="10" s="1"/>
  <c r="O2" i="10"/>
  <c r="N2" i="10"/>
  <c r="I38" i="10"/>
  <c r="L38" i="10" s="1"/>
  <c r="H38" i="10"/>
  <c r="K38" i="10" s="1"/>
  <c r="G2" i="10"/>
  <c r="E2" i="10"/>
  <c r="D2" i="10"/>
  <c r="C2" i="10"/>
  <c r="H35" i="10"/>
  <c r="K35" i="10" s="1"/>
  <c r="T43" i="10"/>
  <c r="Y43" i="10" s="1"/>
  <c r="AE27" i="10"/>
  <c r="P36" i="10"/>
  <c r="AE24" i="10"/>
  <c r="AC37" i="10"/>
  <c r="C37" i="10"/>
  <c r="AC42" i="10"/>
  <c r="C42" i="10"/>
  <c r="F42" i="10" s="1"/>
  <c r="F16" i="10"/>
  <c r="H44" i="10"/>
  <c r="K44" i="10" s="1"/>
  <c r="P34" i="10"/>
  <c r="C33" i="10"/>
  <c r="F33" i="10" s="1"/>
  <c r="C39" i="10"/>
  <c r="F39" i="10" s="1"/>
  <c r="H46" i="10"/>
  <c r="AC41" i="10"/>
  <c r="C41" i="10"/>
  <c r="P47" i="10"/>
  <c r="F5" i="10"/>
  <c r="H40" i="10"/>
  <c r="K40" i="10" s="1"/>
  <c r="AC38" i="10"/>
  <c r="AE38" i="10" s="1"/>
  <c r="C38" i="10"/>
  <c r="E36" i="12"/>
  <c r="AD34" i="12"/>
  <c r="R34" i="12"/>
  <c r="N34" i="12"/>
  <c r="D33" i="12"/>
  <c r="AG35" i="12"/>
  <c r="AI35" i="12" s="1"/>
  <c r="AF35" i="12"/>
  <c r="AD35" i="12"/>
  <c r="W35" i="12"/>
  <c r="AB35" i="12" s="1"/>
  <c r="V35" i="12"/>
  <c r="AA35" i="12" s="1"/>
  <c r="U35" i="12"/>
  <c r="Z35" i="12" s="1"/>
  <c r="S35" i="12"/>
  <c r="X35" i="12" s="1"/>
  <c r="R35" i="12"/>
  <c r="Q35" i="12"/>
  <c r="O35" i="12"/>
  <c r="N35" i="12"/>
  <c r="G35" i="12"/>
  <c r="E35" i="12"/>
  <c r="D35" i="12"/>
  <c r="AG43" i="12"/>
  <c r="AI43" i="12" s="1"/>
  <c r="AF43" i="12"/>
  <c r="W43" i="12"/>
  <c r="AB43" i="12" s="1"/>
  <c r="V43" i="12"/>
  <c r="AA43" i="12" s="1"/>
  <c r="S43" i="12"/>
  <c r="X43" i="12" s="1"/>
  <c r="R43" i="12"/>
  <c r="O43" i="12"/>
  <c r="N43" i="12"/>
  <c r="G43" i="12"/>
  <c r="E43" i="12"/>
  <c r="AG36" i="12"/>
  <c r="AI36" i="12" s="1"/>
  <c r="AF36" i="12"/>
  <c r="AD36" i="12"/>
  <c r="W36" i="12"/>
  <c r="AB36" i="12" s="1"/>
  <c r="U36" i="12"/>
  <c r="Z36" i="12" s="1"/>
  <c r="S36" i="12"/>
  <c r="X36" i="12" s="1"/>
  <c r="R36" i="12"/>
  <c r="Q36" i="12"/>
  <c r="O36" i="12"/>
  <c r="N36" i="12"/>
  <c r="I36" i="12"/>
  <c r="L36" i="12" s="1"/>
  <c r="G36" i="12"/>
  <c r="D36" i="12"/>
  <c r="C36" i="12"/>
  <c r="AG49" i="12"/>
  <c r="AF49" i="12"/>
  <c r="AD49" i="12"/>
  <c r="AC49" i="12"/>
  <c r="W49" i="12"/>
  <c r="T49" i="12"/>
  <c r="S49" i="12"/>
  <c r="R49" i="12"/>
  <c r="Q49" i="12"/>
  <c r="P49" i="12"/>
  <c r="O49" i="12"/>
  <c r="N49" i="12"/>
  <c r="G49" i="12"/>
  <c r="E49" i="12"/>
  <c r="D49" i="12"/>
  <c r="AG37" i="12"/>
  <c r="AI37" i="12" s="1"/>
  <c r="AF37" i="12"/>
  <c r="AD37" i="12"/>
  <c r="U37" i="12"/>
  <c r="Z37" i="12" s="1"/>
  <c r="R37" i="12"/>
  <c r="Q37" i="12"/>
  <c r="O37" i="12"/>
  <c r="N37" i="12"/>
  <c r="G37" i="12"/>
  <c r="E37" i="12"/>
  <c r="D37" i="12"/>
  <c r="AF42" i="12"/>
  <c r="W42" i="12"/>
  <c r="AB42" i="12" s="1"/>
  <c r="S42" i="12"/>
  <c r="X42" i="12" s="1"/>
  <c r="R42" i="12"/>
  <c r="O42" i="12"/>
  <c r="N42" i="12"/>
  <c r="G42" i="12"/>
  <c r="E42" i="12"/>
  <c r="AE18" i="12"/>
  <c r="AF44" i="12"/>
  <c r="AE15" i="12"/>
  <c r="W44" i="12"/>
  <c r="AB44" i="12" s="1"/>
  <c r="S44" i="12"/>
  <c r="X44" i="12" s="1"/>
  <c r="R44" i="12"/>
  <c r="O44" i="12"/>
  <c r="N44" i="12"/>
  <c r="G44" i="12"/>
  <c r="F15" i="12"/>
  <c r="E44" i="12"/>
  <c r="AG34" i="12"/>
  <c r="AI34" i="12" s="1"/>
  <c r="AF34" i="12"/>
  <c r="W34" i="12"/>
  <c r="AB34" i="12" s="1"/>
  <c r="U34" i="12"/>
  <c r="Z34" i="12" s="1"/>
  <c r="Q34" i="12"/>
  <c r="P34" i="12"/>
  <c r="O34" i="12"/>
  <c r="G34" i="12"/>
  <c r="E34" i="12"/>
  <c r="AG33" i="12"/>
  <c r="AI33" i="12" s="1"/>
  <c r="W33" i="12"/>
  <c r="AB33" i="12" s="1"/>
  <c r="V33" i="12"/>
  <c r="AA33" i="12" s="1"/>
  <c r="R33" i="12"/>
  <c r="O33" i="12"/>
  <c r="N33" i="12"/>
  <c r="I33" i="12"/>
  <c r="L33" i="12" s="1"/>
  <c r="G33" i="12"/>
  <c r="E33" i="12"/>
  <c r="AF39" i="12"/>
  <c r="W39" i="12"/>
  <c r="AB39" i="12" s="1"/>
  <c r="S39" i="12"/>
  <c r="X39" i="12" s="1"/>
  <c r="R39" i="12"/>
  <c r="O39" i="12"/>
  <c r="N39" i="12"/>
  <c r="E39" i="12"/>
  <c r="D39" i="12"/>
  <c r="AF46" i="12"/>
  <c r="AJ45" i="12" s="1"/>
  <c r="AD46" i="12"/>
  <c r="V46" i="12"/>
  <c r="U46" i="12"/>
  <c r="R46" i="12"/>
  <c r="Q46" i="12"/>
  <c r="N46" i="12"/>
  <c r="E46" i="12"/>
  <c r="D46" i="12"/>
  <c r="AF41" i="12"/>
  <c r="W41" i="12"/>
  <c r="AB41" i="12" s="1"/>
  <c r="V41" i="12"/>
  <c r="AA41" i="12" s="1"/>
  <c r="R41" i="12"/>
  <c r="O41" i="12"/>
  <c r="N41" i="12"/>
  <c r="E41" i="12"/>
  <c r="F7" i="12"/>
  <c r="AG47" i="12"/>
  <c r="AI47" i="12" s="1"/>
  <c r="AF47" i="12"/>
  <c r="AD47" i="12"/>
  <c r="AC47" i="12"/>
  <c r="AE47" i="12" s="1"/>
  <c r="W47" i="12"/>
  <c r="AB47" i="12" s="1"/>
  <c r="U47" i="12"/>
  <c r="Z47" i="12" s="1"/>
  <c r="T47" i="12"/>
  <c r="Y47" i="12" s="1"/>
  <c r="S47" i="12"/>
  <c r="X47" i="12" s="1"/>
  <c r="R47" i="12"/>
  <c r="Q47" i="12"/>
  <c r="P47" i="12"/>
  <c r="O47" i="12"/>
  <c r="N47" i="12"/>
  <c r="H47" i="12"/>
  <c r="K47" i="12" s="1"/>
  <c r="G47" i="12"/>
  <c r="E47" i="12"/>
  <c r="D47" i="12"/>
  <c r="C47" i="12"/>
  <c r="AG40" i="12"/>
  <c r="AI40" i="12" s="1"/>
  <c r="W40" i="12"/>
  <c r="AB40" i="12" s="1"/>
  <c r="V40" i="12"/>
  <c r="AA40" i="12" s="1"/>
  <c r="S40" i="12"/>
  <c r="X40" i="12" s="1"/>
  <c r="R40" i="12"/>
  <c r="O40" i="12"/>
  <c r="N40" i="12"/>
  <c r="G40" i="12"/>
  <c r="E40" i="12"/>
  <c r="AF32" i="12"/>
  <c r="W32" i="12"/>
  <c r="S32" i="12"/>
  <c r="R32" i="12"/>
  <c r="R31" i="12" s="1"/>
  <c r="O32" i="12"/>
  <c r="N32" i="12"/>
  <c r="G32" i="12"/>
  <c r="F3" i="12"/>
  <c r="E32" i="12"/>
  <c r="AF38" i="12"/>
  <c r="R38" i="12"/>
  <c r="O38" i="12"/>
  <c r="N38" i="12"/>
  <c r="E38" i="12"/>
  <c r="AG35" i="10"/>
  <c r="AI35" i="10" s="1"/>
  <c r="AF35" i="10"/>
  <c r="AD35" i="10"/>
  <c r="W35" i="10"/>
  <c r="AB35" i="10" s="1"/>
  <c r="V35" i="10"/>
  <c r="AA35" i="10" s="1"/>
  <c r="U35" i="10"/>
  <c r="Z35" i="10" s="1"/>
  <c r="S35" i="10"/>
  <c r="X35" i="10" s="1"/>
  <c r="R35" i="10"/>
  <c r="Q35" i="10"/>
  <c r="O35" i="10"/>
  <c r="N35" i="10"/>
  <c r="I35" i="10"/>
  <c r="L35" i="10" s="1"/>
  <c r="G35" i="10"/>
  <c r="E35" i="10"/>
  <c r="D35" i="10"/>
  <c r="AG43" i="10"/>
  <c r="AI43" i="10" s="1"/>
  <c r="AF43" i="10"/>
  <c r="AD43" i="10"/>
  <c r="W43" i="10"/>
  <c r="AB43" i="10" s="1"/>
  <c r="V43" i="10"/>
  <c r="AA43" i="10" s="1"/>
  <c r="U43" i="10"/>
  <c r="Z43" i="10" s="1"/>
  <c r="S43" i="10"/>
  <c r="X43" i="10" s="1"/>
  <c r="R43" i="10"/>
  <c r="Q43" i="10"/>
  <c r="O43" i="10"/>
  <c r="N43" i="10"/>
  <c r="I43" i="10"/>
  <c r="L43" i="10" s="1"/>
  <c r="G43" i="10"/>
  <c r="E43" i="10"/>
  <c r="D43" i="10"/>
  <c r="AG36" i="10"/>
  <c r="AI36" i="10" s="1"/>
  <c r="AF36" i="10"/>
  <c r="AD36" i="10"/>
  <c r="W36" i="10"/>
  <c r="AB36" i="10" s="1"/>
  <c r="V36" i="10"/>
  <c r="AA36" i="10" s="1"/>
  <c r="U36" i="10"/>
  <c r="Z36" i="10" s="1"/>
  <c r="S36" i="10"/>
  <c r="X36" i="10" s="1"/>
  <c r="R36" i="10"/>
  <c r="Q36" i="10"/>
  <c r="O36" i="10"/>
  <c r="N36" i="10"/>
  <c r="I36" i="10"/>
  <c r="L36" i="10" s="1"/>
  <c r="G36" i="10"/>
  <c r="E36" i="10"/>
  <c r="D36" i="10"/>
  <c r="AG49" i="10"/>
  <c r="AF49" i="10"/>
  <c r="AD49" i="10"/>
  <c r="W49" i="10"/>
  <c r="V49" i="10"/>
  <c r="U49" i="10"/>
  <c r="S49" i="10"/>
  <c r="R49" i="10"/>
  <c r="Q49" i="10"/>
  <c r="O49" i="10"/>
  <c r="N49" i="10"/>
  <c r="I49" i="10"/>
  <c r="G49" i="10"/>
  <c r="E49" i="10"/>
  <c r="D49" i="10"/>
  <c r="AG37" i="10"/>
  <c r="AI37" i="10" s="1"/>
  <c r="AF37" i="10"/>
  <c r="AD37" i="10"/>
  <c r="W37" i="10"/>
  <c r="AB37" i="10" s="1"/>
  <c r="V37" i="10"/>
  <c r="AA37" i="10" s="1"/>
  <c r="U37" i="10"/>
  <c r="Z37" i="10" s="1"/>
  <c r="S37" i="10"/>
  <c r="X37" i="10" s="1"/>
  <c r="R37" i="10"/>
  <c r="Q37" i="10"/>
  <c r="O37" i="10"/>
  <c r="N37" i="10"/>
  <c r="I37" i="10"/>
  <c r="L37" i="10" s="1"/>
  <c r="G37" i="10"/>
  <c r="E37" i="10"/>
  <c r="D37" i="10"/>
  <c r="AG42" i="10"/>
  <c r="AI42" i="10" s="1"/>
  <c r="AF42" i="10"/>
  <c r="AE19" i="10"/>
  <c r="AD42" i="10"/>
  <c r="W42" i="10"/>
  <c r="AB42" i="10" s="1"/>
  <c r="V42" i="10"/>
  <c r="AA42" i="10" s="1"/>
  <c r="U42" i="10"/>
  <c r="Z42" i="10" s="1"/>
  <c r="S42" i="10"/>
  <c r="X42" i="10" s="1"/>
  <c r="R42" i="10"/>
  <c r="Q42" i="10"/>
  <c r="O42" i="10"/>
  <c r="N42" i="10"/>
  <c r="I42" i="10"/>
  <c r="L42" i="10" s="1"/>
  <c r="G42" i="10"/>
  <c r="F19" i="10"/>
  <c r="E42" i="10"/>
  <c r="D42" i="10"/>
  <c r="AE16" i="10"/>
  <c r="AG44" i="10"/>
  <c r="AI44" i="10" s="1"/>
  <c r="AF44" i="10"/>
  <c r="AD44" i="10"/>
  <c r="W44" i="10"/>
  <c r="AB44" i="10" s="1"/>
  <c r="V44" i="10"/>
  <c r="AA44" i="10" s="1"/>
  <c r="U44" i="10"/>
  <c r="Z44" i="10" s="1"/>
  <c r="S44" i="10"/>
  <c r="X44" i="10" s="1"/>
  <c r="R44" i="10"/>
  <c r="Q44" i="10"/>
  <c r="O44" i="10"/>
  <c r="N44" i="10"/>
  <c r="I44" i="10"/>
  <c r="L44" i="10" s="1"/>
  <c r="G44" i="10"/>
  <c r="E44" i="10"/>
  <c r="D44" i="10"/>
  <c r="AG34" i="10"/>
  <c r="AI34" i="10" s="1"/>
  <c r="AF34" i="10"/>
  <c r="AD34" i="10"/>
  <c r="W34" i="10"/>
  <c r="AB34" i="10" s="1"/>
  <c r="V34" i="10"/>
  <c r="AA34" i="10" s="1"/>
  <c r="U34" i="10"/>
  <c r="Z34" i="10" s="1"/>
  <c r="S34" i="10"/>
  <c r="X34" i="10" s="1"/>
  <c r="R34" i="10"/>
  <c r="Q34" i="10"/>
  <c r="O34" i="10"/>
  <c r="N34" i="10"/>
  <c r="I34" i="10"/>
  <c r="L34" i="10" s="1"/>
  <c r="G34" i="10"/>
  <c r="E34" i="10"/>
  <c r="D34" i="10"/>
  <c r="AG33" i="10"/>
  <c r="AI33" i="10" s="1"/>
  <c r="AF33" i="10"/>
  <c r="AD33" i="10"/>
  <c r="AC33" i="10"/>
  <c r="W33" i="10"/>
  <c r="AB33" i="10" s="1"/>
  <c r="V33" i="10"/>
  <c r="AA33" i="10" s="1"/>
  <c r="U33" i="10"/>
  <c r="Z33" i="10" s="1"/>
  <c r="T33" i="10"/>
  <c r="Y33" i="10" s="1"/>
  <c r="S33" i="10"/>
  <c r="X33" i="10" s="1"/>
  <c r="R33" i="10"/>
  <c r="Q33" i="10"/>
  <c r="P33" i="10"/>
  <c r="O33" i="10"/>
  <c r="N33" i="10"/>
  <c r="I33" i="10"/>
  <c r="L33" i="10" s="1"/>
  <c r="H33" i="10"/>
  <c r="K33" i="10" s="1"/>
  <c r="G33" i="10"/>
  <c r="E33" i="10"/>
  <c r="D33" i="10"/>
  <c r="AG39" i="10"/>
  <c r="AI39" i="10" s="1"/>
  <c r="AF39" i="10"/>
  <c r="AD39" i="10"/>
  <c r="W39" i="10"/>
  <c r="AB39" i="10" s="1"/>
  <c r="V39" i="10"/>
  <c r="AA39" i="10" s="1"/>
  <c r="U39" i="10"/>
  <c r="Z39" i="10" s="1"/>
  <c r="S39" i="10"/>
  <c r="X39" i="10" s="1"/>
  <c r="R39" i="10"/>
  <c r="Q39" i="10"/>
  <c r="O39" i="10"/>
  <c r="N39" i="10"/>
  <c r="I39" i="10"/>
  <c r="L39" i="10" s="1"/>
  <c r="G39" i="10"/>
  <c r="E39" i="10"/>
  <c r="D39" i="10"/>
  <c r="AG46" i="10"/>
  <c r="AF46" i="10"/>
  <c r="AJ45" i="10" s="1"/>
  <c r="AD46" i="10"/>
  <c r="W46" i="10"/>
  <c r="V46" i="10"/>
  <c r="U46" i="10"/>
  <c r="S46" i="10"/>
  <c r="R46" i="10"/>
  <c r="Q46" i="10"/>
  <c r="O46" i="10"/>
  <c r="N46" i="10"/>
  <c r="I46" i="10"/>
  <c r="G46" i="10"/>
  <c r="E46" i="10"/>
  <c r="D46" i="10"/>
  <c r="AG41" i="10"/>
  <c r="AI41" i="10" s="1"/>
  <c r="AF41" i="10"/>
  <c r="AD41" i="10"/>
  <c r="W41" i="10"/>
  <c r="AB41" i="10" s="1"/>
  <c r="V41" i="10"/>
  <c r="AA41" i="10" s="1"/>
  <c r="U41" i="10"/>
  <c r="Z41" i="10" s="1"/>
  <c r="S41" i="10"/>
  <c r="X41" i="10" s="1"/>
  <c r="R41" i="10"/>
  <c r="Q41" i="10"/>
  <c r="O41" i="10"/>
  <c r="N41" i="10"/>
  <c r="I41" i="10"/>
  <c r="L41" i="10" s="1"/>
  <c r="G41" i="10"/>
  <c r="E41" i="10"/>
  <c r="D41" i="10"/>
  <c r="AG47" i="10"/>
  <c r="AI47" i="10" s="1"/>
  <c r="AF47" i="10"/>
  <c r="AD47" i="10"/>
  <c r="W47" i="10"/>
  <c r="AB47" i="10" s="1"/>
  <c r="V47" i="10"/>
  <c r="AA47" i="10" s="1"/>
  <c r="U47" i="10"/>
  <c r="Z47" i="10" s="1"/>
  <c r="S47" i="10"/>
  <c r="X47" i="10" s="1"/>
  <c r="R47" i="10"/>
  <c r="Q47" i="10"/>
  <c r="O47" i="10"/>
  <c r="N47" i="10"/>
  <c r="I47" i="10"/>
  <c r="L47" i="10" s="1"/>
  <c r="G47" i="10"/>
  <c r="E47" i="10"/>
  <c r="D47" i="10"/>
  <c r="AG40" i="10"/>
  <c r="AI40" i="10" s="1"/>
  <c r="AF40" i="10"/>
  <c r="AD40" i="10"/>
  <c r="W40" i="10"/>
  <c r="AB40" i="10" s="1"/>
  <c r="V40" i="10"/>
  <c r="AA40" i="10" s="1"/>
  <c r="S40" i="10"/>
  <c r="X40" i="10" s="1"/>
  <c r="R40" i="10"/>
  <c r="Q40" i="10"/>
  <c r="O40" i="10"/>
  <c r="N40" i="10"/>
  <c r="I40" i="10"/>
  <c r="L40" i="10" s="1"/>
  <c r="G40" i="10"/>
  <c r="E40" i="10"/>
  <c r="D40" i="10"/>
  <c r="AG32" i="10"/>
  <c r="AF32" i="10"/>
  <c r="W32" i="10"/>
  <c r="V32" i="10"/>
  <c r="S32" i="10"/>
  <c r="R32" i="10"/>
  <c r="O32" i="10"/>
  <c r="N32" i="10"/>
  <c r="G32" i="10"/>
  <c r="E32" i="10"/>
  <c r="AG38" i="10"/>
  <c r="AI38" i="10" s="1"/>
  <c r="AF38" i="10"/>
  <c r="AD38" i="10"/>
  <c r="W38" i="10"/>
  <c r="AB38" i="10" s="1"/>
  <c r="V38" i="10"/>
  <c r="AA38" i="10" s="1"/>
  <c r="U38" i="10"/>
  <c r="Z38" i="10" s="1"/>
  <c r="S38" i="10"/>
  <c r="X38" i="10" s="1"/>
  <c r="R38" i="10"/>
  <c r="Q38" i="10"/>
  <c r="O38" i="10"/>
  <c r="N38" i="10"/>
  <c r="G38" i="10"/>
  <c r="E38" i="10"/>
  <c r="D38" i="10"/>
  <c r="AD30" i="8"/>
  <c r="AC30" i="8"/>
  <c r="AC35" i="8" s="1"/>
  <c r="T35" i="8"/>
  <c r="Y35" i="8" s="1"/>
  <c r="P35" i="8"/>
  <c r="D30" i="8"/>
  <c r="AD29" i="8"/>
  <c r="AC29" i="8"/>
  <c r="D29" i="8"/>
  <c r="AD28" i="8"/>
  <c r="AC28" i="8"/>
  <c r="AC43" i="8" s="1"/>
  <c r="T43" i="8"/>
  <c r="Y43" i="8" s="1"/>
  <c r="D28" i="8"/>
  <c r="AD27" i="8"/>
  <c r="AC27" i="8"/>
  <c r="D27" i="8"/>
  <c r="AD26" i="8"/>
  <c r="AC26" i="8"/>
  <c r="AC36" i="8" s="1"/>
  <c r="T36" i="8"/>
  <c r="Y36" i="8" s="1"/>
  <c r="H36" i="8"/>
  <c r="K36" i="8" s="1"/>
  <c r="D26" i="8"/>
  <c r="AD25" i="8"/>
  <c r="AC25" i="8"/>
  <c r="D25" i="8"/>
  <c r="AD24" i="8"/>
  <c r="AC24" i="8"/>
  <c r="D24" i="8"/>
  <c r="AF49" i="8"/>
  <c r="AD23" i="8"/>
  <c r="AC23" i="8"/>
  <c r="R49" i="8"/>
  <c r="N49" i="8"/>
  <c r="D23" i="8"/>
  <c r="D49" i="8" s="1"/>
  <c r="AD22" i="8"/>
  <c r="AC22" i="8"/>
  <c r="AC37" i="8" s="1"/>
  <c r="T37" i="8"/>
  <c r="Y37" i="8" s="1"/>
  <c r="P37" i="8"/>
  <c r="D22" i="8"/>
  <c r="AD21" i="8"/>
  <c r="AC21" i="8"/>
  <c r="D21" i="8"/>
  <c r="AD20" i="8"/>
  <c r="AC20" i="8"/>
  <c r="D20" i="8"/>
  <c r="AF42" i="8"/>
  <c r="AD19" i="8"/>
  <c r="AC19" i="8"/>
  <c r="R42" i="8"/>
  <c r="N42" i="8"/>
  <c r="D19" i="8"/>
  <c r="AD18" i="8"/>
  <c r="AC18" i="8"/>
  <c r="D18" i="8"/>
  <c r="AD17" i="8"/>
  <c r="AC17" i="8"/>
  <c r="D17" i="8"/>
  <c r="AD16" i="8"/>
  <c r="AC16" i="8"/>
  <c r="D16" i="8"/>
  <c r="AD15" i="8"/>
  <c r="AC15" i="8"/>
  <c r="R44" i="8"/>
  <c r="D15" i="8"/>
  <c r="AD14" i="8"/>
  <c r="AC14" i="8"/>
  <c r="AC34" i="8" s="1"/>
  <c r="T34" i="8"/>
  <c r="Y34" i="8" s="1"/>
  <c r="H34" i="8"/>
  <c r="K34" i="8" s="1"/>
  <c r="D14" i="8"/>
  <c r="AF33" i="8"/>
  <c r="AD13" i="8"/>
  <c r="AC13" i="8"/>
  <c r="N33" i="8"/>
  <c r="D13" i="8"/>
  <c r="D33" i="8" s="1"/>
  <c r="AD12" i="8"/>
  <c r="AC12" i="8"/>
  <c r="D12" i="8"/>
  <c r="AF39" i="8"/>
  <c r="AD11" i="8"/>
  <c r="AC11" i="8"/>
  <c r="R39" i="8"/>
  <c r="N39" i="8"/>
  <c r="D11" i="8"/>
  <c r="AD10" i="8"/>
  <c r="AC10" i="8"/>
  <c r="AC46" i="8" s="1"/>
  <c r="P46" i="8"/>
  <c r="D10" i="8"/>
  <c r="AD9" i="8"/>
  <c r="AC9" i="8"/>
  <c r="D9" i="8"/>
  <c r="AD8" i="8"/>
  <c r="AC8" i="8"/>
  <c r="AC41" i="8" s="1"/>
  <c r="T41" i="8"/>
  <c r="Y41" i="8" s="1"/>
  <c r="P41" i="8"/>
  <c r="H41" i="8"/>
  <c r="K41" i="8" s="1"/>
  <c r="D8" i="8"/>
  <c r="AD7" i="8"/>
  <c r="AC7" i="8"/>
  <c r="D7" i="8"/>
  <c r="AD6" i="8"/>
  <c r="AC6" i="8"/>
  <c r="AC47" i="8" s="1"/>
  <c r="P47" i="8"/>
  <c r="D6" i="8"/>
  <c r="AD5" i="8"/>
  <c r="AC5" i="8"/>
  <c r="D5" i="8"/>
  <c r="AD4" i="8"/>
  <c r="AC4" i="8"/>
  <c r="AC40" i="8" s="1"/>
  <c r="T40" i="8"/>
  <c r="Y40" i="8" s="1"/>
  <c r="P40" i="8"/>
  <c r="D4" i="8"/>
  <c r="AF32" i="8"/>
  <c r="AD3" i="8"/>
  <c r="AD32" i="8" s="1"/>
  <c r="AC3" i="8"/>
  <c r="R32" i="8"/>
  <c r="D3" i="8"/>
  <c r="D32" i="8" s="1"/>
  <c r="AD2" i="8"/>
  <c r="AC2" i="8"/>
  <c r="AC38" i="8" s="1"/>
  <c r="T38" i="8"/>
  <c r="Y38" i="8" s="1"/>
  <c r="S38" i="8"/>
  <c r="X38" i="8" s="1"/>
  <c r="P38" i="8"/>
  <c r="E38" i="8"/>
  <c r="D2" i="8"/>
  <c r="AF35" i="8"/>
  <c r="AD35" i="8"/>
  <c r="U35" i="8"/>
  <c r="Z35" i="8" s="1"/>
  <c r="Q35" i="8"/>
  <c r="G30" i="8"/>
  <c r="D35" i="8"/>
  <c r="C30" i="8"/>
  <c r="C35" i="8" s="1"/>
  <c r="G29" i="8"/>
  <c r="C29" i="8"/>
  <c r="AD43" i="8"/>
  <c r="G28" i="8"/>
  <c r="D43" i="8"/>
  <c r="C28" i="8"/>
  <c r="C43" i="8" s="1"/>
  <c r="G27" i="8"/>
  <c r="C27" i="8"/>
  <c r="Q36" i="8"/>
  <c r="P36" i="8"/>
  <c r="G26" i="8"/>
  <c r="D36" i="8"/>
  <c r="C26" i="8"/>
  <c r="C36" i="8" s="1"/>
  <c r="G25" i="8"/>
  <c r="C25" i="8"/>
  <c r="G24" i="8"/>
  <c r="C24" i="8"/>
  <c r="AD49" i="8"/>
  <c r="AC49" i="8"/>
  <c r="U49" i="8"/>
  <c r="T49" i="8"/>
  <c r="P49" i="8"/>
  <c r="I49" i="8"/>
  <c r="H49" i="8"/>
  <c r="G23" i="8"/>
  <c r="E49" i="8"/>
  <c r="C23" i="8"/>
  <c r="C49" i="8" s="1"/>
  <c r="AD37" i="8"/>
  <c r="U37" i="8"/>
  <c r="Z37" i="8" s="1"/>
  <c r="Q37" i="8"/>
  <c r="G22" i="8"/>
  <c r="D37" i="8"/>
  <c r="C22" i="8"/>
  <c r="G21" i="8"/>
  <c r="C21" i="8"/>
  <c r="G20" i="8"/>
  <c r="C20" i="8"/>
  <c r="AD42" i="8"/>
  <c r="AC42" i="8"/>
  <c r="U42" i="8"/>
  <c r="Z42" i="8" s="1"/>
  <c r="T42" i="8"/>
  <c r="Y42" i="8" s="1"/>
  <c r="P42" i="8"/>
  <c r="I42" i="8"/>
  <c r="L42" i="8" s="1"/>
  <c r="H42" i="8"/>
  <c r="K42" i="8" s="1"/>
  <c r="G19" i="8"/>
  <c r="E42" i="8"/>
  <c r="D42" i="8"/>
  <c r="C19" i="8"/>
  <c r="C42" i="8" s="1"/>
  <c r="G18" i="8"/>
  <c r="C18" i="8"/>
  <c r="G17" i="8"/>
  <c r="C17" i="8"/>
  <c r="G16" i="8"/>
  <c r="C16" i="8"/>
  <c r="AC44" i="8"/>
  <c r="U44" i="8"/>
  <c r="Z44" i="8" s="1"/>
  <c r="P44" i="8"/>
  <c r="N44" i="8"/>
  <c r="H44" i="8"/>
  <c r="K44" i="8" s="1"/>
  <c r="G15" i="8"/>
  <c r="E44" i="8"/>
  <c r="D44" i="8"/>
  <c r="C15" i="8"/>
  <c r="C44" i="8" s="1"/>
  <c r="AD34" i="8"/>
  <c r="U34" i="8"/>
  <c r="Z34" i="8" s="1"/>
  <c r="Q34" i="8"/>
  <c r="P34" i="8"/>
  <c r="N34" i="8"/>
  <c r="G14" i="8"/>
  <c r="D34" i="8"/>
  <c r="C14" i="8"/>
  <c r="C34" i="8" s="1"/>
  <c r="AD33" i="8"/>
  <c r="AC33" i="8"/>
  <c r="U33" i="8"/>
  <c r="Z33" i="8" s="1"/>
  <c r="Q33" i="8"/>
  <c r="G13" i="8"/>
  <c r="C13" i="8"/>
  <c r="C33" i="8" s="1"/>
  <c r="G12" i="8"/>
  <c r="C12" i="8"/>
  <c r="AD39" i="8"/>
  <c r="AC39" i="8"/>
  <c r="T39" i="8"/>
  <c r="Y39" i="8" s="1"/>
  <c r="P39" i="8"/>
  <c r="H39" i="8"/>
  <c r="K39" i="8" s="1"/>
  <c r="G11" i="8"/>
  <c r="C11" i="8"/>
  <c r="C39" i="8" s="1"/>
  <c r="U46" i="8"/>
  <c r="T46" i="8"/>
  <c r="Q46" i="8"/>
  <c r="G10" i="8"/>
  <c r="D46" i="8"/>
  <c r="C10" i="8"/>
  <c r="C46" i="8" s="1"/>
  <c r="G9" i="8"/>
  <c r="C9" i="8"/>
  <c r="AD41" i="8"/>
  <c r="Q41" i="8"/>
  <c r="G8" i="8"/>
  <c r="D41" i="8"/>
  <c r="C8" i="8"/>
  <c r="C41" i="8" s="1"/>
  <c r="G7" i="8"/>
  <c r="C7" i="8"/>
  <c r="AD47" i="8"/>
  <c r="U47" i="8"/>
  <c r="Z47" i="8" s="1"/>
  <c r="T47" i="8"/>
  <c r="Y47" i="8" s="1"/>
  <c r="G6" i="8"/>
  <c r="D47" i="8"/>
  <c r="C6" i="8"/>
  <c r="C47" i="8" s="1"/>
  <c r="G5" i="8"/>
  <c r="C5" i="8"/>
  <c r="AF40" i="8"/>
  <c r="AD40" i="8"/>
  <c r="Q40" i="8"/>
  <c r="N40" i="8"/>
  <c r="I40" i="8"/>
  <c r="L40" i="8" s="1"/>
  <c r="H40" i="8"/>
  <c r="K40" i="8" s="1"/>
  <c r="G4" i="8"/>
  <c r="C4" i="8"/>
  <c r="C40" i="8" s="1"/>
  <c r="U32" i="8"/>
  <c r="T32" i="8"/>
  <c r="P32" i="8"/>
  <c r="H32" i="8"/>
  <c r="G3" i="8"/>
  <c r="AD38" i="8"/>
  <c r="H38" i="8"/>
  <c r="K38" i="8" s="1"/>
  <c r="G2" i="8"/>
  <c r="D38" i="8"/>
  <c r="C2" i="8"/>
  <c r="C38" i="8" s="1"/>
  <c r="H43" i="8"/>
  <c r="K43" i="8" s="1"/>
  <c r="T44" i="8"/>
  <c r="Y44" i="8" s="1"/>
  <c r="P33" i="8"/>
  <c r="D39" i="8"/>
  <c r="AD36" i="8"/>
  <c r="U36" i="8"/>
  <c r="Z36" i="8" s="1"/>
  <c r="Q49" i="8"/>
  <c r="U39" i="8"/>
  <c r="Z39" i="8" s="1"/>
  <c r="Q47" i="8"/>
  <c r="D40" i="8"/>
  <c r="U38" i="8"/>
  <c r="Z38" i="8" s="1"/>
  <c r="Q38" i="8"/>
  <c r="AF44" i="8"/>
  <c r="R33" i="8"/>
  <c r="N32" i="8"/>
  <c r="AD46" i="8"/>
  <c r="AG40" i="8"/>
  <c r="AI40" i="8" s="1"/>
  <c r="W40" i="8"/>
  <c r="AB40" i="8" s="1"/>
  <c r="O40" i="8"/>
  <c r="G40" i="8"/>
  <c r="J40" i="8" s="1"/>
  <c r="N41" i="8"/>
  <c r="E41" i="8"/>
  <c r="AF47" i="8"/>
  <c r="N47" i="8"/>
  <c r="AG35" i="8"/>
  <c r="AI35" i="8" s="1"/>
  <c r="O35" i="8"/>
  <c r="N35" i="8"/>
  <c r="G35" i="8"/>
  <c r="AG43" i="8"/>
  <c r="AI43" i="8" s="1"/>
  <c r="AF43" i="8"/>
  <c r="R43" i="8"/>
  <c r="Q43" i="8"/>
  <c r="O43" i="8"/>
  <c r="N43" i="8"/>
  <c r="G43" i="8"/>
  <c r="J43" i="8" s="1"/>
  <c r="E43" i="8"/>
  <c r="AG36" i="8"/>
  <c r="AI36" i="8" s="1"/>
  <c r="AF36" i="8"/>
  <c r="W36" i="8"/>
  <c r="AB36" i="8" s="1"/>
  <c r="V36" i="8"/>
  <c r="AA36" i="8" s="1"/>
  <c r="O36" i="8"/>
  <c r="N36" i="8"/>
  <c r="G36" i="8"/>
  <c r="AG49" i="8"/>
  <c r="S49" i="8"/>
  <c r="O49" i="8"/>
  <c r="G49" i="8"/>
  <c r="AG37" i="8"/>
  <c r="AI37" i="8" s="1"/>
  <c r="AF37" i="8"/>
  <c r="V37" i="8"/>
  <c r="AA37" i="8" s="1"/>
  <c r="O37" i="8"/>
  <c r="G37" i="8"/>
  <c r="AG42" i="8"/>
  <c r="AI42" i="8" s="1"/>
  <c r="S42" i="8"/>
  <c r="X42" i="8" s="1"/>
  <c r="O42" i="8"/>
  <c r="G42" i="8"/>
  <c r="AG44" i="8"/>
  <c r="AI44" i="8" s="1"/>
  <c r="AD44" i="8"/>
  <c r="W44" i="8"/>
  <c r="AB44" i="8" s="1"/>
  <c r="O44" i="8"/>
  <c r="G44" i="8"/>
  <c r="AG34" i="8"/>
  <c r="AI34" i="8" s="1"/>
  <c r="AF34" i="8"/>
  <c r="R34" i="8"/>
  <c r="O34" i="8"/>
  <c r="G34" i="8"/>
  <c r="AG33" i="8"/>
  <c r="AI33" i="8" s="1"/>
  <c r="W33" i="8"/>
  <c r="AB33" i="8" s="1"/>
  <c r="G33" i="8"/>
  <c r="AG39" i="8"/>
  <c r="AI39" i="8" s="1"/>
  <c r="O39" i="8"/>
  <c r="G39" i="8"/>
  <c r="E39" i="8"/>
  <c r="AG46" i="8"/>
  <c r="AF46" i="8"/>
  <c r="V46" i="8"/>
  <c r="O46" i="8"/>
  <c r="N46" i="8"/>
  <c r="G46" i="8"/>
  <c r="AG41" i="8"/>
  <c r="AI41" i="8" s="1"/>
  <c r="AF41" i="8"/>
  <c r="W41" i="8"/>
  <c r="AB41" i="8" s="1"/>
  <c r="V41" i="8"/>
  <c r="AA41" i="8" s="1"/>
  <c r="R41" i="8"/>
  <c r="O41" i="8"/>
  <c r="G41" i="8"/>
  <c r="AG47" i="8"/>
  <c r="AI47" i="8" s="1"/>
  <c r="O47" i="8"/>
  <c r="G47" i="8"/>
  <c r="V40" i="8"/>
  <c r="AA40" i="8" s="1"/>
  <c r="R40" i="8"/>
  <c r="E40" i="8"/>
  <c r="AG32" i="8"/>
  <c r="W32" i="8"/>
  <c r="O32" i="8"/>
  <c r="G32" i="8"/>
  <c r="E32" i="8"/>
  <c r="AG38" i="8"/>
  <c r="AI38" i="8" s="1"/>
  <c r="AF38" i="8"/>
  <c r="W38" i="8"/>
  <c r="AB38" i="8" s="1"/>
  <c r="V38" i="8"/>
  <c r="AA38" i="8" s="1"/>
  <c r="R38" i="8"/>
  <c r="O38" i="8"/>
  <c r="N38" i="8"/>
  <c r="G38" i="8"/>
  <c r="N9" i="27"/>
  <c r="AR76" i="27"/>
  <c r="AQ76" i="27"/>
  <c r="AG76" i="27"/>
  <c r="T76" i="27"/>
  <c r="S76" i="27"/>
  <c r="R76" i="27"/>
  <c r="H76" i="27"/>
  <c r="G76" i="27"/>
  <c r="AR75" i="27"/>
  <c r="AQ75" i="27"/>
  <c r="AH75" i="27"/>
  <c r="AD75" i="27"/>
  <c r="S75" i="27"/>
  <c r="R75" i="27"/>
  <c r="I75" i="27"/>
  <c r="H75" i="27"/>
  <c r="G75" i="27"/>
  <c r="AR74" i="27"/>
  <c r="AQ74" i="27"/>
  <c r="S74" i="27"/>
  <c r="R74" i="27"/>
  <c r="H74" i="27"/>
  <c r="G74" i="27"/>
  <c r="AR73" i="27"/>
  <c r="AQ73" i="27"/>
  <c r="AF73" i="27"/>
  <c r="S73" i="27"/>
  <c r="R73" i="27"/>
  <c r="H73" i="27"/>
  <c r="G73" i="27"/>
  <c r="AR72" i="27"/>
  <c r="AQ72" i="27"/>
  <c r="AG72" i="27"/>
  <c r="T72" i="27"/>
  <c r="S72" i="27"/>
  <c r="R72" i="27"/>
  <c r="H72" i="27"/>
  <c r="G72" i="27"/>
  <c r="AR71" i="27"/>
  <c r="AQ71" i="27"/>
  <c r="AH71" i="27"/>
  <c r="AD71" i="27"/>
  <c r="S71" i="27"/>
  <c r="R71" i="27"/>
  <c r="I71" i="27"/>
  <c r="H71" i="27"/>
  <c r="G71" i="27"/>
  <c r="AR70" i="27"/>
  <c r="AQ70" i="27"/>
  <c r="S70" i="27"/>
  <c r="R70" i="27"/>
  <c r="H70" i="27"/>
  <c r="G70" i="27"/>
  <c r="AR69" i="27"/>
  <c r="AQ69" i="27"/>
  <c r="AF69" i="27"/>
  <c r="S69" i="27"/>
  <c r="R69" i="27"/>
  <c r="H69" i="27"/>
  <c r="G69" i="27"/>
  <c r="AR68" i="27"/>
  <c r="AQ68" i="27"/>
  <c r="AG68" i="27"/>
  <c r="T68" i="27"/>
  <c r="S68" i="27"/>
  <c r="R68" i="27"/>
  <c r="H68" i="27"/>
  <c r="G68" i="27"/>
  <c r="AR67" i="27"/>
  <c r="AQ67" i="27"/>
  <c r="S67" i="27"/>
  <c r="R67" i="27"/>
  <c r="H67" i="27"/>
  <c r="G67" i="27"/>
  <c r="AR66" i="27"/>
  <c r="AQ66" i="27"/>
  <c r="S66" i="27"/>
  <c r="R66" i="27"/>
  <c r="H66" i="27"/>
  <c r="G66" i="27"/>
  <c r="AR65" i="27"/>
  <c r="AQ65" i="27"/>
  <c r="AF65" i="27"/>
  <c r="S65" i="27"/>
  <c r="R65" i="27"/>
  <c r="H65" i="27"/>
  <c r="G65" i="27"/>
  <c r="AR64" i="27"/>
  <c r="AQ64" i="27"/>
  <c r="AG64" i="27"/>
  <c r="T64" i="27"/>
  <c r="S64" i="27"/>
  <c r="R64" i="27"/>
  <c r="H64" i="27"/>
  <c r="G64" i="27"/>
  <c r="AR62" i="27"/>
  <c r="AQ62" i="27"/>
  <c r="AH62" i="27"/>
  <c r="AD62" i="27"/>
  <c r="S62" i="27"/>
  <c r="R62" i="27"/>
  <c r="I62" i="27"/>
  <c r="H62" i="27"/>
  <c r="G62" i="27"/>
  <c r="AR61" i="27"/>
  <c r="AQ61" i="27"/>
  <c r="S61" i="27"/>
  <c r="R61" i="27"/>
  <c r="H61" i="27"/>
  <c r="G61" i="27"/>
  <c r="AR60" i="27"/>
  <c r="AQ60" i="27"/>
  <c r="AF60" i="27"/>
  <c r="S60" i="27"/>
  <c r="R60" i="27"/>
  <c r="H60" i="27"/>
  <c r="G60" i="27"/>
  <c r="AR59" i="27"/>
  <c r="AQ59" i="27"/>
  <c r="AG59" i="27"/>
  <c r="T59" i="27"/>
  <c r="S59" i="27"/>
  <c r="R59" i="27"/>
  <c r="H59" i="27"/>
  <c r="G59" i="27"/>
  <c r="AR58" i="27"/>
  <c r="AQ58" i="27"/>
  <c r="AH58" i="27"/>
  <c r="AD58" i="27"/>
  <c r="S58" i="27"/>
  <c r="R58" i="27"/>
  <c r="I58" i="27"/>
  <c r="H58" i="27"/>
  <c r="G58" i="27"/>
  <c r="AR57" i="27"/>
  <c r="AQ57" i="27"/>
  <c r="AE57" i="27"/>
  <c r="S57" i="27"/>
  <c r="R57" i="27"/>
  <c r="H57" i="27"/>
  <c r="G57" i="27"/>
  <c r="AR56" i="27"/>
  <c r="AQ56" i="27"/>
  <c r="AF56" i="27"/>
  <c r="S56" i="27"/>
  <c r="R56" i="27"/>
  <c r="H56" i="27"/>
  <c r="G56" i="27"/>
  <c r="AR55" i="27"/>
  <c r="AQ55" i="27"/>
  <c r="AG55" i="27"/>
  <c r="T55" i="27"/>
  <c r="S55" i="27"/>
  <c r="R55" i="27"/>
  <c r="H55" i="27"/>
  <c r="G55" i="27"/>
  <c r="AR54" i="27"/>
  <c r="AQ54" i="27"/>
  <c r="S54" i="27"/>
  <c r="R54" i="27"/>
  <c r="I54" i="27"/>
  <c r="H54" i="27"/>
  <c r="G54" i="27"/>
  <c r="AR53" i="27"/>
  <c r="AQ53" i="27"/>
  <c r="S53" i="27"/>
  <c r="R53" i="27"/>
  <c r="H53" i="27"/>
  <c r="G53" i="27"/>
  <c r="AR52" i="27"/>
  <c r="AQ52" i="27"/>
  <c r="AF52" i="27"/>
  <c r="S52" i="27"/>
  <c r="R52" i="27"/>
  <c r="H52" i="27"/>
  <c r="G52" i="27"/>
  <c r="AR51" i="27"/>
  <c r="AQ51" i="27"/>
  <c r="AG51" i="27"/>
  <c r="T51" i="27"/>
  <c r="S51" i="27"/>
  <c r="R51" i="27"/>
  <c r="H51" i="27"/>
  <c r="G51" i="27"/>
  <c r="AR50" i="27"/>
  <c r="AQ50" i="27"/>
  <c r="AH50" i="27"/>
  <c r="AD50" i="27"/>
  <c r="S50" i="27"/>
  <c r="R50" i="27"/>
  <c r="I50" i="27"/>
  <c r="H50" i="27"/>
  <c r="G50" i="27"/>
  <c r="AR49" i="27"/>
  <c r="AQ49" i="27"/>
  <c r="S49" i="27"/>
  <c r="R49" i="27"/>
  <c r="H49" i="27"/>
  <c r="G49" i="27"/>
  <c r="AR47" i="27"/>
  <c r="AQ47" i="27"/>
  <c r="AF47" i="27"/>
  <c r="S47" i="27"/>
  <c r="R47" i="27"/>
  <c r="H47" i="27"/>
  <c r="G47" i="27"/>
  <c r="AR46" i="27"/>
  <c r="AQ46" i="27"/>
  <c r="AG46" i="27"/>
  <c r="T46" i="27"/>
  <c r="S46" i="27"/>
  <c r="R46" i="27"/>
  <c r="H46" i="27"/>
  <c r="G46" i="27"/>
  <c r="AR44" i="27"/>
  <c r="AQ44" i="27"/>
  <c r="AH44" i="27"/>
  <c r="AD44" i="27"/>
  <c r="S44" i="27"/>
  <c r="R44" i="27"/>
  <c r="I44" i="27"/>
  <c r="H44" i="27"/>
  <c r="G44" i="27"/>
  <c r="AR43" i="27"/>
  <c r="AQ43" i="27"/>
  <c r="S43" i="27"/>
  <c r="R43" i="27"/>
  <c r="H43" i="27"/>
  <c r="G43" i="27"/>
  <c r="AR42" i="27"/>
  <c r="AQ42" i="27"/>
  <c r="AF42" i="27"/>
  <c r="S42" i="27"/>
  <c r="R42" i="27"/>
  <c r="H42" i="27"/>
  <c r="G42" i="27"/>
  <c r="AR41" i="27"/>
  <c r="AQ41" i="27"/>
  <c r="AG41" i="27"/>
  <c r="T41" i="27"/>
  <c r="S41" i="27"/>
  <c r="R41" i="27"/>
  <c r="H41" i="27"/>
  <c r="G41" i="27"/>
  <c r="AR40" i="27"/>
  <c r="AQ40" i="27"/>
  <c r="AD40" i="27"/>
  <c r="S40" i="27"/>
  <c r="R40" i="27"/>
  <c r="H40" i="27"/>
  <c r="G40" i="27"/>
  <c r="AR39" i="27"/>
  <c r="AQ39" i="27"/>
  <c r="S39" i="27"/>
  <c r="R39" i="27"/>
  <c r="H39" i="27"/>
  <c r="G39" i="27"/>
  <c r="AR38" i="27"/>
  <c r="AQ38" i="27"/>
  <c r="S38" i="27"/>
  <c r="R38" i="27"/>
  <c r="H38" i="27"/>
  <c r="G38" i="27"/>
  <c r="AR37" i="27"/>
  <c r="AQ37" i="27"/>
  <c r="AG37" i="27"/>
  <c r="T37" i="27"/>
  <c r="W37" i="27" s="1"/>
  <c r="S37" i="27"/>
  <c r="R37" i="27"/>
  <c r="H37" i="27"/>
  <c r="G37" i="27"/>
  <c r="AR36" i="27"/>
  <c r="AQ36" i="27"/>
  <c r="AH36" i="27"/>
  <c r="AM36" i="27" s="1"/>
  <c r="AD36" i="27"/>
  <c r="AI36" i="27" s="1"/>
  <c r="S36" i="27"/>
  <c r="R36" i="27"/>
  <c r="I36" i="27"/>
  <c r="L36" i="27" s="1"/>
  <c r="H36" i="27"/>
  <c r="G36" i="27"/>
  <c r="AR35" i="27"/>
  <c r="AQ35" i="27"/>
  <c r="AE35" i="27"/>
  <c r="S35" i="27"/>
  <c r="R35" i="27"/>
  <c r="H35" i="27"/>
  <c r="G35" i="27"/>
  <c r="AR34" i="27"/>
  <c r="AQ34" i="27"/>
  <c r="AF34" i="27"/>
  <c r="S34" i="27"/>
  <c r="R34" i="27"/>
  <c r="H34" i="27"/>
  <c r="G34" i="27"/>
  <c r="AR33" i="27"/>
  <c r="AQ33" i="27"/>
  <c r="AG33" i="27"/>
  <c r="T33" i="27"/>
  <c r="S33" i="27"/>
  <c r="R33" i="27"/>
  <c r="H33" i="27"/>
  <c r="G33" i="27"/>
  <c r="AR32" i="27"/>
  <c r="AQ32" i="27"/>
  <c r="S32" i="27"/>
  <c r="R32" i="27"/>
  <c r="H32" i="27"/>
  <c r="G32" i="27"/>
  <c r="AO30" i="27"/>
  <c r="AN30" i="27"/>
  <c r="AH30" i="27"/>
  <c r="AH35" i="27" s="1"/>
  <c r="AG30" i="27"/>
  <c r="AG35" i="27" s="1"/>
  <c r="AF30" i="27"/>
  <c r="AF35" i="27" s="1"/>
  <c r="AK35" i="27" s="1"/>
  <c r="AE30" i="27"/>
  <c r="AD30" i="27"/>
  <c r="AD35" i="27" s="1"/>
  <c r="AC30" i="27"/>
  <c r="AB30" i="27"/>
  <c r="AA30" i="27"/>
  <c r="Z30" i="27"/>
  <c r="Y30" i="27"/>
  <c r="T30" i="27"/>
  <c r="T35" i="27" s="1"/>
  <c r="W35" i="27" s="1"/>
  <c r="P30" i="27"/>
  <c r="O30" i="27"/>
  <c r="N30" i="27"/>
  <c r="I30" i="27"/>
  <c r="I35" i="27" s="1"/>
  <c r="L35" i="27" s="1"/>
  <c r="E30" i="27"/>
  <c r="D30" i="27"/>
  <c r="C30" i="27"/>
  <c r="AO29" i="27"/>
  <c r="AN29" i="27"/>
  <c r="AH29" i="27"/>
  <c r="AH57" i="27" s="1"/>
  <c r="AG29" i="27"/>
  <c r="AG71" i="27" s="1"/>
  <c r="AF29" i="27"/>
  <c r="AF71" i="27" s="1"/>
  <c r="AE29" i="27"/>
  <c r="AE71" i="27" s="1"/>
  <c r="AD29" i="27"/>
  <c r="AD57" i="27" s="1"/>
  <c r="AC29" i="27"/>
  <c r="AB29" i="27"/>
  <c r="AA29" i="27"/>
  <c r="Z29" i="27"/>
  <c r="Y29" i="27"/>
  <c r="T29" i="27"/>
  <c r="T71" i="27" s="1"/>
  <c r="P29" i="27"/>
  <c r="Q29" i="27" s="1"/>
  <c r="O29" i="27"/>
  <c r="N29" i="27"/>
  <c r="I29" i="27"/>
  <c r="I57" i="27" s="1"/>
  <c r="E29" i="27"/>
  <c r="D29" i="27"/>
  <c r="C29" i="27"/>
  <c r="AO28" i="27"/>
  <c r="AN28" i="27"/>
  <c r="AN43" i="27" s="1"/>
  <c r="AP43" i="27" s="1"/>
  <c r="AH28" i="27"/>
  <c r="AH43" i="27" s="1"/>
  <c r="AM43" i="27" s="1"/>
  <c r="AG28" i="27"/>
  <c r="AG43" i="27" s="1"/>
  <c r="AF28" i="27"/>
  <c r="AF43" i="27" s="1"/>
  <c r="AE28" i="27"/>
  <c r="AE43" i="27" s="1"/>
  <c r="AJ43" i="27" s="1"/>
  <c r="AD28" i="27"/>
  <c r="AD43" i="27" s="1"/>
  <c r="AI43" i="27" s="1"/>
  <c r="AC28" i="27"/>
  <c r="AB28" i="27"/>
  <c r="AA28" i="27"/>
  <c r="Z28" i="27"/>
  <c r="Y28" i="27"/>
  <c r="T28" i="27"/>
  <c r="T43" i="27" s="1"/>
  <c r="P28" i="27"/>
  <c r="Q28" i="27" s="1"/>
  <c r="O28" i="27"/>
  <c r="N28" i="27"/>
  <c r="I28" i="27"/>
  <c r="I43" i="27" s="1"/>
  <c r="L43" i="27" s="1"/>
  <c r="E28" i="27"/>
  <c r="E43" i="27" s="1"/>
  <c r="D28" i="27"/>
  <c r="C28" i="27"/>
  <c r="AO27" i="27"/>
  <c r="AN27" i="27"/>
  <c r="AH27" i="27"/>
  <c r="AH76" i="27" s="1"/>
  <c r="AG27" i="27"/>
  <c r="AG62" i="27" s="1"/>
  <c r="AF27" i="27"/>
  <c r="AF76" i="27" s="1"/>
  <c r="AE27" i="27"/>
  <c r="AD27" i="27"/>
  <c r="AD76" i="27" s="1"/>
  <c r="AC27" i="27"/>
  <c r="AB27" i="27"/>
  <c r="AA27" i="27"/>
  <c r="Z27" i="27"/>
  <c r="Y27" i="27"/>
  <c r="T27" i="27"/>
  <c r="T62" i="27" s="1"/>
  <c r="P27" i="27"/>
  <c r="Q27" i="27" s="1"/>
  <c r="O27" i="27"/>
  <c r="N27" i="27"/>
  <c r="I27" i="27"/>
  <c r="I76" i="27" s="1"/>
  <c r="E27" i="27"/>
  <c r="F27" i="27" s="1"/>
  <c r="D27" i="27"/>
  <c r="C27" i="27"/>
  <c r="AO26" i="27"/>
  <c r="AN26" i="27"/>
  <c r="AN36" i="27" s="1"/>
  <c r="AH26" i="27"/>
  <c r="AG26" i="27"/>
  <c r="AG36" i="27" s="1"/>
  <c r="AF26" i="27"/>
  <c r="AF36" i="27" s="1"/>
  <c r="AE26" i="27"/>
  <c r="AE36" i="27" s="1"/>
  <c r="AD26" i="27"/>
  <c r="AC26" i="27"/>
  <c r="AB26" i="27"/>
  <c r="AA26" i="27"/>
  <c r="Z26" i="27"/>
  <c r="Y26" i="27"/>
  <c r="T26" i="27"/>
  <c r="T36" i="27" s="1"/>
  <c r="P26" i="27"/>
  <c r="P36" i="27" s="1"/>
  <c r="O26" i="27"/>
  <c r="N26" i="27"/>
  <c r="I26" i="27"/>
  <c r="E26" i="27"/>
  <c r="D26" i="27"/>
  <c r="C26" i="27"/>
  <c r="AO25" i="27"/>
  <c r="AN25" i="27"/>
  <c r="AH25" i="27"/>
  <c r="AH64" i="27" s="1"/>
  <c r="AG25" i="27"/>
  <c r="AG50" i="27" s="1"/>
  <c r="AF25" i="27"/>
  <c r="AF64" i="27" s="1"/>
  <c r="AE25" i="27"/>
  <c r="AD25" i="27"/>
  <c r="AD64" i="27" s="1"/>
  <c r="AC25" i="27"/>
  <c r="AB25" i="27"/>
  <c r="AA25" i="27"/>
  <c r="Z25" i="27"/>
  <c r="Y25" i="27"/>
  <c r="T25" i="27"/>
  <c r="T50" i="27" s="1"/>
  <c r="P25" i="27"/>
  <c r="Q25" i="27" s="1"/>
  <c r="O25" i="27"/>
  <c r="N25" i="27"/>
  <c r="I25" i="27"/>
  <c r="I64" i="27" s="1"/>
  <c r="E25" i="27"/>
  <c r="D25" i="27"/>
  <c r="C25" i="27"/>
  <c r="AO24" i="27"/>
  <c r="AN24" i="27"/>
  <c r="AH24" i="27"/>
  <c r="AH69" i="27" s="1"/>
  <c r="AG24" i="27"/>
  <c r="AG69" i="27" s="1"/>
  <c r="AF24" i="27"/>
  <c r="AF55" i="27" s="1"/>
  <c r="AE24" i="27"/>
  <c r="AD24" i="27"/>
  <c r="AD69" i="27" s="1"/>
  <c r="AC24" i="27"/>
  <c r="AB24" i="27"/>
  <c r="AA24" i="27"/>
  <c r="Z24" i="27"/>
  <c r="Y24" i="27"/>
  <c r="T24" i="27"/>
  <c r="T69" i="27" s="1"/>
  <c r="P24" i="27"/>
  <c r="Q24" i="27" s="1"/>
  <c r="O24" i="27"/>
  <c r="N24" i="27"/>
  <c r="I24" i="27"/>
  <c r="I69" i="27" s="1"/>
  <c r="E24" i="27"/>
  <c r="D24" i="27"/>
  <c r="C24" i="27"/>
  <c r="AO23" i="27"/>
  <c r="AN23" i="27"/>
  <c r="AH23" i="27"/>
  <c r="AH49" i="27" s="1"/>
  <c r="AG23" i="27"/>
  <c r="AG49" i="27" s="1"/>
  <c r="AF23" i="27"/>
  <c r="AF49" i="27" s="1"/>
  <c r="AE23" i="27"/>
  <c r="AE49" i="27" s="1"/>
  <c r="AD23" i="27"/>
  <c r="AD49" i="27" s="1"/>
  <c r="AC23" i="27"/>
  <c r="AB23" i="27"/>
  <c r="AA23" i="27"/>
  <c r="AA49" i="27" s="1"/>
  <c r="Z23" i="27"/>
  <c r="Y23" i="27"/>
  <c r="T23" i="27"/>
  <c r="T49" i="27" s="1"/>
  <c r="P23" i="27"/>
  <c r="O23" i="27"/>
  <c r="N23" i="27"/>
  <c r="I23" i="27"/>
  <c r="I49" i="27" s="1"/>
  <c r="E23" i="27"/>
  <c r="E49" i="27" s="1"/>
  <c r="D23" i="27"/>
  <c r="C23" i="27"/>
  <c r="AO22" i="27"/>
  <c r="AN22" i="27"/>
  <c r="AH22" i="27"/>
  <c r="AH37" i="27" s="1"/>
  <c r="AG22" i="27"/>
  <c r="AF22" i="27"/>
  <c r="AF37" i="27" s="1"/>
  <c r="AK37" i="27" s="1"/>
  <c r="AE22" i="27"/>
  <c r="AE37" i="27" s="1"/>
  <c r="AD22" i="27"/>
  <c r="AD37" i="27" s="1"/>
  <c r="AC22" i="27"/>
  <c r="AB22" i="27"/>
  <c r="AA22" i="27"/>
  <c r="Z22" i="27"/>
  <c r="Y22" i="27"/>
  <c r="T22" i="27"/>
  <c r="P22" i="27"/>
  <c r="O22" i="27"/>
  <c r="N22" i="27"/>
  <c r="I22" i="27"/>
  <c r="I37" i="27" s="1"/>
  <c r="E22" i="27"/>
  <c r="E37" i="27" s="1"/>
  <c r="D22" i="27"/>
  <c r="C22" i="27"/>
  <c r="AO21" i="27"/>
  <c r="AN21" i="27"/>
  <c r="AH21" i="27"/>
  <c r="AH65" i="27" s="1"/>
  <c r="AG21" i="27"/>
  <c r="AG65" i="27" s="1"/>
  <c r="AF21" i="27"/>
  <c r="AF51" i="27" s="1"/>
  <c r="AE21" i="27"/>
  <c r="AD21" i="27"/>
  <c r="AD65" i="27" s="1"/>
  <c r="AC21" i="27"/>
  <c r="AB21" i="27"/>
  <c r="AA21" i="27"/>
  <c r="Z21" i="27"/>
  <c r="Y21" i="27"/>
  <c r="T21" i="27"/>
  <c r="T65" i="27" s="1"/>
  <c r="P21" i="27"/>
  <c r="O21" i="27"/>
  <c r="N21" i="27"/>
  <c r="I21" i="27"/>
  <c r="I65" i="27" s="1"/>
  <c r="E21" i="27"/>
  <c r="D21" i="27"/>
  <c r="C21" i="27"/>
  <c r="AO20" i="27"/>
  <c r="AN20" i="27"/>
  <c r="AP20" i="27" s="1"/>
  <c r="AH20" i="27"/>
  <c r="AH70" i="27" s="1"/>
  <c r="AG20" i="27"/>
  <c r="AG70" i="27" s="1"/>
  <c r="AF20" i="27"/>
  <c r="AF70" i="27" s="1"/>
  <c r="AE20" i="27"/>
  <c r="AE56" i="27" s="1"/>
  <c r="AD20" i="27"/>
  <c r="AD70" i="27" s="1"/>
  <c r="AC20" i="27"/>
  <c r="AB20" i="27"/>
  <c r="AA20" i="27"/>
  <c r="Z20" i="27"/>
  <c r="Y20" i="27"/>
  <c r="T20" i="27"/>
  <c r="T70" i="27" s="1"/>
  <c r="P20" i="27"/>
  <c r="O20" i="27"/>
  <c r="N20" i="27"/>
  <c r="I20" i="27"/>
  <c r="I70" i="27" s="1"/>
  <c r="E20" i="27"/>
  <c r="D20" i="27"/>
  <c r="C20" i="27"/>
  <c r="AO19" i="27"/>
  <c r="AN19" i="27"/>
  <c r="AH19" i="27"/>
  <c r="AH42" i="27" s="1"/>
  <c r="AG19" i="27"/>
  <c r="AG42" i="27" s="1"/>
  <c r="AF19" i="27"/>
  <c r="AE19" i="27"/>
  <c r="AE42" i="27" s="1"/>
  <c r="AD19" i="27"/>
  <c r="AD42" i="27" s="1"/>
  <c r="AC19" i="27"/>
  <c r="AB19" i="27"/>
  <c r="AA19" i="27"/>
  <c r="Z19" i="27"/>
  <c r="Y19" i="27"/>
  <c r="T19" i="27"/>
  <c r="T42" i="27" s="1"/>
  <c r="P19" i="27"/>
  <c r="P42" i="27" s="1"/>
  <c r="O19" i="27"/>
  <c r="N19" i="27"/>
  <c r="I19" i="27"/>
  <c r="I42" i="27" s="1"/>
  <c r="L42" i="27" s="1"/>
  <c r="E19" i="27"/>
  <c r="D19" i="27"/>
  <c r="C19" i="27"/>
  <c r="AO18" i="27"/>
  <c r="AN18" i="27"/>
  <c r="AH18" i="27"/>
  <c r="AH61" i="27" s="1"/>
  <c r="AG18" i="27"/>
  <c r="AG75" i="27" s="1"/>
  <c r="AF18" i="27"/>
  <c r="AF75" i="27" s="1"/>
  <c r="AE18" i="27"/>
  <c r="AE75" i="27" s="1"/>
  <c r="AD18" i="27"/>
  <c r="AD61" i="27" s="1"/>
  <c r="AC18" i="27"/>
  <c r="AB18" i="27"/>
  <c r="AA18" i="27"/>
  <c r="Z18" i="27"/>
  <c r="Y18" i="27"/>
  <c r="T18" i="27"/>
  <c r="T75" i="27" s="1"/>
  <c r="P18" i="27"/>
  <c r="O18" i="27"/>
  <c r="N18" i="27"/>
  <c r="I18" i="27"/>
  <c r="I61" i="27" s="1"/>
  <c r="E18" i="27"/>
  <c r="F18" i="27" s="1"/>
  <c r="D18" i="27"/>
  <c r="C18" i="27"/>
  <c r="AO17" i="27"/>
  <c r="AN17" i="27"/>
  <c r="AH17" i="27"/>
  <c r="AH66" i="27" s="1"/>
  <c r="AG17" i="27"/>
  <c r="AG66" i="27" s="1"/>
  <c r="AF17" i="27"/>
  <c r="AF66" i="27" s="1"/>
  <c r="AE17" i="27"/>
  <c r="AE52" i="27" s="1"/>
  <c r="AD17" i="27"/>
  <c r="AD66" i="27" s="1"/>
  <c r="AC17" i="27"/>
  <c r="AB17" i="27"/>
  <c r="AA17" i="27"/>
  <c r="Z17" i="27"/>
  <c r="Y17" i="27"/>
  <c r="T17" i="27"/>
  <c r="T66" i="27" s="1"/>
  <c r="P17" i="27"/>
  <c r="O17" i="27"/>
  <c r="N17" i="27"/>
  <c r="I17" i="27"/>
  <c r="I66" i="27" s="1"/>
  <c r="E17" i="27"/>
  <c r="D17" i="27"/>
  <c r="C17" i="27"/>
  <c r="AO16" i="27"/>
  <c r="AN16" i="27"/>
  <c r="AH16" i="27"/>
  <c r="AH72" i="27" s="1"/>
  <c r="AG16" i="27"/>
  <c r="AG58" i="27" s="1"/>
  <c r="AF16" i="27"/>
  <c r="AF72" i="27" s="1"/>
  <c r="AE16" i="27"/>
  <c r="AD16" i="27"/>
  <c r="AD72" i="27" s="1"/>
  <c r="AC16" i="27"/>
  <c r="AB16" i="27"/>
  <c r="AA16" i="27"/>
  <c r="Z16" i="27"/>
  <c r="Y16" i="27"/>
  <c r="T16" i="27"/>
  <c r="T58" i="27" s="1"/>
  <c r="P16" i="27"/>
  <c r="O16" i="27"/>
  <c r="N16" i="27"/>
  <c r="I16" i="27"/>
  <c r="I72" i="27" s="1"/>
  <c r="E16" i="27"/>
  <c r="F16" i="27" s="1"/>
  <c r="D16" i="27"/>
  <c r="C16" i="27"/>
  <c r="AO15" i="27"/>
  <c r="AN15" i="27"/>
  <c r="AN44" i="27" s="1"/>
  <c r="AH15" i="27"/>
  <c r="AG15" i="27"/>
  <c r="AG44" i="27" s="1"/>
  <c r="AF15" i="27"/>
  <c r="AF44" i="27" s="1"/>
  <c r="AK44" i="27" s="1"/>
  <c r="AE15" i="27"/>
  <c r="AE44" i="27" s="1"/>
  <c r="AJ44" i="27" s="1"/>
  <c r="AD15" i="27"/>
  <c r="AC15" i="27"/>
  <c r="AB15" i="27"/>
  <c r="AA15" i="27"/>
  <c r="AA44" i="27" s="1"/>
  <c r="Z15" i="27"/>
  <c r="Y15" i="27"/>
  <c r="T15" i="27"/>
  <c r="T44" i="27" s="1"/>
  <c r="W44" i="27" s="1"/>
  <c r="P15" i="27"/>
  <c r="O15" i="27"/>
  <c r="N15" i="27"/>
  <c r="I15" i="27"/>
  <c r="E15" i="27"/>
  <c r="F15" i="27" s="1"/>
  <c r="D15" i="27"/>
  <c r="C15" i="27"/>
  <c r="AO14" i="27"/>
  <c r="AN14" i="27"/>
  <c r="AH14" i="27"/>
  <c r="AH34" i="27" s="1"/>
  <c r="AG14" i="27"/>
  <c r="AG34" i="27" s="1"/>
  <c r="AF14" i="27"/>
  <c r="AE14" i="27"/>
  <c r="AE34" i="27" s="1"/>
  <c r="AD14" i="27"/>
  <c r="AD34" i="27" s="1"/>
  <c r="AC14" i="27"/>
  <c r="AB14" i="27"/>
  <c r="AA14" i="27"/>
  <c r="Z14" i="27"/>
  <c r="Y14" i="27"/>
  <c r="T14" i="27"/>
  <c r="T34" i="27" s="1"/>
  <c r="P14" i="27"/>
  <c r="O14" i="27"/>
  <c r="N14" i="27"/>
  <c r="I14" i="27"/>
  <c r="I34" i="27" s="1"/>
  <c r="L34" i="27" s="1"/>
  <c r="E14" i="27"/>
  <c r="D14" i="27"/>
  <c r="C14" i="27"/>
  <c r="AO13" i="27"/>
  <c r="AN13" i="27"/>
  <c r="AH13" i="27"/>
  <c r="AH33" i="27" s="1"/>
  <c r="AG13" i="27"/>
  <c r="AF13" i="27"/>
  <c r="AF33" i="27" s="1"/>
  <c r="AK33" i="27" s="1"/>
  <c r="AE13" i="27"/>
  <c r="AE33" i="27" s="1"/>
  <c r="AD13" i="27"/>
  <c r="AD33" i="27" s="1"/>
  <c r="AC13" i="27"/>
  <c r="AB13" i="27"/>
  <c r="AA13" i="27"/>
  <c r="Z13" i="27"/>
  <c r="Y13" i="27"/>
  <c r="T13" i="27"/>
  <c r="P13" i="27"/>
  <c r="O13" i="27"/>
  <c r="N13" i="27"/>
  <c r="I13" i="27"/>
  <c r="I33" i="27" s="1"/>
  <c r="E13" i="27"/>
  <c r="D13" i="27"/>
  <c r="C13" i="27"/>
  <c r="AO12" i="27"/>
  <c r="AN12" i="27"/>
  <c r="AH12" i="27"/>
  <c r="AH74" i="27" s="1"/>
  <c r="AG12" i="27"/>
  <c r="AG74" i="27" s="1"/>
  <c r="AF12" i="27"/>
  <c r="AF74" i="27" s="1"/>
  <c r="AE12" i="27"/>
  <c r="AE60" i="27" s="1"/>
  <c r="AD12" i="27"/>
  <c r="AD74" i="27" s="1"/>
  <c r="AC12" i="27"/>
  <c r="AB12" i="27"/>
  <c r="AA12" i="27"/>
  <c r="Z12" i="27"/>
  <c r="Y12" i="27"/>
  <c r="T12" i="27"/>
  <c r="T74" i="27" s="1"/>
  <c r="P12" i="27"/>
  <c r="O12" i="27"/>
  <c r="N12" i="27"/>
  <c r="I12" i="27"/>
  <c r="I74" i="27" s="1"/>
  <c r="E12" i="27"/>
  <c r="F12" i="27" s="1"/>
  <c r="D12" i="27"/>
  <c r="C12" i="27"/>
  <c r="AO11" i="27"/>
  <c r="AN11" i="27"/>
  <c r="AP11" i="27" s="1"/>
  <c r="AH11" i="27"/>
  <c r="AH39" i="27" s="1"/>
  <c r="AG11" i="27"/>
  <c r="AG39" i="27" s="1"/>
  <c r="AF11" i="27"/>
  <c r="AF39" i="27" s="1"/>
  <c r="AK39" i="27" s="1"/>
  <c r="AE11" i="27"/>
  <c r="AE39" i="27" s="1"/>
  <c r="AJ39" i="27" s="1"/>
  <c r="AD11" i="27"/>
  <c r="AD39" i="27" s="1"/>
  <c r="AC11" i="27"/>
  <c r="AB11" i="27"/>
  <c r="AA11" i="27"/>
  <c r="Z11" i="27"/>
  <c r="Y11" i="27"/>
  <c r="T11" i="27"/>
  <c r="T39" i="27" s="1"/>
  <c r="W39" i="27" s="1"/>
  <c r="P11" i="27"/>
  <c r="P39" i="27" s="1"/>
  <c r="O11" i="27"/>
  <c r="N11" i="27"/>
  <c r="I11" i="27"/>
  <c r="I39" i="27" s="1"/>
  <c r="E11" i="27"/>
  <c r="D11" i="27"/>
  <c r="C11" i="27"/>
  <c r="AO10" i="27"/>
  <c r="AN10" i="27"/>
  <c r="AN46" i="27" s="1"/>
  <c r="AH10" i="27"/>
  <c r="AH46" i="27" s="1"/>
  <c r="AG10" i="27"/>
  <c r="AF10" i="27"/>
  <c r="AF46" i="27" s="1"/>
  <c r="AE10" i="27"/>
  <c r="AE46" i="27" s="1"/>
  <c r="AD10" i="27"/>
  <c r="AD46" i="27" s="1"/>
  <c r="AC10" i="27"/>
  <c r="AB10" i="27"/>
  <c r="AA10" i="27"/>
  <c r="AA46" i="27" s="1"/>
  <c r="Z10" i="27"/>
  <c r="Y10" i="27"/>
  <c r="T10" i="27"/>
  <c r="P10" i="27"/>
  <c r="P46" i="27" s="1"/>
  <c r="O10" i="27"/>
  <c r="N10" i="27"/>
  <c r="I10" i="27"/>
  <c r="I46" i="27" s="1"/>
  <c r="E10" i="27"/>
  <c r="D10" i="27"/>
  <c r="C10" i="27"/>
  <c r="AO9" i="27"/>
  <c r="AN9" i="27"/>
  <c r="AH9" i="27"/>
  <c r="AH68" i="27" s="1"/>
  <c r="AG9" i="27"/>
  <c r="AG54" i="27" s="1"/>
  <c r="AF9" i="27"/>
  <c r="AF68" i="27" s="1"/>
  <c r="AE9" i="27"/>
  <c r="AD9" i="27"/>
  <c r="AD68" i="27" s="1"/>
  <c r="AC9" i="27"/>
  <c r="AB9" i="27"/>
  <c r="AA9" i="27"/>
  <c r="Z9" i="27"/>
  <c r="Y9" i="27"/>
  <c r="T9" i="27"/>
  <c r="T54" i="27" s="1"/>
  <c r="P9" i="27"/>
  <c r="O9" i="27"/>
  <c r="Q9" i="27" s="1"/>
  <c r="I9" i="27"/>
  <c r="I68" i="27" s="1"/>
  <c r="E9" i="27"/>
  <c r="D9" i="27"/>
  <c r="C9" i="27"/>
  <c r="AO8" i="27"/>
  <c r="AN8" i="27"/>
  <c r="AN41" i="27" s="1"/>
  <c r="AH8" i="27"/>
  <c r="AH41" i="27" s="1"/>
  <c r="AM41" i="27" s="1"/>
  <c r="AG8" i="27"/>
  <c r="AF8" i="27"/>
  <c r="AF41" i="27" s="1"/>
  <c r="AE8" i="27"/>
  <c r="AE41" i="27" s="1"/>
  <c r="AJ41" i="27" s="1"/>
  <c r="AD8" i="27"/>
  <c r="AD41" i="27" s="1"/>
  <c r="AI41" i="27" s="1"/>
  <c r="AC8" i="27"/>
  <c r="AB8" i="27"/>
  <c r="AA8" i="27"/>
  <c r="AA41" i="27" s="1"/>
  <c r="Z8" i="27"/>
  <c r="Z41" i="27" s="1"/>
  <c r="Y8" i="27"/>
  <c r="T8" i="27"/>
  <c r="P8" i="27"/>
  <c r="O8" i="27"/>
  <c r="N8" i="27"/>
  <c r="I8" i="27"/>
  <c r="I41" i="27" s="1"/>
  <c r="E8" i="27"/>
  <c r="E41" i="27" s="1"/>
  <c r="D8" i="27"/>
  <c r="C8" i="27"/>
  <c r="AO7" i="27"/>
  <c r="AN7" i="27"/>
  <c r="AH7" i="27"/>
  <c r="AG7" i="27"/>
  <c r="AG73" i="27" s="1"/>
  <c r="AF7" i="27"/>
  <c r="AF59" i="27" s="1"/>
  <c r="AE7" i="27"/>
  <c r="AD7" i="27"/>
  <c r="AC7" i="27"/>
  <c r="AB7" i="27"/>
  <c r="AA7" i="27"/>
  <c r="Z7" i="27"/>
  <c r="Y7" i="27"/>
  <c r="T7" i="27"/>
  <c r="T73" i="27" s="1"/>
  <c r="P7" i="27"/>
  <c r="O7" i="27"/>
  <c r="Q7" i="27" s="1"/>
  <c r="N7" i="27"/>
  <c r="I7" i="27"/>
  <c r="I73" i="27" s="1"/>
  <c r="E7" i="27"/>
  <c r="F7" i="27" s="1"/>
  <c r="D7" i="27"/>
  <c r="C7" i="27"/>
  <c r="AO6" i="27"/>
  <c r="AN6" i="27"/>
  <c r="AN47" i="27" s="1"/>
  <c r="AP47" i="27" s="1"/>
  <c r="AH6" i="27"/>
  <c r="AH47" i="27" s="1"/>
  <c r="AM47" i="27" s="1"/>
  <c r="AG6" i="27"/>
  <c r="AG47" i="27" s="1"/>
  <c r="AF6" i="27"/>
  <c r="AE6" i="27"/>
  <c r="AE47" i="27" s="1"/>
  <c r="AJ47" i="27" s="1"/>
  <c r="AD6" i="27"/>
  <c r="AD47" i="27" s="1"/>
  <c r="AI47" i="27" s="1"/>
  <c r="AC6" i="27"/>
  <c r="AB6" i="27"/>
  <c r="AA6" i="27"/>
  <c r="AA47" i="27" s="1"/>
  <c r="Z6" i="27"/>
  <c r="Z47" i="27" s="1"/>
  <c r="Y6" i="27"/>
  <c r="T6" i="27"/>
  <c r="T47" i="27" s="1"/>
  <c r="P6" i="27"/>
  <c r="O6" i="27"/>
  <c r="N6" i="27"/>
  <c r="I6" i="27"/>
  <c r="I47" i="27" s="1"/>
  <c r="L47" i="27" s="1"/>
  <c r="E6" i="27"/>
  <c r="E47" i="27" s="1"/>
  <c r="D6" i="27"/>
  <c r="D47" i="27" s="1"/>
  <c r="C6" i="27"/>
  <c r="AO5" i="27"/>
  <c r="AN5" i="27"/>
  <c r="AH5" i="27"/>
  <c r="AH53" i="27" s="1"/>
  <c r="AG5" i="27"/>
  <c r="AG67" i="27" s="1"/>
  <c r="AF5" i="27"/>
  <c r="AF67" i="27" s="1"/>
  <c r="AE5" i="27"/>
  <c r="AE67" i="27" s="1"/>
  <c r="AD5" i="27"/>
  <c r="AD53" i="27" s="1"/>
  <c r="AC5" i="27"/>
  <c r="AB5" i="27"/>
  <c r="AA5" i="27"/>
  <c r="Z5" i="27"/>
  <c r="Y5" i="27"/>
  <c r="T5" i="27"/>
  <c r="P5" i="27"/>
  <c r="O5" i="27"/>
  <c r="N5" i="27"/>
  <c r="I5" i="27"/>
  <c r="I53" i="27" s="1"/>
  <c r="E5" i="27"/>
  <c r="D5" i="27"/>
  <c r="C5" i="27"/>
  <c r="AO4" i="27"/>
  <c r="AO40" i="27" s="1"/>
  <c r="AN4" i="27"/>
  <c r="AP4" i="27" s="1"/>
  <c r="AH4" i="27"/>
  <c r="AH40" i="27" s="1"/>
  <c r="AM40" i="27" s="1"/>
  <c r="AG4" i="27"/>
  <c r="AG40" i="27" s="1"/>
  <c r="AF4" i="27"/>
  <c r="AF40" i="27" s="1"/>
  <c r="AK40" i="27" s="1"/>
  <c r="AE4" i="27"/>
  <c r="AE40" i="27" s="1"/>
  <c r="AD4" i="27"/>
  <c r="AC4" i="27"/>
  <c r="AB4" i="27"/>
  <c r="AB40" i="27" s="1"/>
  <c r="AA4" i="27"/>
  <c r="Z4" i="27"/>
  <c r="Y4" i="27"/>
  <c r="T4" i="27"/>
  <c r="T40" i="27" s="1"/>
  <c r="W40" i="27" s="1"/>
  <c r="P4" i="27"/>
  <c r="Q4" i="27" s="1"/>
  <c r="O4" i="27"/>
  <c r="N4" i="27"/>
  <c r="I4" i="27"/>
  <c r="I40" i="27" s="1"/>
  <c r="L40" i="27" s="1"/>
  <c r="E4" i="27"/>
  <c r="D4" i="27"/>
  <c r="C4" i="27"/>
  <c r="AO3" i="27"/>
  <c r="AO32" i="27" s="1"/>
  <c r="AN3" i="27"/>
  <c r="AP3" i="27" s="1"/>
  <c r="AH3" i="27"/>
  <c r="AH32" i="27" s="1"/>
  <c r="AG3" i="27"/>
  <c r="AG32" i="27" s="1"/>
  <c r="AF3" i="27"/>
  <c r="AF32" i="27" s="1"/>
  <c r="AE3" i="27"/>
  <c r="AE32" i="27" s="1"/>
  <c r="AD3" i="27"/>
  <c r="AD32" i="27" s="1"/>
  <c r="AC3" i="27"/>
  <c r="AB3" i="27"/>
  <c r="AB32" i="27" s="1"/>
  <c r="AA3" i="27"/>
  <c r="AA32" i="27" s="1"/>
  <c r="Z3" i="27"/>
  <c r="Y3" i="27"/>
  <c r="T3" i="27"/>
  <c r="T32" i="27" s="1"/>
  <c r="P3" i="27"/>
  <c r="P32" i="27" s="1"/>
  <c r="O3" i="27"/>
  <c r="N3" i="27"/>
  <c r="I3" i="27"/>
  <c r="I32" i="27" s="1"/>
  <c r="E3" i="27"/>
  <c r="E32" i="27" s="1"/>
  <c r="D3" i="27"/>
  <c r="D32" i="27" s="1"/>
  <c r="C3" i="27"/>
  <c r="AO2" i="27"/>
  <c r="AO38" i="27" s="1"/>
  <c r="AN2" i="27"/>
  <c r="AP2" i="27" s="1"/>
  <c r="AH2" i="27"/>
  <c r="AH38" i="27" s="1"/>
  <c r="AG2" i="27"/>
  <c r="AG38" i="27" s="1"/>
  <c r="AF2" i="27"/>
  <c r="AF38" i="27" s="1"/>
  <c r="AK38" i="27" s="1"/>
  <c r="AE2" i="27"/>
  <c r="AE38" i="27" s="1"/>
  <c r="AJ38" i="27" s="1"/>
  <c r="AD2" i="27"/>
  <c r="AD38" i="27" s="1"/>
  <c r="AC2" i="27"/>
  <c r="AB2" i="27"/>
  <c r="AB38" i="27" s="1"/>
  <c r="AA2" i="27"/>
  <c r="AA38" i="27" s="1"/>
  <c r="Z2" i="27"/>
  <c r="Y2" i="27"/>
  <c r="T2" i="27"/>
  <c r="T38" i="27" s="1"/>
  <c r="W38" i="27" s="1"/>
  <c r="P2" i="27"/>
  <c r="P38" i="27" s="1"/>
  <c r="O2" i="27"/>
  <c r="O38" i="27" s="1"/>
  <c r="N2" i="27"/>
  <c r="I2" i="27"/>
  <c r="I38" i="27" s="1"/>
  <c r="E2" i="27"/>
  <c r="E38" i="27" s="1"/>
  <c r="D2" i="27"/>
  <c r="C2" i="27"/>
  <c r="AD30" i="28"/>
  <c r="AC30" i="28"/>
  <c r="AB30" i="28"/>
  <c r="AA30" i="28"/>
  <c r="Z30" i="28"/>
  <c r="AD29" i="28"/>
  <c r="AC29" i="28"/>
  <c r="AB29" i="28"/>
  <c r="AA29" i="28"/>
  <c r="Z29" i="28"/>
  <c r="AD28" i="28"/>
  <c r="AC28" i="28"/>
  <c r="AB28" i="28"/>
  <c r="AA28" i="28"/>
  <c r="Z28" i="28"/>
  <c r="AD27" i="28"/>
  <c r="AC27" i="28"/>
  <c r="AB27" i="28"/>
  <c r="AA27" i="28"/>
  <c r="Z27" i="28"/>
  <c r="AD26" i="28"/>
  <c r="AC26" i="28"/>
  <c r="AB26" i="28"/>
  <c r="AA26" i="28"/>
  <c r="Z26" i="28"/>
  <c r="AD25" i="28"/>
  <c r="AC25" i="28"/>
  <c r="AB25" i="28"/>
  <c r="AA25" i="28"/>
  <c r="Z25" i="28"/>
  <c r="AD24" i="28"/>
  <c r="AC24" i="28"/>
  <c r="AB24" i="28"/>
  <c r="AA24" i="28"/>
  <c r="Z24" i="28"/>
  <c r="AD23" i="28"/>
  <c r="AC23" i="28"/>
  <c r="AB23" i="28"/>
  <c r="AA23" i="28"/>
  <c r="Z23" i="28"/>
  <c r="AD22" i="28"/>
  <c r="AC22" i="28"/>
  <c r="AB22" i="28"/>
  <c r="AA22" i="28"/>
  <c r="Z22" i="28"/>
  <c r="AD21" i="28"/>
  <c r="AC21" i="28"/>
  <c r="AB21" i="28"/>
  <c r="AA21" i="28"/>
  <c r="Z21" i="28"/>
  <c r="AD20" i="28"/>
  <c r="AC20" i="28"/>
  <c r="AB20" i="28"/>
  <c r="AA20" i="28"/>
  <c r="Z20" i="28"/>
  <c r="AD19" i="28"/>
  <c r="AC19" i="28"/>
  <c r="AB19" i="28"/>
  <c r="AA19" i="28"/>
  <c r="Z19" i="28"/>
  <c r="AD18" i="28"/>
  <c r="AC18" i="28"/>
  <c r="AB18" i="28"/>
  <c r="AA18" i="28"/>
  <c r="Z18" i="28"/>
  <c r="AD17" i="28"/>
  <c r="AC17" i="28"/>
  <c r="AB17" i="28"/>
  <c r="AA17" i="28"/>
  <c r="Z17" i="28"/>
  <c r="AD16" i="28"/>
  <c r="AC16" i="28"/>
  <c r="AB16" i="28"/>
  <c r="AA16" i="28"/>
  <c r="Z16" i="28"/>
  <c r="AD15" i="28"/>
  <c r="AC15" i="28"/>
  <c r="AB15" i="28"/>
  <c r="AA15" i="28"/>
  <c r="Z15" i="28"/>
  <c r="AD14" i="28"/>
  <c r="AC14" i="28"/>
  <c r="AB14" i="28"/>
  <c r="AA14" i="28"/>
  <c r="Z14" i="28"/>
  <c r="AD13" i="28"/>
  <c r="AC13" i="28"/>
  <c r="AB13" i="28"/>
  <c r="AA13" i="28"/>
  <c r="Z13" i="28"/>
  <c r="AD12" i="28"/>
  <c r="AC12" i="28"/>
  <c r="AB12" i="28"/>
  <c r="AA12" i="28"/>
  <c r="Z12" i="28"/>
  <c r="AD11" i="28"/>
  <c r="AC11" i="28"/>
  <c r="AB11" i="28"/>
  <c r="AA11" i="28"/>
  <c r="Z11" i="28"/>
  <c r="AD10" i="28"/>
  <c r="AC10" i="28"/>
  <c r="AB10" i="28"/>
  <c r="AA10" i="28"/>
  <c r="Z10" i="28"/>
  <c r="AD9" i="28"/>
  <c r="AC9" i="28"/>
  <c r="AB9" i="28"/>
  <c r="AA9" i="28"/>
  <c r="Z9" i="28"/>
  <c r="AD8" i="28"/>
  <c r="AC8" i="28"/>
  <c r="AB8" i="28"/>
  <c r="AA8" i="28"/>
  <c r="Z8" i="28"/>
  <c r="AD7" i="28"/>
  <c r="AC7" i="28"/>
  <c r="AB7" i="28"/>
  <c r="AA7" i="28"/>
  <c r="Z7" i="28"/>
  <c r="AD6" i="28"/>
  <c r="AC6" i="28"/>
  <c r="AB6" i="28"/>
  <c r="AA6" i="28"/>
  <c r="Z6" i="28"/>
  <c r="AD5" i="28"/>
  <c r="AC5" i="28"/>
  <c r="AB5" i="28"/>
  <c r="AA5" i="28"/>
  <c r="Z5" i="28"/>
  <c r="AD4" i="28"/>
  <c r="AC4" i="28"/>
  <c r="AB4" i="28"/>
  <c r="AA4" i="28"/>
  <c r="Z4" i="28"/>
  <c r="AD3" i="28"/>
  <c r="AC3" i="28"/>
  <c r="AB3" i="28"/>
  <c r="AA3" i="28"/>
  <c r="Z3" i="28"/>
  <c r="AD2" i="28"/>
  <c r="AC2" i="28"/>
  <c r="AB2" i="28"/>
  <c r="AA2" i="28"/>
  <c r="Z2" i="28"/>
  <c r="AR30" i="27"/>
  <c r="AT35" i="27" s="1"/>
  <c r="AQ30" i="27"/>
  <c r="AO35" i="27"/>
  <c r="AP30" i="27"/>
  <c r="AM35" i="27"/>
  <c r="AL35" i="27"/>
  <c r="AJ35" i="27"/>
  <c r="AI35" i="27"/>
  <c r="AC35" i="27"/>
  <c r="AB35" i="27"/>
  <c r="AA35" i="27"/>
  <c r="Z35" i="27"/>
  <c r="Y35" i="27"/>
  <c r="S30" i="27"/>
  <c r="V35" i="27" s="1"/>
  <c r="R30" i="27"/>
  <c r="P35" i="27"/>
  <c r="O35" i="27"/>
  <c r="Q30" i="27"/>
  <c r="H30" i="27"/>
  <c r="K35" i="27" s="1"/>
  <c r="G30" i="27"/>
  <c r="E35" i="27"/>
  <c r="D35" i="27"/>
  <c r="C35" i="27"/>
  <c r="AR29" i="27"/>
  <c r="AQ29" i="27"/>
  <c r="S29" i="27"/>
  <c r="R29" i="27"/>
  <c r="H29" i="27"/>
  <c r="G29" i="27"/>
  <c r="AR28" i="27"/>
  <c r="AT43" i="27" s="1"/>
  <c r="AQ28" i="27"/>
  <c r="AP28" i="27"/>
  <c r="AO43" i="27"/>
  <c r="AL43" i="27"/>
  <c r="AK43" i="27"/>
  <c r="AC43" i="27"/>
  <c r="AB43" i="27"/>
  <c r="AA43" i="27"/>
  <c r="Z43" i="27"/>
  <c r="Y43" i="27"/>
  <c r="W43" i="27"/>
  <c r="S28" i="27"/>
  <c r="V43" i="27" s="1"/>
  <c r="R28" i="27"/>
  <c r="P43" i="27"/>
  <c r="O43" i="27"/>
  <c r="N43" i="27"/>
  <c r="H28" i="27"/>
  <c r="K43" i="27" s="1"/>
  <c r="G28" i="27"/>
  <c r="D43" i="27"/>
  <c r="C43" i="27"/>
  <c r="AR27" i="27"/>
  <c r="AQ27" i="27"/>
  <c r="AP27" i="27"/>
  <c r="S27" i="27"/>
  <c r="R27" i="27"/>
  <c r="H27" i="27"/>
  <c r="G27" i="27"/>
  <c r="AR26" i="27"/>
  <c r="AT36" i="27" s="1"/>
  <c r="AQ26" i="27"/>
  <c r="AO36" i="27"/>
  <c r="AL36" i="27"/>
  <c r="AK36" i="27"/>
  <c r="AJ36" i="27"/>
  <c r="AC36" i="27"/>
  <c r="AB36" i="27"/>
  <c r="AA36" i="27"/>
  <c r="Z36" i="27"/>
  <c r="Y36" i="27"/>
  <c r="W36" i="27"/>
  <c r="S26" i="27"/>
  <c r="V36" i="27" s="1"/>
  <c r="R26" i="27"/>
  <c r="Q26" i="27"/>
  <c r="N36" i="27"/>
  <c r="H26" i="27"/>
  <c r="K36" i="27" s="1"/>
  <c r="G26" i="27"/>
  <c r="E36" i="27"/>
  <c r="D36" i="27"/>
  <c r="C36" i="27"/>
  <c r="AR25" i="27"/>
  <c r="AQ25" i="27"/>
  <c r="S25" i="27"/>
  <c r="R25" i="27"/>
  <c r="H25" i="27"/>
  <c r="G25" i="27"/>
  <c r="AR24" i="27"/>
  <c r="AQ24" i="27"/>
  <c r="AP24" i="27"/>
  <c r="S24" i="27"/>
  <c r="R24" i="27"/>
  <c r="H24" i="27"/>
  <c r="G24" i="27"/>
  <c r="F24" i="27"/>
  <c r="AR23" i="27"/>
  <c r="AQ23" i="27"/>
  <c r="AO49" i="27"/>
  <c r="AN49" i="27"/>
  <c r="AC49" i="27"/>
  <c r="AB49" i="27"/>
  <c r="Z49" i="27"/>
  <c r="Y49" i="27"/>
  <c r="S23" i="27"/>
  <c r="R23" i="27"/>
  <c r="P49" i="27"/>
  <c r="O49" i="27"/>
  <c r="N49" i="27"/>
  <c r="H23" i="27"/>
  <c r="G23" i="27"/>
  <c r="F23" i="27"/>
  <c r="D49" i="27"/>
  <c r="C49" i="27"/>
  <c r="AR22" i="27"/>
  <c r="AT37" i="27" s="1"/>
  <c r="AQ22" i="27"/>
  <c r="AO37" i="27"/>
  <c r="AP22" i="27"/>
  <c r="AM37" i="27"/>
  <c r="AL37" i="27"/>
  <c r="AJ37" i="27"/>
  <c r="AI37" i="27"/>
  <c r="AC37" i="27"/>
  <c r="AB37" i="27"/>
  <c r="AA37" i="27"/>
  <c r="Z37" i="27"/>
  <c r="Y37" i="27"/>
  <c r="S22" i="27"/>
  <c r="V37" i="27" s="1"/>
  <c r="R22" i="27"/>
  <c r="P37" i="27"/>
  <c r="O37" i="27"/>
  <c r="N37" i="27"/>
  <c r="L37" i="27"/>
  <c r="H22" i="27"/>
  <c r="K37" i="27" s="1"/>
  <c r="G22" i="27"/>
  <c r="D37" i="27"/>
  <c r="C37" i="27"/>
  <c r="AR21" i="27"/>
  <c r="AQ21" i="27"/>
  <c r="S21" i="27"/>
  <c r="R21" i="27"/>
  <c r="Q21" i="27"/>
  <c r="H21" i="27"/>
  <c r="G21" i="27"/>
  <c r="AR20" i="27"/>
  <c r="AQ20" i="27"/>
  <c r="S20" i="27"/>
  <c r="R20" i="27"/>
  <c r="Q20" i="27"/>
  <c r="H20" i="27"/>
  <c r="G20" i="27"/>
  <c r="F20" i="27"/>
  <c r="AR19" i="27"/>
  <c r="AT42" i="27" s="1"/>
  <c r="AQ19" i="27"/>
  <c r="AO42" i="27"/>
  <c r="AN42" i="27"/>
  <c r="AM42" i="27"/>
  <c r="AL42" i="27"/>
  <c r="AK42" i="27"/>
  <c r="AJ42" i="27"/>
  <c r="AI42" i="27"/>
  <c r="AC42" i="27"/>
  <c r="AB42" i="27"/>
  <c r="AA42" i="27"/>
  <c r="Z42" i="27"/>
  <c r="Y42" i="27"/>
  <c r="W42" i="27"/>
  <c r="S19" i="27"/>
  <c r="V42" i="27" s="1"/>
  <c r="R19" i="27"/>
  <c r="O42" i="27"/>
  <c r="N42" i="27"/>
  <c r="H19" i="27"/>
  <c r="K42" i="27" s="1"/>
  <c r="G19" i="27"/>
  <c r="F19" i="27"/>
  <c r="E42" i="27"/>
  <c r="D42" i="27"/>
  <c r="C42" i="27"/>
  <c r="AR18" i="27"/>
  <c r="AQ18" i="27"/>
  <c r="S18" i="27"/>
  <c r="R18" i="27"/>
  <c r="H18" i="27"/>
  <c r="G18" i="27"/>
  <c r="AR17" i="27"/>
  <c r="AQ17" i="27"/>
  <c r="S17" i="27"/>
  <c r="R17" i="27"/>
  <c r="Q17" i="27"/>
  <c r="H17" i="27"/>
  <c r="G17" i="27"/>
  <c r="AR16" i="27"/>
  <c r="AQ16" i="27"/>
  <c r="AP16" i="27"/>
  <c r="S16" i="27"/>
  <c r="R16" i="27"/>
  <c r="Q16" i="27"/>
  <c r="H16" i="27"/>
  <c r="G16" i="27"/>
  <c r="AR15" i="27"/>
  <c r="AT44" i="27" s="1"/>
  <c r="AQ15" i="27"/>
  <c r="AO44" i="27"/>
  <c r="AM44" i="27"/>
  <c r="AL44" i="27"/>
  <c r="AI44" i="27"/>
  <c r="AC44" i="27"/>
  <c r="AB44" i="27"/>
  <c r="Z44" i="27"/>
  <c r="Y44" i="27"/>
  <c r="S15" i="27"/>
  <c r="V44" i="27" s="1"/>
  <c r="R15" i="27"/>
  <c r="P44" i="27"/>
  <c r="O44" i="27"/>
  <c r="N44" i="27"/>
  <c r="L44" i="27"/>
  <c r="H15" i="27"/>
  <c r="K44" i="27" s="1"/>
  <c r="G15" i="27"/>
  <c r="E44" i="27"/>
  <c r="D44" i="27"/>
  <c r="C44" i="27"/>
  <c r="AR14" i="27"/>
  <c r="AQ14" i="27"/>
  <c r="AO34" i="27"/>
  <c r="AP14" i="27"/>
  <c r="AM34" i="27"/>
  <c r="AL34" i="27"/>
  <c r="AK34" i="27"/>
  <c r="AJ34" i="27"/>
  <c r="AI34" i="27"/>
  <c r="AC34" i="27"/>
  <c r="AB34" i="27"/>
  <c r="AA34" i="27"/>
  <c r="Z34" i="27"/>
  <c r="Y34" i="27"/>
  <c r="W34" i="27"/>
  <c r="S14" i="27"/>
  <c r="V34" i="27" s="1"/>
  <c r="R14" i="27"/>
  <c r="P34" i="27"/>
  <c r="O34" i="27"/>
  <c r="N34" i="27"/>
  <c r="H14" i="27"/>
  <c r="K34" i="27" s="1"/>
  <c r="G14" i="27"/>
  <c r="E34" i="27"/>
  <c r="D34" i="27"/>
  <c r="C34" i="27"/>
  <c r="AR13" i="27"/>
  <c r="AT33" i="27" s="1"/>
  <c r="AQ13" i="27"/>
  <c r="AO33" i="27"/>
  <c r="AP13" i="27"/>
  <c r="AM33" i="27"/>
  <c r="AL33" i="27"/>
  <c r="AJ33" i="27"/>
  <c r="AI33" i="27"/>
  <c r="AC33" i="27"/>
  <c r="AB33" i="27"/>
  <c r="AA33" i="27"/>
  <c r="Z33" i="27"/>
  <c r="Y33" i="27"/>
  <c r="W33" i="27"/>
  <c r="S13" i="27"/>
  <c r="V33" i="27" s="1"/>
  <c r="R13" i="27"/>
  <c r="P33" i="27"/>
  <c r="O33" i="27"/>
  <c r="N33" i="27"/>
  <c r="L33" i="27"/>
  <c r="H13" i="27"/>
  <c r="K33" i="27" s="1"/>
  <c r="G13" i="27"/>
  <c r="E33" i="27"/>
  <c r="D33" i="27"/>
  <c r="C33" i="27"/>
  <c r="AR12" i="27"/>
  <c r="AQ12" i="27"/>
  <c r="AP12" i="27"/>
  <c r="S12" i="27"/>
  <c r="R12" i="27"/>
  <c r="Q12" i="27"/>
  <c r="H12" i="27"/>
  <c r="G12" i="27"/>
  <c r="AR11" i="27"/>
  <c r="AT39" i="27" s="1"/>
  <c r="AQ11" i="27"/>
  <c r="AO39" i="27"/>
  <c r="AN39" i="27"/>
  <c r="AM39" i="27"/>
  <c r="AL39" i="27"/>
  <c r="AI39" i="27"/>
  <c r="AC39" i="27"/>
  <c r="AB39" i="27"/>
  <c r="AA39" i="27"/>
  <c r="Z39" i="27"/>
  <c r="Y39" i="27"/>
  <c r="S11" i="27"/>
  <c r="V39" i="27" s="1"/>
  <c r="R11" i="27"/>
  <c r="O39" i="27"/>
  <c r="N39" i="27"/>
  <c r="L39" i="27"/>
  <c r="H11" i="27"/>
  <c r="K39" i="27" s="1"/>
  <c r="G11" i="27"/>
  <c r="F11" i="27"/>
  <c r="E39" i="27"/>
  <c r="D39" i="27"/>
  <c r="C39" i="27"/>
  <c r="AR10" i="27"/>
  <c r="AQ10" i="27"/>
  <c r="AO46" i="27"/>
  <c r="AC46" i="27"/>
  <c r="AB46" i="27"/>
  <c r="Z46" i="27"/>
  <c r="Y46" i="27"/>
  <c r="S10" i="27"/>
  <c r="R10" i="27"/>
  <c r="O46" i="27"/>
  <c r="N46" i="27"/>
  <c r="H10" i="27"/>
  <c r="G10" i="27"/>
  <c r="E46" i="27"/>
  <c r="D46" i="27"/>
  <c r="C46" i="27"/>
  <c r="AR9" i="27"/>
  <c r="AQ9" i="27"/>
  <c r="S9" i="27"/>
  <c r="R9" i="27"/>
  <c r="H9" i="27"/>
  <c r="G9" i="27"/>
  <c r="AR8" i="27"/>
  <c r="AT41" i="27" s="1"/>
  <c r="AQ8" i="27"/>
  <c r="AP8" i="27"/>
  <c r="AO41" i="27"/>
  <c r="AL41" i="27"/>
  <c r="AK41" i="27"/>
  <c r="AC41" i="27"/>
  <c r="AB41" i="27"/>
  <c r="Y41" i="27"/>
  <c r="W41" i="27"/>
  <c r="S8" i="27"/>
  <c r="V41" i="27" s="1"/>
  <c r="R8" i="27"/>
  <c r="Q8" i="27"/>
  <c r="P41" i="27"/>
  <c r="O41" i="27"/>
  <c r="N41" i="27"/>
  <c r="L41" i="27"/>
  <c r="H8" i="27"/>
  <c r="K41" i="27" s="1"/>
  <c r="G8" i="27"/>
  <c r="D41" i="27"/>
  <c r="C41" i="27"/>
  <c r="AR7" i="27"/>
  <c r="AQ7" i="27"/>
  <c r="AP7" i="27"/>
  <c r="S7" i="27"/>
  <c r="R7" i="27"/>
  <c r="H7" i="27"/>
  <c r="G7" i="27"/>
  <c r="AR6" i="27"/>
  <c r="AT47" i="27" s="1"/>
  <c r="AQ6" i="27"/>
  <c r="AO47" i="27"/>
  <c r="AL47" i="27"/>
  <c r="AK47" i="27"/>
  <c r="AC47" i="27"/>
  <c r="AB47" i="27"/>
  <c r="Y47" i="27"/>
  <c r="W47" i="27"/>
  <c r="S6" i="27"/>
  <c r="V47" i="27" s="1"/>
  <c r="R6" i="27"/>
  <c r="P47" i="27"/>
  <c r="O47" i="27"/>
  <c r="N47" i="27"/>
  <c r="H6" i="27"/>
  <c r="K47" i="27" s="1"/>
  <c r="G6" i="27"/>
  <c r="C47" i="27"/>
  <c r="AR5" i="27"/>
  <c r="AQ5" i="27"/>
  <c r="S5" i="27"/>
  <c r="R5" i="27"/>
  <c r="Q5" i="27"/>
  <c r="H5" i="27"/>
  <c r="G5" i="27"/>
  <c r="AR4" i="27"/>
  <c r="AT40" i="27" s="1"/>
  <c r="AQ4" i="27"/>
  <c r="AN40" i="27"/>
  <c r="AL40" i="27"/>
  <c r="AJ40" i="27"/>
  <c r="AI40" i="27"/>
  <c r="AC40" i="27"/>
  <c r="AA40" i="27"/>
  <c r="Z40" i="27"/>
  <c r="Y40" i="27"/>
  <c r="S4" i="27"/>
  <c r="V40" i="27" s="1"/>
  <c r="R4" i="27"/>
  <c r="O40" i="27"/>
  <c r="N40" i="27"/>
  <c r="H4" i="27"/>
  <c r="K40" i="27" s="1"/>
  <c r="G4" i="27"/>
  <c r="E40" i="27"/>
  <c r="D40" i="27"/>
  <c r="C40" i="27"/>
  <c r="AR3" i="27"/>
  <c r="AQ3" i="27"/>
  <c r="AC32" i="27"/>
  <c r="Z32" i="27"/>
  <c r="Y32" i="27"/>
  <c r="S3" i="27"/>
  <c r="R3" i="27"/>
  <c r="O32" i="27"/>
  <c r="N32" i="27"/>
  <c r="H3" i="27"/>
  <c r="G3" i="27"/>
  <c r="F3" i="27"/>
  <c r="C32" i="27"/>
  <c r="AR2" i="27"/>
  <c r="AT38" i="27" s="1"/>
  <c r="AQ2" i="27"/>
  <c r="AM38" i="27"/>
  <c r="AL38" i="27"/>
  <c r="AI38" i="27"/>
  <c r="AC38" i="27"/>
  <c r="Z38" i="27"/>
  <c r="Y38" i="27"/>
  <c r="S2" i="27"/>
  <c r="V38" i="27" s="1"/>
  <c r="R2" i="27"/>
  <c r="N38" i="27"/>
  <c r="L38" i="27"/>
  <c r="H2" i="27"/>
  <c r="K38" i="27" s="1"/>
  <c r="G2" i="27"/>
  <c r="D38" i="27"/>
  <c r="C38" i="27"/>
  <c r="AC2" i="14"/>
  <c r="Y3" i="14"/>
  <c r="Y4" i="14"/>
  <c r="Y5" i="14"/>
  <c r="Y6" i="14"/>
  <c r="Y47" i="14" s="1"/>
  <c r="Y7" i="14"/>
  <c r="Y8" i="14"/>
  <c r="Y9" i="14"/>
  <c r="Y10" i="14"/>
  <c r="Y46" i="14" s="1"/>
  <c r="Y11" i="14"/>
  <c r="Y12" i="14"/>
  <c r="Y13" i="14"/>
  <c r="Y14" i="14"/>
  <c r="Y34" i="14" s="1"/>
  <c r="Y15" i="14"/>
  <c r="Y16" i="14"/>
  <c r="Y17" i="14"/>
  <c r="Y18" i="14"/>
  <c r="Y19" i="14"/>
  <c r="Y20" i="14"/>
  <c r="Y21" i="14"/>
  <c r="Y22" i="14"/>
  <c r="Y37" i="14" s="1"/>
  <c r="Y23" i="14"/>
  <c r="Y24" i="14"/>
  <c r="Y25" i="14"/>
  <c r="Y26" i="14"/>
  <c r="Y36" i="14" s="1"/>
  <c r="Y27" i="14"/>
  <c r="Y28" i="14"/>
  <c r="Y29" i="14"/>
  <c r="Y30" i="14"/>
  <c r="Y2" i="14"/>
  <c r="Z3" i="14"/>
  <c r="AA3" i="14"/>
  <c r="AB3" i="14"/>
  <c r="AC3" i="14"/>
  <c r="Z4" i="14"/>
  <c r="AA4" i="14"/>
  <c r="AB4" i="14"/>
  <c r="AC4" i="14"/>
  <c r="Z5" i="14"/>
  <c r="AA5" i="14"/>
  <c r="AB5" i="14"/>
  <c r="AC5" i="14"/>
  <c r="Z6" i="14"/>
  <c r="AA6" i="14"/>
  <c r="AB6" i="14"/>
  <c r="AC6" i="14"/>
  <c r="Z7" i="14"/>
  <c r="AA7" i="14"/>
  <c r="AB7" i="14"/>
  <c r="AC7" i="14"/>
  <c r="Z8" i="14"/>
  <c r="AA8" i="14"/>
  <c r="AB8" i="14"/>
  <c r="AC8" i="14"/>
  <c r="Z9" i="14"/>
  <c r="AA9" i="14"/>
  <c r="AB9" i="14"/>
  <c r="AC9" i="14"/>
  <c r="Z10" i="14"/>
  <c r="AA10" i="14"/>
  <c r="AB10" i="14"/>
  <c r="AC10" i="14"/>
  <c r="Z11" i="14"/>
  <c r="AA11" i="14"/>
  <c r="AB11" i="14"/>
  <c r="AC11" i="14"/>
  <c r="Z12" i="14"/>
  <c r="AA12" i="14"/>
  <c r="AB12" i="14"/>
  <c r="AC12" i="14"/>
  <c r="Z13" i="14"/>
  <c r="AA13" i="14"/>
  <c r="AB13" i="14"/>
  <c r="AC13" i="14"/>
  <c r="Z14" i="14"/>
  <c r="AA14" i="14"/>
  <c r="AB14" i="14"/>
  <c r="AC14" i="14"/>
  <c r="Z15" i="14"/>
  <c r="AA15" i="14"/>
  <c r="AB15" i="14"/>
  <c r="AC15" i="14"/>
  <c r="Z16" i="14"/>
  <c r="AA16" i="14"/>
  <c r="AB16" i="14"/>
  <c r="AC16" i="14"/>
  <c r="Z17" i="14"/>
  <c r="AA17" i="14"/>
  <c r="AB17" i="14"/>
  <c r="AC17" i="14"/>
  <c r="Z18" i="14"/>
  <c r="AA18" i="14"/>
  <c r="AB18" i="14"/>
  <c r="AC18" i="14"/>
  <c r="Z19" i="14"/>
  <c r="AA19" i="14"/>
  <c r="AB19" i="14"/>
  <c r="AC19" i="14"/>
  <c r="Z20" i="14"/>
  <c r="AA20" i="14"/>
  <c r="AB20" i="14"/>
  <c r="AC20" i="14"/>
  <c r="Z21" i="14"/>
  <c r="AA21" i="14"/>
  <c r="AB21" i="14"/>
  <c r="AC21" i="14"/>
  <c r="Z22" i="14"/>
  <c r="AA22" i="14"/>
  <c r="AB22" i="14"/>
  <c r="AC22" i="14"/>
  <c r="Z23" i="14"/>
  <c r="AA23" i="14"/>
  <c r="AB23" i="14"/>
  <c r="AC23" i="14"/>
  <c r="Z24" i="14"/>
  <c r="AA24" i="14"/>
  <c r="AB24" i="14"/>
  <c r="AC24" i="14"/>
  <c r="Z25" i="14"/>
  <c r="AA25" i="14"/>
  <c r="AB25" i="14"/>
  <c r="AC25" i="14"/>
  <c r="Z26" i="14"/>
  <c r="AA26" i="14"/>
  <c r="AB26" i="14"/>
  <c r="AC26" i="14"/>
  <c r="Z27" i="14"/>
  <c r="AA27" i="14"/>
  <c r="AB27" i="14"/>
  <c r="AC27" i="14"/>
  <c r="Z28" i="14"/>
  <c r="AA28" i="14"/>
  <c r="AB28" i="14"/>
  <c r="AC28" i="14"/>
  <c r="Z29" i="14"/>
  <c r="AA29" i="14"/>
  <c r="AB29" i="14"/>
  <c r="AC29" i="14"/>
  <c r="Z30" i="14"/>
  <c r="AA30" i="14"/>
  <c r="AB30" i="14"/>
  <c r="AC30" i="14"/>
  <c r="AA2" i="14"/>
  <c r="AB2" i="14"/>
  <c r="Z34" i="14"/>
  <c r="Z37" i="14"/>
  <c r="Z36" i="14"/>
  <c r="Z35" i="14"/>
  <c r="Z2" i="14"/>
  <c r="Z41" i="14"/>
  <c r="Z33" i="14"/>
  <c r="Z42" i="14"/>
  <c r="Z43" i="14"/>
  <c r="AE3" i="14"/>
  <c r="AF3" i="14"/>
  <c r="AG3" i="14"/>
  <c r="AH3" i="14"/>
  <c r="AE4" i="14"/>
  <c r="AF4" i="14"/>
  <c r="AG4" i="14"/>
  <c r="AH4" i="14"/>
  <c r="AH40" i="14" s="1"/>
  <c r="AM40" i="14" s="1"/>
  <c r="AE5" i="14"/>
  <c r="AF5" i="14"/>
  <c r="AG5" i="14"/>
  <c r="AH5" i="14"/>
  <c r="AH53" i="14" s="1"/>
  <c r="AE6" i="14"/>
  <c r="AF6" i="14"/>
  <c r="AG6" i="14"/>
  <c r="AH6" i="14"/>
  <c r="AH47" i="14" s="1"/>
  <c r="AM47" i="14" s="1"/>
  <c r="AE7" i="14"/>
  <c r="AF7" i="14"/>
  <c r="AG7" i="14"/>
  <c r="AH7" i="14"/>
  <c r="AH73" i="14" s="1"/>
  <c r="AE8" i="14"/>
  <c r="AF8" i="14"/>
  <c r="AG8" i="14"/>
  <c r="AH8" i="14"/>
  <c r="AE9" i="14"/>
  <c r="AF9" i="14"/>
  <c r="AG9" i="14"/>
  <c r="AH9" i="14"/>
  <c r="AH54" i="14" s="1"/>
  <c r="AE10" i="14"/>
  <c r="AF10" i="14"/>
  <c r="AG10" i="14"/>
  <c r="AH10" i="14"/>
  <c r="AH46" i="14" s="1"/>
  <c r="AM46" i="14" s="1"/>
  <c r="AE11" i="14"/>
  <c r="AF11" i="14"/>
  <c r="AG11" i="14"/>
  <c r="AH11" i="14"/>
  <c r="AH39" i="14" s="1"/>
  <c r="AM39" i="14" s="1"/>
  <c r="AE12" i="14"/>
  <c r="AF12" i="14"/>
  <c r="AG12" i="14"/>
  <c r="AH12" i="14"/>
  <c r="AH74" i="14" s="1"/>
  <c r="AE13" i="14"/>
  <c r="AF13" i="14"/>
  <c r="AG13" i="14"/>
  <c r="AH13" i="14"/>
  <c r="AH33" i="14" s="1"/>
  <c r="AM33" i="14" s="1"/>
  <c r="AE14" i="14"/>
  <c r="AF14" i="14"/>
  <c r="AG14" i="14"/>
  <c r="AH14" i="14"/>
  <c r="AE15" i="14"/>
  <c r="AF15" i="14"/>
  <c r="AG15" i="14"/>
  <c r="AH15" i="14"/>
  <c r="AH44" i="14" s="1"/>
  <c r="AM44" i="14" s="1"/>
  <c r="AE16" i="14"/>
  <c r="AF16" i="14"/>
  <c r="AG16" i="14"/>
  <c r="AH16" i="14"/>
  <c r="AH72" i="14" s="1"/>
  <c r="AE17" i="14"/>
  <c r="AF17" i="14"/>
  <c r="AG17" i="14"/>
  <c r="AH17" i="14"/>
  <c r="AH66" i="14" s="1"/>
  <c r="AE18" i="14"/>
  <c r="AF18" i="14"/>
  <c r="AG18" i="14"/>
  <c r="AH18" i="14"/>
  <c r="AH61" i="14" s="1"/>
  <c r="AE19" i="14"/>
  <c r="AF19" i="14"/>
  <c r="AG19" i="14"/>
  <c r="AH19" i="14"/>
  <c r="AH42" i="14" s="1"/>
  <c r="AM42" i="14" s="1"/>
  <c r="AE20" i="14"/>
  <c r="AF20" i="14"/>
  <c r="AG20" i="14"/>
  <c r="AH20" i="14"/>
  <c r="AH70" i="14" s="1"/>
  <c r="AE21" i="14"/>
  <c r="AF21" i="14"/>
  <c r="AG21" i="14"/>
  <c r="AH21" i="14"/>
  <c r="AH65" i="14" s="1"/>
  <c r="AE22" i="14"/>
  <c r="AF22" i="14"/>
  <c r="AG22" i="14"/>
  <c r="AH22" i="14"/>
  <c r="AH37" i="14" s="1"/>
  <c r="AM37" i="14" s="1"/>
  <c r="AE23" i="14"/>
  <c r="AF23" i="14"/>
  <c r="AG23" i="14"/>
  <c r="AH23" i="14"/>
  <c r="AE24" i="14"/>
  <c r="AF24" i="14"/>
  <c r="AG24" i="14"/>
  <c r="AH24" i="14"/>
  <c r="AH69" i="14" s="1"/>
  <c r="AE25" i="14"/>
  <c r="AF25" i="14"/>
  <c r="AG25" i="14"/>
  <c r="AH25" i="14"/>
  <c r="AH64" i="14" s="1"/>
  <c r="AE26" i="14"/>
  <c r="AF26" i="14"/>
  <c r="AG26" i="14"/>
  <c r="AH26" i="14"/>
  <c r="AH36" i="14" s="1"/>
  <c r="AM36" i="14" s="1"/>
  <c r="AE27" i="14"/>
  <c r="AF27" i="14"/>
  <c r="AG27" i="14"/>
  <c r="AH27" i="14"/>
  <c r="AH76" i="14" s="1"/>
  <c r="AE28" i="14"/>
  <c r="AF28" i="14"/>
  <c r="AG28" i="14"/>
  <c r="AH28" i="14"/>
  <c r="AH43" i="14" s="1"/>
  <c r="AM43" i="14" s="1"/>
  <c r="AE29" i="14"/>
  <c r="AF29" i="14"/>
  <c r="AG29" i="14"/>
  <c r="AH29" i="14"/>
  <c r="AH57" i="14" s="1"/>
  <c r="AE30" i="14"/>
  <c r="AF30" i="14"/>
  <c r="AG30" i="14"/>
  <c r="AH30" i="14"/>
  <c r="AH35" i="14" s="1"/>
  <c r="AM35" i="14" s="1"/>
  <c r="AH2" i="14"/>
  <c r="AG2" i="14"/>
  <c r="AF2" i="14"/>
  <c r="AE2" i="14"/>
  <c r="AD3" i="14"/>
  <c r="AD4" i="14"/>
  <c r="AD5" i="14"/>
  <c r="AD6" i="14"/>
  <c r="AD47" i="14" s="1"/>
  <c r="AI47" i="14" s="1"/>
  <c r="AD7" i="14"/>
  <c r="AD8" i="14"/>
  <c r="AD9" i="14"/>
  <c r="AD10" i="14"/>
  <c r="AD46" i="14" s="1"/>
  <c r="AI46" i="14" s="1"/>
  <c r="AD11" i="14"/>
  <c r="AD12" i="14"/>
  <c r="AD13" i="14"/>
  <c r="AD14" i="14"/>
  <c r="AD34" i="14" s="1"/>
  <c r="AI34" i="14" s="1"/>
  <c r="AD15" i="14"/>
  <c r="AD16" i="14"/>
  <c r="AD17" i="14"/>
  <c r="AD18" i="14"/>
  <c r="AD75" i="14" s="1"/>
  <c r="AD19" i="14"/>
  <c r="AD20" i="14"/>
  <c r="AD21" i="14"/>
  <c r="AD22" i="14"/>
  <c r="AD23" i="14"/>
  <c r="AD24" i="14"/>
  <c r="AD25" i="14"/>
  <c r="AD26" i="14"/>
  <c r="AD36" i="14" s="1"/>
  <c r="AI36" i="14" s="1"/>
  <c r="AD27" i="14"/>
  <c r="AD28" i="14"/>
  <c r="AD29" i="14"/>
  <c r="AD30" i="14"/>
  <c r="AD35" i="14" s="1"/>
  <c r="AI35" i="14" s="1"/>
  <c r="AD2" i="14"/>
  <c r="T3" i="14"/>
  <c r="T4" i="14"/>
  <c r="T5" i="14"/>
  <c r="T6" i="14"/>
  <c r="T47" i="14" s="1"/>
  <c r="W47" i="14" s="1"/>
  <c r="T7" i="14"/>
  <c r="T8" i="14"/>
  <c r="T9" i="14"/>
  <c r="T10" i="14"/>
  <c r="T11" i="14"/>
  <c r="T12" i="14"/>
  <c r="T13" i="14"/>
  <c r="T14" i="14"/>
  <c r="T15" i="14"/>
  <c r="T16" i="14"/>
  <c r="T17" i="14"/>
  <c r="T18" i="14"/>
  <c r="T19" i="14"/>
  <c r="T20" i="14"/>
  <c r="T21" i="14"/>
  <c r="T22" i="14"/>
  <c r="T37" i="14" s="1"/>
  <c r="W37" i="14" s="1"/>
  <c r="T23" i="14"/>
  <c r="T24" i="14"/>
  <c r="T25" i="14"/>
  <c r="T26" i="14"/>
  <c r="T36" i="14" s="1"/>
  <c r="W36" i="14" s="1"/>
  <c r="T27" i="14"/>
  <c r="T28" i="14"/>
  <c r="T29" i="14"/>
  <c r="T30" i="14"/>
  <c r="T35" i="14" s="1"/>
  <c r="W35" i="14" s="1"/>
  <c r="T2" i="14"/>
  <c r="I3" i="14"/>
  <c r="I4" i="14"/>
  <c r="I5" i="14"/>
  <c r="I6" i="14"/>
  <c r="I47" i="14" s="1"/>
  <c r="L47" i="14" s="1"/>
  <c r="I7" i="14"/>
  <c r="I8" i="14"/>
  <c r="I9" i="14"/>
  <c r="I10" i="14"/>
  <c r="I46" i="14" s="1"/>
  <c r="I11" i="14"/>
  <c r="I12" i="14"/>
  <c r="I13" i="14"/>
  <c r="I14" i="14"/>
  <c r="I15" i="14"/>
  <c r="I16" i="14"/>
  <c r="I17" i="14"/>
  <c r="I18" i="14"/>
  <c r="I75" i="14" s="1"/>
  <c r="I19" i="14"/>
  <c r="I20" i="14"/>
  <c r="I21" i="14"/>
  <c r="I22" i="14"/>
  <c r="I37" i="14" s="1"/>
  <c r="L37" i="14" s="1"/>
  <c r="I23" i="14"/>
  <c r="I24" i="14"/>
  <c r="I25" i="14"/>
  <c r="I26" i="14"/>
  <c r="I36" i="14" s="1"/>
  <c r="L36" i="14" s="1"/>
  <c r="I27" i="14"/>
  <c r="I28" i="14"/>
  <c r="I29" i="14"/>
  <c r="I30" i="14"/>
  <c r="I2" i="14"/>
  <c r="I34" i="14"/>
  <c r="L34" i="14" s="1"/>
  <c r="I35" i="14"/>
  <c r="L35" i="14" s="1"/>
  <c r="I32" i="14"/>
  <c r="C3" i="14"/>
  <c r="D3" i="14"/>
  <c r="E3" i="14"/>
  <c r="F3" i="14"/>
  <c r="C4" i="14"/>
  <c r="D4" i="14"/>
  <c r="E4" i="14"/>
  <c r="F4" i="14"/>
  <c r="C5" i="14"/>
  <c r="D5" i="14"/>
  <c r="E5" i="14"/>
  <c r="F5" i="14"/>
  <c r="C6" i="14"/>
  <c r="D6" i="14"/>
  <c r="E6" i="14"/>
  <c r="F6" i="14"/>
  <c r="C7" i="14"/>
  <c r="D7" i="14"/>
  <c r="E7" i="14"/>
  <c r="F7" i="14"/>
  <c r="C8" i="14"/>
  <c r="D8" i="14"/>
  <c r="E8" i="14"/>
  <c r="F8" i="14"/>
  <c r="C9" i="14"/>
  <c r="D9" i="14"/>
  <c r="E9" i="14"/>
  <c r="F9" i="14"/>
  <c r="C10" i="14"/>
  <c r="D10" i="14"/>
  <c r="E10" i="14"/>
  <c r="F10" i="14"/>
  <c r="C11" i="14"/>
  <c r="D11" i="14"/>
  <c r="E11" i="14"/>
  <c r="F11" i="14"/>
  <c r="C12" i="14"/>
  <c r="D12" i="14"/>
  <c r="E12" i="14"/>
  <c r="F12" i="14"/>
  <c r="C13" i="14"/>
  <c r="D13" i="14"/>
  <c r="E13" i="14"/>
  <c r="F13" i="14"/>
  <c r="C14" i="14"/>
  <c r="D14" i="14"/>
  <c r="E14" i="14"/>
  <c r="F14" i="14"/>
  <c r="C15" i="14"/>
  <c r="D15" i="14"/>
  <c r="E15" i="14"/>
  <c r="F15" i="14"/>
  <c r="C16" i="14"/>
  <c r="D16" i="14"/>
  <c r="E16" i="14"/>
  <c r="F16" i="14"/>
  <c r="C17" i="14"/>
  <c r="D17" i="14"/>
  <c r="E17" i="14"/>
  <c r="F17" i="14"/>
  <c r="C18" i="14"/>
  <c r="D18" i="14"/>
  <c r="E18" i="14"/>
  <c r="F18" i="14"/>
  <c r="C19" i="14"/>
  <c r="C42" i="14" s="1"/>
  <c r="D19" i="14"/>
  <c r="E19" i="14"/>
  <c r="F19" i="14"/>
  <c r="C20" i="14"/>
  <c r="D20" i="14"/>
  <c r="E20" i="14"/>
  <c r="F20" i="14"/>
  <c r="C21" i="14"/>
  <c r="D21" i="14"/>
  <c r="E21" i="14"/>
  <c r="F21" i="14"/>
  <c r="C22" i="14"/>
  <c r="D22" i="14"/>
  <c r="E22" i="14"/>
  <c r="F22" i="14"/>
  <c r="C23" i="14"/>
  <c r="D23" i="14"/>
  <c r="E23" i="14"/>
  <c r="F23" i="14"/>
  <c r="C24" i="14"/>
  <c r="D24" i="14"/>
  <c r="E24" i="14"/>
  <c r="F24" i="14"/>
  <c r="C25" i="14"/>
  <c r="D25" i="14"/>
  <c r="E25" i="14"/>
  <c r="F25" i="14"/>
  <c r="C26" i="14"/>
  <c r="D26" i="14"/>
  <c r="E26" i="14"/>
  <c r="F26" i="14"/>
  <c r="C27" i="14"/>
  <c r="D27" i="14"/>
  <c r="E27" i="14"/>
  <c r="F27" i="14"/>
  <c r="C28" i="14"/>
  <c r="D28" i="14"/>
  <c r="E28" i="14"/>
  <c r="F28" i="14"/>
  <c r="C29" i="14"/>
  <c r="D29" i="14"/>
  <c r="E29" i="14"/>
  <c r="F29" i="14"/>
  <c r="C30" i="14"/>
  <c r="D30" i="14"/>
  <c r="E30" i="14"/>
  <c r="F30" i="14"/>
  <c r="P31" i="14"/>
  <c r="P63" i="14"/>
  <c r="P48" i="14"/>
  <c r="E44" i="14"/>
  <c r="E44" i="13"/>
  <c r="AR30" i="14"/>
  <c r="AO30" i="14"/>
  <c r="AR29" i="14"/>
  <c r="AO29" i="14"/>
  <c r="AR28" i="14"/>
  <c r="AR43" i="14" s="1"/>
  <c r="AO28" i="14"/>
  <c r="AR27" i="14"/>
  <c r="AO27" i="14"/>
  <c r="AR26" i="14"/>
  <c r="AR36" i="14" s="1"/>
  <c r="AT36" i="14" s="1"/>
  <c r="AO26" i="14"/>
  <c r="AR25" i="14"/>
  <c r="AO25" i="14"/>
  <c r="AR24" i="14"/>
  <c r="AR55" i="14" s="1"/>
  <c r="AO24" i="14"/>
  <c r="AR23" i="14"/>
  <c r="AO23" i="14"/>
  <c r="AO49" i="14" s="1"/>
  <c r="AR22" i="14"/>
  <c r="AO22" i="14"/>
  <c r="AR21" i="14"/>
  <c r="AO21" i="14"/>
  <c r="AR20" i="14"/>
  <c r="AR56" i="14" s="1"/>
  <c r="AO20" i="14"/>
  <c r="AR19" i="14"/>
  <c r="AO19" i="14"/>
  <c r="AR18" i="14"/>
  <c r="AR75" i="14" s="1"/>
  <c r="AO18" i="14"/>
  <c r="AR17" i="14"/>
  <c r="AO17" i="14"/>
  <c r="AR16" i="14"/>
  <c r="AR58" i="14" s="1"/>
  <c r="AO16" i="14"/>
  <c r="AR15" i="14"/>
  <c r="AO15" i="14"/>
  <c r="AR14" i="14"/>
  <c r="AR34" i="14" s="1"/>
  <c r="AT34" i="14" s="1"/>
  <c r="AO14" i="14"/>
  <c r="AR13" i="14"/>
  <c r="AO13" i="14"/>
  <c r="AO33" i="14" s="1"/>
  <c r="AR12" i="14"/>
  <c r="AR74" i="14" s="1"/>
  <c r="AO12" i="14"/>
  <c r="AR11" i="14"/>
  <c r="AO11" i="14"/>
  <c r="AR10" i="14"/>
  <c r="AR46" i="14" s="1"/>
  <c r="AO10" i="14"/>
  <c r="AR9" i="14"/>
  <c r="AO9" i="14"/>
  <c r="AR8" i="14"/>
  <c r="AR41" i="14" s="1"/>
  <c r="AT41" i="14" s="1"/>
  <c r="AO8" i="14"/>
  <c r="AR7" i="14"/>
  <c r="AO7" i="14"/>
  <c r="AR6" i="14"/>
  <c r="AR47" i="14" s="1"/>
  <c r="AT47" i="14" s="1"/>
  <c r="AO6" i="14"/>
  <c r="AR5" i="14"/>
  <c r="AO5" i="14"/>
  <c r="AR4" i="14"/>
  <c r="AR40" i="14" s="1"/>
  <c r="AT40" i="14" s="1"/>
  <c r="AO4" i="14"/>
  <c r="AR3" i="14"/>
  <c r="AO3" i="14"/>
  <c r="AR2" i="14"/>
  <c r="AR38" i="14" s="1"/>
  <c r="AT38" i="14" s="1"/>
  <c r="AO2" i="14"/>
  <c r="AN30" i="14"/>
  <c r="P30" i="14"/>
  <c r="O30" i="14"/>
  <c r="N30" i="14"/>
  <c r="D35" i="14"/>
  <c r="AN29" i="14"/>
  <c r="P29" i="14"/>
  <c r="O29" i="14"/>
  <c r="N29" i="14"/>
  <c r="AN28" i="14"/>
  <c r="AP28" i="14" s="1"/>
  <c r="P28" i="14"/>
  <c r="O28" i="14"/>
  <c r="N28" i="14"/>
  <c r="Q28" i="14" s="1"/>
  <c r="AN27" i="14"/>
  <c r="P27" i="14"/>
  <c r="O27" i="14"/>
  <c r="N27" i="14"/>
  <c r="AN26" i="14"/>
  <c r="AB36" i="14"/>
  <c r="P26" i="14"/>
  <c r="P36" i="14" s="1"/>
  <c r="O26" i="14"/>
  <c r="N26" i="14"/>
  <c r="N36" i="14" s="1"/>
  <c r="AN25" i="14"/>
  <c r="P25" i="14"/>
  <c r="O25" i="14"/>
  <c r="N25" i="14"/>
  <c r="E64" i="14"/>
  <c r="AN24" i="14"/>
  <c r="AP24" i="14" s="1"/>
  <c r="P24" i="14"/>
  <c r="O24" i="14"/>
  <c r="N24" i="14"/>
  <c r="Q24" i="14" s="1"/>
  <c r="AN23" i="14"/>
  <c r="P23" i="14"/>
  <c r="O23" i="14"/>
  <c r="O49" i="14" s="1"/>
  <c r="N23" i="14"/>
  <c r="AN22" i="14"/>
  <c r="P22" i="14"/>
  <c r="P37" i="14" s="1"/>
  <c r="O22" i="14"/>
  <c r="N22" i="14"/>
  <c r="D37" i="14"/>
  <c r="AN21" i="14"/>
  <c r="P21" i="14"/>
  <c r="O21" i="14"/>
  <c r="N21" i="14"/>
  <c r="AN20" i="14"/>
  <c r="AP20" i="14" s="1"/>
  <c r="P20" i="14"/>
  <c r="O20" i="14"/>
  <c r="N20" i="14"/>
  <c r="Q20" i="14" s="1"/>
  <c r="AN19" i="14"/>
  <c r="AA42" i="14"/>
  <c r="P19" i="14"/>
  <c r="O19" i="14"/>
  <c r="O42" i="14" s="1"/>
  <c r="N19" i="14"/>
  <c r="AN18" i="14"/>
  <c r="P18" i="14"/>
  <c r="O18" i="14"/>
  <c r="N18" i="14"/>
  <c r="AN17" i="14"/>
  <c r="P17" i="14"/>
  <c r="O17" i="14"/>
  <c r="N17" i="14"/>
  <c r="Q17" i="14" s="1"/>
  <c r="AN16" i="14"/>
  <c r="AP16" i="14" s="1"/>
  <c r="P16" i="14"/>
  <c r="O16" i="14"/>
  <c r="N16" i="14"/>
  <c r="Q16" i="14" s="1"/>
  <c r="AN15" i="14"/>
  <c r="AA44" i="14"/>
  <c r="P15" i="14"/>
  <c r="O15" i="14"/>
  <c r="O44" i="14" s="1"/>
  <c r="N15" i="14"/>
  <c r="AN14" i="14"/>
  <c r="AB34" i="14"/>
  <c r="P14" i="14"/>
  <c r="P34" i="14" s="1"/>
  <c r="O14" i="14"/>
  <c r="N14" i="14"/>
  <c r="D34" i="14"/>
  <c r="AN13" i="14"/>
  <c r="AC33" i="14"/>
  <c r="Y33" i="14"/>
  <c r="P13" i="14"/>
  <c r="O13" i="14"/>
  <c r="N13" i="14"/>
  <c r="AN12" i="14"/>
  <c r="AP12" i="14" s="1"/>
  <c r="P12" i="14"/>
  <c r="O12" i="14"/>
  <c r="N12" i="14"/>
  <c r="Q12" i="14" s="1"/>
  <c r="AN11" i="14"/>
  <c r="AA39" i="14"/>
  <c r="P11" i="14"/>
  <c r="O11" i="14"/>
  <c r="O39" i="14" s="1"/>
  <c r="N11" i="14"/>
  <c r="C39" i="14"/>
  <c r="AN10" i="14"/>
  <c r="P10" i="14"/>
  <c r="O10" i="14"/>
  <c r="N10" i="14"/>
  <c r="D46" i="14"/>
  <c r="AN9" i="14"/>
  <c r="P9" i="14"/>
  <c r="O9" i="14"/>
  <c r="N9" i="14"/>
  <c r="AN8" i="14"/>
  <c r="AN41" i="14" s="1"/>
  <c r="P8" i="14"/>
  <c r="O8" i="14"/>
  <c r="N8" i="14"/>
  <c r="N41" i="14" s="1"/>
  <c r="AN7" i="14"/>
  <c r="P7" i="14"/>
  <c r="O7" i="14"/>
  <c r="N7" i="14"/>
  <c r="AN6" i="14"/>
  <c r="AB47" i="14"/>
  <c r="P6" i="14"/>
  <c r="P47" i="14" s="1"/>
  <c r="O6" i="14"/>
  <c r="N6" i="14"/>
  <c r="AN5" i="14"/>
  <c r="P5" i="14"/>
  <c r="O5" i="14"/>
  <c r="N5" i="14"/>
  <c r="AN4" i="14"/>
  <c r="P4" i="14"/>
  <c r="O4" i="14"/>
  <c r="N4" i="14"/>
  <c r="N40" i="14" s="1"/>
  <c r="AP3" i="14"/>
  <c r="AN3" i="14"/>
  <c r="AA32" i="14"/>
  <c r="P3" i="14"/>
  <c r="O3" i="14"/>
  <c r="O32" i="14" s="1"/>
  <c r="N3" i="14"/>
  <c r="C32" i="14"/>
  <c r="AN2" i="14"/>
  <c r="AB38" i="14"/>
  <c r="P2" i="14"/>
  <c r="P38" i="14" s="1"/>
  <c r="O2" i="14"/>
  <c r="N2" i="14"/>
  <c r="E2" i="14"/>
  <c r="D2" i="14"/>
  <c r="C2" i="14"/>
  <c r="AC49" i="14"/>
  <c r="AC42" i="14"/>
  <c r="AB49" i="14"/>
  <c r="AB42" i="14"/>
  <c r="AB44" i="14"/>
  <c r="AB33" i="14"/>
  <c r="AB39" i="14"/>
  <c r="AF71" i="14"/>
  <c r="AF76" i="14"/>
  <c r="AF64" i="14"/>
  <c r="AA49" i="14"/>
  <c r="AF65" i="14"/>
  <c r="AF66" i="14"/>
  <c r="AA66" i="14"/>
  <c r="AF44" i="14"/>
  <c r="AK44" i="14" s="1"/>
  <c r="AF33" i="14"/>
  <c r="AK33" i="14" s="1"/>
  <c r="AA33" i="14"/>
  <c r="AF39" i="14"/>
  <c r="AK39" i="14" s="1"/>
  <c r="AF59" i="14"/>
  <c r="Z71" i="14"/>
  <c r="Z44" i="14"/>
  <c r="Z32" i="14"/>
  <c r="P35" i="14"/>
  <c r="AD57" i="14"/>
  <c r="I57" i="14"/>
  <c r="AD76" i="14"/>
  <c r="I76" i="14"/>
  <c r="AD64" i="14"/>
  <c r="I64" i="14"/>
  <c r="T55" i="14"/>
  <c r="E49" i="14"/>
  <c r="T70" i="14"/>
  <c r="Y42" i="14"/>
  <c r="T75" i="14"/>
  <c r="AD66" i="14"/>
  <c r="T58" i="14"/>
  <c r="AD44" i="14"/>
  <c r="AI44" i="14" s="1"/>
  <c r="Y44" i="14"/>
  <c r="AD33" i="14"/>
  <c r="AI33" i="14" s="1"/>
  <c r="I33" i="14"/>
  <c r="L33" i="14" s="1"/>
  <c r="E33" i="14"/>
  <c r="AD39" i="14"/>
  <c r="AI39" i="14" s="1"/>
  <c r="Y39" i="14"/>
  <c r="I39" i="14"/>
  <c r="E39" i="14"/>
  <c r="T46" i="14"/>
  <c r="P46" i="14"/>
  <c r="AD54" i="14"/>
  <c r="P41" i="14"/>
  <c r="AD73" i="14"/>
  <c r="I73" i="14"/>
  <c r="AD67" i="14"/>
  <c r="AI67" i="14" s="1"/>
  <c r="I67" i="14"/>
  <c r="P40" i="14"/>
  <c r="AD32" i="14"/>
  <c r="Y32" i="14"/>
  <c r="E32" i="14"/>
  <c r="T38" i="14"/>
  <c r="W38" i="14" s="1"/>
  <c r="AR76" i="14"/>
  <c r="AQ76" i="14"/>
  <c r="AG76" i="14"/>
  <c r="T76" i="14"/>
  <c r="S76" i="14"/>
  <c r="R76" i="14"/>
  <c r="H76" i="14"/>
  <c r="AQ75" i="14"/>
  <c r="S75" i="14"/>
  <c r="H75" i="14"/>
  <c r="AQ74" i="14"/>
  <c r="S74" i="14"/>
  <c r="H74" i="14"/>
  <c r="AR73" i="14"/>
  <c r="AQ73" i="14"/>
  <c r="AF73" i="14"/>
  <c r="S73" i="14"/>
  <c r="H73" i="14"/>
  <c r="AQ72" i="14"/>
  <c r="AG72" i="14"/>
  <c r="T72" i="14"/>
  <c r="S72" i="14"/>
  <c r="H72" i="14"/>
  <c r="AR71" i="14"/>
  <c r="AQ71" i="14"/>
  <c r="AH71" i="14"/>
  <c r="AD71" i="14"/>
  <c r="S71" i="14"/>
  <c r="I71" i="14"/>
  <c r="H71" i="14"/>
  <c r="AR70" i="14"/>
  <c r="AQ70" i="14"/>
  <c r="S70" i="14"/>
  <c r="H70" i="14"/>
  <c r="G70" i="14"/>
  <c r="AQ69" i="14"/>
  <c r="AF69" i="14"/>
  <c r="S69" i="14"/>
  <c r="H69" i="14"/>
  <c r="AR68" i="14"/>
  <c r="AQ68" i="14"/>
  <c r="AG68" i="14"/>
  <c r="T68" i="14"/>
  <c r="S68" i="14"/>
  <c r="R68" i="14"/>
  <c r="H68" i="14"/>
  <c r="AR67" i="14"/>
  <c r="AQ67" i="14"/>
  <c r="S67" i="14"/>
  <c r="H67" i="14"/>
  <c r="AR66" i="14"/>
  <c r="AQ66" i="14"/>
  <c r="S66" i="14"/>
  <c r="H66" i="14"/>
  <c r="AR65" i="14"/>
  <c r="AQ65" i="14"/>
  <c r="S65" i="14"/>
  <c r="H65" i="14"/>
  <c r="G65" i="14"/>
  <c r="AR64" i="14"/>
  <c r="AQ64" i="14"/>
  <c r="AG64" i="14"/>
  <c r="T64" i="14"/>
  <c r="S64" i="14"/>
  <c r="H64" i="14"/>
  <c r="G64" i="14"/>
  <c r="AR62" i="14"/>
  <c r="AQ62" i="14"/>
  <c r="AH62" i="14"/>
  <c r="AD62" i="14"/>
  <c r="S62" i="14"/>
  <c r="I62" i="14"/>
  <c r="H62" i="14"/>
  <c r="AQ61" i="14"/>
  <c r="S61" i="14"/>
  <c r="H61" i="14"/>
  <c r="AQ60" i="14"/>
  <c r="AF60" i="14"/>
  <c r="S60" i="14"/>
  <c r="H60" i="14"/>
  <c r="AR59" i="14"/>
  <c r="AQ59" i="14"/>
  <c r="AG59" i="14"/>
  <c r="T59" i="14"/>
  <c r="S59" i="14"/>
  <c r="H59" i="14"/>
  <c r="AQ58" i="14"/>
  <c r="AD58" i="14"/>
  <c r="S58" i="14"/>
  <c r="I58" i="14"/>
  <c r="H58" i="14"/>
  <c r="AR57" i="14"/>
  <c r="AQ57" i="14"/>
  <c r="AE57" i="14"/>
  <c r="S57" i="14"/>
  <c r="H57" i="14"/>
  <c r="G57" i="14"/>
  <c r="AQ56" i="14"/>
  <c r="AF56" i="14"/>
  <c r="S56" i="14"/>
  <c r="H56" i="14"/>
  <c r="AQ55" i="14"/>
  <c r="AG55" i="14"/>
  <c r="S55" i="14"/>
  <c r="H55" i="14"/>
  <c r="G55" i="14"/>
  <c r="AR54" i="14"/>
  <c r="AQ54" i="14"/>
  <c r="S54" i="14"/>
  <c r="I54" i="14"/>
  <c r="H54" i="14"/>
  <c r="AR53" i="14"/>
  <c r="AQ53" i="14"/>
  <c r="S53" i="14"/>
  <c r="H53" i="14"/>
  <c r="AR52" i="14"/>
  <c r="AQ52" i="14"/>
  <c r="AF52" i="14"/>
  <c r="S52" i="14"/>
  <c r="H52" i="14"/>
  <c r="G52" i="14"/>
  <c r="AR51" i="14"/>
  <c r="AQ51" i="14"/>
  <c r="AG51" i="14"/>
  <c r="T51" i="14"/>
  <c r="S51" i="14"/>
  <c r="H51" i="14"/>
  <c r="G51" i="14"/>
  <c r="AR50" i="14"/>
  <c r="AQ50" i="14"/>
  <c r="AH50" i="14"/>
  <c r="AD50" i="14"/>
  <c r="S50" i="14"/>
  <c r="H50" i="14"/>
  <c r="G50" i="14"/>
  <c r="AR49" i="14"/>
  <c r="AQ49" i="14"/>
  <c r="S49" i="14"/>
  <c r="R49" i="14"/>
  <c r="H49" i="14"/>
  <c r="AQ47" i="14"/>
  <c r="AF47" i="14"/>
  <c r="AK47" i="14" s="1"/>
  <c r="S47" i="14"/>
  <c r="H47" i="14"/>
  <c r="G47" i="14"/>
  <c r="AQ46" i="14"/>
  <c r="AG46" i="14"/>
  <c r="AL46" i="14" s="1"/>
  <c r="S46" i="14"/>
  <c r="H46" i="14"/>
  <c r="AR44" i="14"/>
  <c r="AQ44" i="14"/>
  <c r="S44" i="14"/>
  <c r="R44" i="14"/>
  <c r="I44" i="14"/>
  <c r="L44" i="14" s="1"/>
  <c r="H44" i="14"/>
  <c r="AQ43" i="14"/>
  <c r="S43" i="14"/>
  <c r="H43" i="14"/>
  <c r="AR42" i="14"/>
  <c r="AQ42" i="14"/>
  <c r="AF42" i="14"/>
  <c r="AK42" i="14" s="1"/>
  <c r="S42" i="14"/>
  <c r="R42" i="14"/>
  <c r="H42" i="14"/>
  <c r="AQ41" i="14"/>
  <c r="AG41" i="14"/>
  <c r="AL41" i="14" s="1"/>
  <c r="T41" i="14"/>
  <c r="S41" i="14"/>
  <c r="R41" i="14"/>
  <c r="H41" i="14"/>
  <c r="AQ40" i="14"/>
  <c r="AD40" i="14"/>
  <c r="S40" i="14"/>
  <c r="I40" i="14"/>
  <c r="H40" i="14"/>
  <c r="AR39" i="14"/>
  <c r="AQ39" i="14"/>
  <c r="S39" i="14"/>
  <c r="H39" i="14"/>
  <c r="AQ38" i="14"/>
  <c r="AF38" i="14"/>
  <c r="S38" i="14"/>
  <c r="R38" i="14"/>
  <c r="H38" i="14"/>
  <c r="AR37" i="14"/>
  <c r="AT37" i="14" s="1"/>
  <c r="AQ37" i="14"/>
  <c r="AG37" i="14"/>
  <c r="S37" i="14"/>
  <c r="H37" i="14"/>
  <c r="K37" i="14" s="1"/>
  <c r="AQ36" i="14"/>
  <c r="S36" i="14"/>
  <c r="H36" i="14"/>
  <c r="AR35" i="14"/>
  <c r="AT35" i="14" s="1"/>
  <c r="AQ35" i="14"/>
  <c r="S35" i="14"/>
  <c r="R35" i="14"/>
  <c r="H35" i="14"/>
  <c r="AQ34" i="14"/>
  <c r="AF34" i="14"/>
  <c r="AK34" i="14" s="1"/>
  <c r="S34" i="14"/>
  <c r="H34" i="14"/>
  <c r="AR33" i="14"/>
  <c r="AQ33" i="14"/>
  <c r="AG33" i="14"/>
  <c r="AL33" i="14" s="1"/>
  <c r="T33" i="14"/>
  <c r="S33" i="14"/>
  <c r="H33" i="14"/>
  <c r="G33" i="14"/>
  <c r="AR32" i="14"/>
  <c r="AQ32" i="14"/>
  <c r="S32" i="14"/>
  <c r="H32" i="14"/>
  <c r="G32" i="14"/>
  <c r="J32" i="14" s="1"/>
  <c r="AG35" i="14"/>
  <c r="AF35" i="14"/>
  <c r="AK35" i="14" s="1"/>
  <c r="AE35" i="14"/>
  <c r="AJ35" i="14" s="1"/>
  <c r="AG71" i="14"/>
  <c r="AE71" i="14"/>
  <c r="T71" i="14"/>
  <c r="AG43" i="14"/>
  <c r="AF43" i="14"/>
  <c r="AK43" i="14" s="1"/>
  <c r="AE43" i="14"/>
  <c r="AJ43" i="14" s="1"/>
  <c r="AD43" i="14"/>
  <c r="AI43" i="14" s="1"/>
  <c r="T43" i="14"/>
  <c r="W43" i="14" s="1"/>
  <c r="I43" i="14"/>
  <c r="L43" i="14" s="1"/>
  <c r="AG62" i="14"/>
  <c r="T62" i="14"/>
  <c r="AG36" i="14"/>
  <c r="AF36" i="14"/>
  <c r="AK36" i="14" s="1"/>
  <c r="AE36" i="14"/>
  <c r="AJ36" i="14" s="1"/>
  <c r="AG50" i="14"/>
  <c r="T50" i="14"/>
  <c r="AG69" i="14"/>
  <c r="AF55" i="14"/>
  <c r="AD69" i="14"/>
  <c r="T69" i="14"/>
  <c r="W69" i="14" s="1"/>
  <c r="I69" i="14"/>
  <c r="AH49" i="14"/>
  <c r="AG49" i="14"/>
  <c r="AF49" i="14"/>
  <c r="AE49" i="14"/>
  <c r="AD49" i="14"/>
  <c r="T49" i="14"/>
  <c r="I49" i="14"/>
  <c r="L49" i="14" s="1"/>
  <c r="AF37" i="14"/>
  <c r="AK37" i="14" s="1"/>
  <c r="AE37" i="14"/>
  <c r="AJ37" i="14" s="1"/>
  <c r="AD37" i="14"/>
  <c r="AI37" i="14" s="1"/>
  <c r="AA37" i="14"/>
  <c r="E37" i="14"/>
  <c r="AG65" i="14"/>
  <c r="AF51" i="14"/>
  <c r="AD65" i="14"/>
  <c r="T65" i="14"/>
  <c r="I65" i="14"/>
  <c r="AG70" i="14"/>
  <c r="AF70" i="14"/>
  <c r="AE56" i="14"/>
  <c r="AD70" i="14"/>
  <c r="I70" i="14"/>
  <c r="AN42" i="14"/>
  <c r="AG42" i="14"/>
  <c r="AL42" i="14" s="1"/>
  <c r="AE42" i="14"/>
  <c r="AJ42" i="14" s="1"/>
  <c r="AD42" i="14"/>
  <c r="T42" i="14"/>
  <c r="W42" i="14" s="1"/>
  <c r="I42" i="14"/>
  <c r="E42" i="14"/>
  <c r="AG75" i="14"/>
  <c r="AF75" i="14"/>
  <c r="AE75" i="14"/>
  <c r="AG66" i="14"/>
  <c r="AE52" i="14"/>
  <c r="AJ52" i="14" s="1"/>
  <c r="T66" i="14"/>
  <c r="I66" i="14"/>
  <c r="AG58" i="14"/>
  <c r="AF72" i="14"/>
  <c r="AD72" i="14"/>
  <c r="I72" i="14"/>
  <c r="AG44" i="14"/>
  <c r="AL44" i="14" s="1"/>
  <c r="AE44" i="14"/>
  <c r="AJ44" i="14" s="1"/>
  <c r="T44" i="14"/>
  <c r="W44" i="14" s="1"/>
  <c r="P44" i="14"/>
  <c r="AP14" i="14"/>
  <c r="AH34" i="14"/>
  <c r="AG34" i="14"/>
  <c r="AL34" i="14" s="1"/>
  <c r="AE34" i="14"/>
  <c r="AA34" i="14"/>
  <c r="T34" i="14"/>
  <c r="W34" i="14" s="1"/>
  <c r="E34" i="14"/>
  <c r="AP13" i="14"/>
  <c r="AE33" i="14"/>
  <c r="AJ33" i="14" s="1"/>
  <c r="P33" i="14"/>
  <c r="AG74" i="14"/>
  <c r="AF74" i="14"/>
  <c r="AE60" i="14"/>
  <c r="AD74" i="14"/>
  <c r="T74" i="14"/>
  <c r="I74" i="14"/>
  <c r="AN39" i="14"/>
  <c r="AG39" i="14"/>
  <c r="AE39" i="14"/>
  <c r="AJ39" i="14" s="1"/>
  <c r="T39" i="14"/>
  <c r="AF46" i="14"/>
  <c r="AE46" i="14"/>
  <c r="AA46" i="14"/>
  <c r="AG54" i="14"/>
  <c r="AF68" i="14"/>
  <c r="AD68" i="14"/>
  <c r="T54" i="14"/>
  <c r="I68" i="14"/>
  <c r="AH41" i="14"/>
  <c r="AM41" i="14" s="1"/>
  <c r="AF41" i="14"/>
  <c r="AE41" i="14"/>
  <c r="AJ41" i="14" s="1"/>
  <c r="AD41" i="14"/>
  <c r="AI41" i="14" s="1"/>
  <c r="AA41" i="14"/>
  <c r="I41" i="14"/>
  <c r="L41" i="14" s="1"/>
  <c r="AG73" i="14"/>
  <c r="T73" i="14"/>
  <c r="AG47" i="14"/>
  <c r="AL47" i="14" s="1"/>
  <c r="AE47" i="14"/>
  <c r="AJ47" i="14" s="1"/>
  <c r="E47" i="14"/>
  <c r="AG67" i="14"/>
  <c r="AF67" i="14"/>
  <c r="AE67" i="14"/>
  <c r="T67" i="14"/>
  <c r="AP4" i="14"/>
  <c r="AG40" i="14"/>
  <c r="AF40" i="14"/>
  <c r="AE40" i="14"/>
  <c r="AJ40" i="14" s="1"/>
  <c r="AA40" i="14"/>
  <c r="T40" i="14"/>
  <c r="W40" i="14" s="1"/>
  <c r="AH32" i="14"/>
  <c r="AG32" i="14"/>
  <c r="AF32" i="14"/>
  <c r="AE32" i="14"/>
  <c r="T32" i="14"/>
  <c r="Q3" i="14"/>
  <c r="AH38" i="14"/>
  <c r="AG38" i="14"/>
  <c r="AL38" i="14" s="1"/>
  <c r="AE38" i="14"/>
  <c r="AJ38" i="14" s="1"/>
  <c r="AD38" i="14"/>
  <c r="AI38" i="14" s="1"/>
  <c r="AA38" i="14"/>
  <c r="I38" i="14"/>
  <c r="L38" i="14" s="1"/>
  <c r="E38" i="14"/>
  <c r="D38" i="14"/>
  <c r="S30" i="14"/>
  <c r="H30" i="14"/>
  <c r="S29" i="14"/>
  <c r="H29" i="14"/>
  <c r="S28" i="14"/>
  <c r="H28" i="14"/>
  <c r="S27" i="14"/>
  <c r="H27" i="14"/>
  <c r="S26" i="14"/>
  <c r="H26" i="14"/>
  <c r="D36" i="14"/>
  <c r="S25" i="14"/>
  <c r="H25" i="14"/>
  <c r="S24" i="14"/>
  <c r="H24" i="14"/>
  <c r="S23" i="14"/>
  <c r="H23" i="14"/>
  <c r="D49" i="14"/>
  <c r="S22" i="14"/>
  <c r="H22" i="14"/>
  <c r="S21" i="14"/>
  <c r="H21" i="14"/>
  <c r="S20" i="14"/>
  <c r="H20" i="14"/>
  <c r="S19" i="14"/>
  <c r="H19" i="14"/>
  <c r="D42" i="14"/>
  <c r="S18" i="14"/>
  <c r="H18" i="14"/>
  <c r="S17" i="14"/>
  <c r="H17" i="14"/>
  <c r="S16" i="14"/>
  <c r="H16" i="14"/>
  <c r="S15" i="14"/>
  <c r="H15" i="14"/>
  <c r="D44" i="14"/>
  <c r="S14" i="14"/>
  <c r="H14" i="14"/>
  <c r="S13" i="14"/>
  <c r="H13" i="14"/>
  <c r="S12" i="14"/>
  <c r="H12" i="14"/>
  <c r="S11" i="14"/>
  <c r="H11" i="14"/>
  <c r="D39" i="14"/>
  <c r="S10" i="14"/>
  <c r="H10" i="14"/>
  <c r="S9" i="14"/>
  <c r="H9" i="14"/>
  <c r="S8" i="14"/>
  <c r="H8" i="14"/>
  <c r="S7" i="14"/>
  <c r="H7" i="14"/>
  <c r="S6" i="14"/>
  <c r="H6" i="14"/>
  <c r="D47" i="14"/>
  <c r="S5" i="14"/>
  <c r="H5" i="14"/>
  <c r="S4" i="14"/>
  <c r="H4" i="14"/>
  <c r="D40" i="14"/>
  <c r="S3" i="14"/>
  <c r="H3" i="14"/>
  <c r="D32" i="14"/>
  <c r="S2" i="14"/>
  <c r="H2" i="14"/>
  <c r="AQ30" i="14"/>
  <c r="AQ29" i="14"/>
  <c r="AQ28" i="14"/>
  <c r="AQ27" i="14"/>
  <c r="AQ26" i="14"/>
  <c r="AQ25" i="14"/>
  <c r="AQ24" i="14"/>
  <c r="AQ23" i="14"/>
  <c r="AQ22" i="14"/>
  <c r="AQ21" i="14"/>
  <c r="AQ20" i="14"/>
  <c r="AQ19" i="14"/>
  <c r="AQ18" i="14"/>
  <c r="AQ17" i="14"/>
  <c r="AQ16" i="14"/>
  <c r="AQ15" i="14"/>
  <c r="AN44" i="14"/>
  <c r="AQ14" i="14"/>
  <c r="AQ13" i="14"/>
  <c r="AQ12" i="14"/>
  <c r="AQ11" i="14"/>
  <c r="AQ10" i="14"/>
  <c r="AQ9" i="14"/>
  <c r="AQ8" i="14"/>
  <c r="O41" i="14"/>
  <c r="AQ7" i="14"/>
  <c r="AQ6" i="14"/>
  <c r="AQ5" i="14"/>
  <c r="AQ4" i="14"/>
  <c r="O40" i="14"/>
  <c r="AQ3" i="14"/>
  <c r="AQ2" i="14"/>
  <c r="V35" i="14"/>
  <c r="K35" i="14"/>
  <c r="V43" i="14"/>
  <c r="K43" i="14"/>
  <c r="V36" i="14"/>
  <c r="K36" i="14"/>
  <c r="Y49" i="14"/>
  <c r="V37" i="14"/>
  <c r="Q21" i="14"/>
  <c r="AI42" i="14"/>
  <c r="AT44" i="14"/>
  <c r="AC44" i="14"/>
  <c r="AJ34" i="14"/>
  <c r="V34" i="14"/>
  <c r="K34" i="14"/>
  <c r="AT33" i="14"/>
  <c r="AU33" i="14"/>
  <c r="O33" i="14"/>
  <c r="AT39" i="14"/>
  <c r="AL39" i="14"/>
  <c r="AC39" i="14"/>
  <c r="AO46" i="14"/>
  <c r="AO41" i="14"/>
  <c r="W41" i="14"/>
  <c r="V41" i="14"/>
  <c r="K41" i="14"/>
  <c r="P59" i="14"/>
  <c r="AA47" i="14"/>
  <c r="V47" i="14"/>
  <c r="AO40" i="14"/>
  <c r="V40" i="14"/>
  <c r="K40" i="14"/>
  <c r="AC32" i="14"/>
  <c r="P32" i="14"/>
  <c r="AO38" i="14"/>
  <c r="AK38" i="14"/>
  <c r="V38" i="14"/>
  <c r="R30" i="14"/>
  <c r="G30" i="14"/>
  <c r="G35" i="14" s="1"/>
  <c r="R29" i="14"/>
  <c r="R57" i="14" s="1"/>
  <c r="G29" i="14"/>
  <c r="G71" i="14" s="1"/>
  <c r="R28" i="14"/>
  <c r="R43" i="14" s="1"/>
  <c r="G28" i="14"/>
  <c r="G43" i="14" s="1"/>
  <c r="J43" i="14" s="1"/>
  <c r="C43" i="14"/>
  <c r="R27" i="14"/>
  <c r="R62" i="14" s="1"/>
  <c r="G27" i="14"/>
  <c r="G76" i="14" s="1"/>
  <c r="R26" i="14"/>
  <c r="R36" i="14" s="1"/>
  <c r="U36" i="14" s="1"/>
  <c r="G26" i="14"/>
  <c r="G36" i="14" s="1"/>
  <c r="R25" i="14"/>
  <c r="R64" i="14" s="1"/>
  <c r="G25" i="14"/>
  <c r="R24" i="14"/>
  <c r="R69" i="14" s="1"/>
  <c r="G24" i="14"/>
  <c r="G69" i="14" s="1"/>
  <c r="R23" i="14"/>
  <c r="G23" i="14"/>
  <c r="G49" i="14" s="1"/>
  <c r="R22" i="14"/>
  <c r="R37" i="14" s="1"/>
  <c r="G22" i="14"/>
  <c r="G37" i="14" s="1"/>
  <c r="R21" i="14"/>
  <c r="R65" i="14" s="1"/>
  <c r="G21" i="14"/>
  <c r="R20" i="14"/>
  <c r="R70" i="14" s="1"/>
  <c r="G20" i="14"/>
  <c r="G56" i="14" s="1"/>
  <c r="R19" i="14"/>
  <c r="G19" i="14"/>
  <c r="G42" i="14" s="1"/>
  <c r="R18" i="14"/>
  <c r="R61" i="14" s="1"/>
  <c r="G18" i="14"/>
  <c r="G75" i="14" s="1"/>
  <c r="R17" i="14"/>
  <c r="R66" i="14" s="1"/>
  <c r="G17" i="14"/>
  <c r="G66" i="14" s="1"/>
  <c r="R16" i="14"/>
  <c r="R58" i="14" s="1"/>
  <c r="G16" i="14"/>
  <c r="G72" i="14" s="1"/>
  <c r="R15" i="14"/>
  <c r="G15" i="14"/>
  <c r="G44" i="14" s="1"/>
  <c r="R14" i="14"/>
  <c r="R34" i="14" s="1"/>
  <c r="U34" i="14" s="1"/>
  <c r="G14" i="14"/>
  <c r="G34" i="14" s="1"/>
  <c r="R13" i="14"/>
  <c r="R33" i="14" s="1"/>
  <c r="G13" i="14"/>
  <c r="R12" i="14"/>
  <c r="R74" i="14" s="1"/>
  <c r="G12" i="14"/>
  <c r="G60" i="14" s="1"/>
  <c r="C74" i="14"/>
  <c r="R11" i="14"/>
  <c r="R39" i="14" s="1"/>
  <c r="G11" i="14"/>
  <c r="G39" i="14" s="1"/>
  <c r="J39" i="14" s="1"/>
  <c r="R10" i="14"/>
  <c r="R46" i="14" s="1"/>
  <c r="G10" i="14"/>
  <c r="G46" i="14" s="1"/>
  <c r="R9" i="14"/>
  <c r="R54" i="14" s="1"/>
  <c r="G9" i="14"/>
  <c r="G68" i="14" s="1"/>
  <c r="R8" i="14"/>
  <c r="G8" i="14"/>
  <c r="G41" i="14" s="1"/>
  <c r="C41" i="14"/>
  <c r="R7" i="14"/>
  <c r="R59" i="14" s="1"/>
  <c r="G7" i="14"/>
  <c r="G59" i="14" s="1"/>
  <c r="R6" i="14"/>
  <c r="R47" i="14" s="1"/>
  <c r="G6" i="14"/>
  <c r="R5" i="14"/>
  <c r="R53" i="14" s="1"/>
  <c r="G5" i="14"/>
  <c r="G67" i="14" s="1"/>
  <c r="R4" i="14"/>
  <c r="R40" i="14" s="1"/>
  <c r="U40" i="14" s="1"/>
  <c r="G4" i="14"/>
  <c r="G40" i="14" s="1"/>
  <c r="C40" i="14"/>
  <c r="R3" i="14"/>
  <c r="R32" i="14" s="1"/>
  <c r="G3" i="14"/>
  <c r="R2" i="14"/>
  <c r="N38" i="14"/>
  <c r="G2" i="14"/>
  <c r="G38" i="14" s="1"/>
  <c r="AA35" i="14"/>
  <c r="E35" i="14"/>
  <c r="AA43" i="14"/>
  <c r="AA36" i="14"/>
  <c r="E36" i="14"/>
  <c r="P49" i="14"/>
  <c r="N37" i="14"/>
  <c r="P42" i="14"/>
  <c r="N34" i="14"/>
  <c r="K33" i="14"/>
  <c r="C33" i="14"/>
  <c r="K39" i="14"/>
  <c r="N46" i="14"/>
  <c r="E46" i="14"/>
  <c r="AL68" i="14"/>
  <c r="E40" i="14"/>
  <c r="N35" i="14"/>
  <c r="E43" i="14"/>
  <c r="K42" i="14"/>
  <c r="K44" i="14"/>
  <c r="N47" i="14"/>
  <c r="AL35" i="14"/>
  <c r="AL36" i="14"/>
  <c r="AL37" i="14"/>
  <c r="AT42" i="14"/>
  <c r="V44" i="14"/>
  <c r="V39" i="14"/>
  <c r="AK73" i="14"/>
  <c r="K47" i="14"/>
  <c r="AK32" i="14"/>
  <c r="K38" i="14"/>
  <c r="D55" i="14"/>
  <c r="AO43" i="14"/>
  <c r="AK40" i="14"/>
  <c r="Z38" i="14"/>
  <c r="AS35" i="14"/>
  <c r="O35" i="14"/>
  <c r="AO35" i="14"/>
  <c r="AC35" i="14"/>
  <c r="AB35" i="14"/>
  <c r="Y35" i="14"/>
  <c r="AP29" i="14"/>
  <c r="AL43" i="14"/>
  <c r="AC43" i="14"/>
  <c r="AB43" i="14"/>
  <c r="Y43" i="14"/>
  <c r="P43" i="14"/>
  <c r="D43" i="14"/>
  <c r="AO36" i="14"/>
  <c r="AC36" i="14"/>
  <c r="D69" i="14"/>
  <c r="AN49" i="14"/>
  <c r="Z49" i="14"/>
  <c r="AO37" i="14"/>
  <c r="AC37" i="14"/>
  <c r="AB37" i="14"/>
  <c r="AN65" i="14"/>
  <c r="AO42" i="14"/>
  <c r="V42" i="14"/>
  <c r="L42" i="14"/>
  <c r="AO44" i="14"/>
  <c r="AO34" i="14"/>
  <c r="AM34" i="14"/>
  <c r="AC34" i="14"/>
  <c r="W33" i="14"/>
  <c r="V33" i="14"/>
  <c r="N33" i="14"/>
  <c r="J33" i="14"/>
  <c r="V74" i="14"/>
  <c r="AO39" i="14"/>
  <c r="Z39" i="14"/>
  <c r="W39" i="14"/>
  <c r="P39" i="14"/>
  <c r="AC46" i="14"/>
  <c r="AB46" i="14"/>
  <c r="Z46" i="14"/>
  <c r="AK41" i="14"/>
  <c r="AC41" i="14"/>
  <c r="AB41" i="14"/>
  <c r="Y41" i="14"/>
  <c r="AO47" i="14"/>
  <c r="AC47" i="14"/>
  <c r="Z47" i="14"/>
  <c r="N67" i="14"/>
  <c r="AL40" i="14"/>
  <c r="AI40" i="14"/>
  <c r="AC40" i="14"/>
  <c r="AB40" i="14"/>
  <c r="Z40" i="14"/>
  <c r="Y40" i="14"/>
  <c r="L40" i="14"/>
  <c r="AB32" i="14"/>
  <c r="V32" i="14"/>
  <c r="AM38" i="14"/>
  <c r="AC38" i="14"/>
  <c r="AC31" i="14" s="1"/>
  <c r="Y38" i="14"/>
  <c r="AR76" i="13"/>
  <c r="AR75" i="13"/>
  <c r="AR74" i="13"/>
  <c r="AU74" i="13" s="1"/>
  <c r="AR73" i="13"/>
  <c r="AT73" i="13" s="1"/>
  <c r="AR72" i="13"/>
  <c r="AR71" i="13"/>
  <c r="AR70" i="13"/>
  <c r="AT70" i="13" s="1"/>
  <c r="AR69" i="13"/>
  <c r="AT69" i="13" s="1"/>
  <c r="AR68" i="13"/>
  <c r="AR67" i="13"/>
  <c r="AR66" i="13"/>
  <c r="AU66" i="13" s="1"/>
  <c r="AR65" i="13"/>
  <c r="AT65" i="13" s="1"/>
  <c r="AR64" i="13"/>
  <c r="AR62" i="13"/>
  <c r="AR61" i="13"/>
  <c r="AR60" i="13"/>
  <c r="AT60" i="13" s="1"/>
  <c r="AR59" i="13"/>
  <c r="AR58" i="13"/>
  <c r="AR57" i="13"/>
  <c r="AT57" i="13" s="1"/>
  <c r="AR56" i="13"/>
  <c r="AU56" i="13" s="1"/>
  <c r="AR55" i="13"/>
  <c r="AR54" i="13"/>
  <c r="AR53" i="13"/>
  <c r="AR52" i="13"/>
  <c r="AT52" i="13" s="1"/>
  <c r="AR51" i="13"/>
  <c r="AR50" i="13"/>
  <c r="AQ76" i="13"/>
  <c r="AH76" i="13"/>
  <c r="AG76" i="13"/>
  <c r="AF76" i="13"/>
  <c r="AE76" i="13"/>
  <c r="AD76" i="13"/>
  <c r="AQ75" i="13"/>
  <c r="AH75" i="13"/>
  <c r="AG75" i="13"/>
  <c r="AF75" i="13"/>
  <c r="AE75" i="13"/>
  <c r="AD75" i="13"/>
  <c r="AQ74" i="13"/>
  <c r="AH74" i="13"/>
  <c r="AG74" i="13"/>
  <c r="AF74" i="13"/>
  <c r="AE74" i="13"/>
  <c r="AD74" i="13"/>
  <c r="AQ73" i="13"/>
  <c r="AH73" i="13"/>
  <c r="AG73" i="13"/>
  <c r="AF73" i="13"/>
  <c r="AE73" i="13"/>
  <c r="AD73" i="13"/>
  <c r="AQ72" i="13"/>
  <c r="AH72" i="13"/>
  <c r="AG72" i="13"/>
  <c r="AF72" i="13"/>
  <c r="AE72" i="13"/>
  <c r="AD72" i="13"/>
  <c r="AQ71" i="13"/>
  <c r="AH71" i="13"/>
  <c r="AG71" i="13"/>
  <c r="AF71" i="13"/>
  <c r="AE71" i="13"/>
  <c r="AD71" i="13"/>
  <c r="AQ70" i="13"/>
  <c r="AH70" i="13"/>
  <c r="AG70" i="13"/>
  <c r="AF70" i="13"/>
  <c r="AE70" i="13"/>
  <c r="AD70" i="13"/>
  <c r="AQ69" i="13"/>
  <c r="AH69" i="13"/>
  <c r="AG69" i="13"/>
  <c r="AF69" i="13"/>
  <c r="AE69" i="13"/>
  <c r="AD69" i="13"/>
  <c r="AQ68" i="13"/>
  <c r="AH68" i="13"/>
  <c r="AG68" i="13"/>
  <c r="AF68" i="13"/>
  <c r="AE68" i="13"/>
  <c r="AD68" i="13"/>
  <c r="AQ67" i="13"/>
  <c r="AH67" i="13"/>
  <c r="AG67" i="13"/>
  <c r="AF67" i="13"/>
  <c r="AE67" i="13"/>
  <c r="AD67" i="13"/>
  <c r="AQ66" i="13"/>
  <c r="AH66" i="13"/>
  <c r="AG66" i="13"/>
  <c r="AF66" i="13"/>
  <c r="AE66" i="13"/>
  <c r="AD66" i="13"/>
  <c r="AQ65" i="13"/>
  <c r="AH65" i="13"/>
  <c r="AG65" i="13"/>
  <c r="AF65" i="13"/>
  <c r="AE65" i="13"/>
  <c r="AD65" i="13"/>
  <c r="AQ64" i="13"/>
  <c r="AH64" i="13"/>
  <c r="AG64" i="13"/>
  <c r="AF64" i="13"/>
  <c r="AE64" i="13"/>
  <c r="AD64" i="13"/>
  <c r="AQ62" i="13"/>
  <c r="AH62" i="13"/>
  <c r="AG62" i="13"/>
  <c r="AF62" i="13"/>
  <c r="AE62" i="13"/>
  <c r="AD62" i="13"/>
  <c r="AQ61" i="13"/>
  <c r="AH61" i="13"/>
  <c r="AG61" i="13"/>
  <c r="AF61" i="13"/>
  <c r="AE61" i="13"/>
  <c r="AD61" i="13"/>
  <c r="AQ60" i="13"/>
  <c r="AH60" i="13"/>
  <c r="AG60" i="13"/>
  <c r="AF60" i="13"/>
  <c r="AE60" i="13"/>
  <c r="AD60" i="13"/>
  <c r="AQ59" i="13"/>
  <c r="AH59" i="13"/>
  <c r="AG59" i="13"/>
  <c r="AF59" i="13"/>
  <c r="AE59" i="13"/>
  <c r="AD59" i="13"/>
  <c r="AQ58" i="13"/>
  <c r="AH58" i="13"/>
  <c r="AG58" i="13"/>
  <c r="AF58" i="13"/>
  <c r="AE58" i="13"/>
  <c r="AD58" i="13"/>
  <c r="AQ57" i="13"/>
  <c r="AH57" i="13"/>
  <c r="AG57" i="13"/>
  <c r="AF57" i="13"/>
  <c r="AE57" i="13"/>
  <c r="AD57" i="13"/>
  <c r="AQ56" i="13"/>
  <c r="AH56" i="13"/>
  <c r="AG56" i="13"/>
  <c r="AF56" i="13"/>
  <c r="AE56" i="13"/>
  <c r="AD56" i="13"/>
  <c r="AQ55" i="13"/>
  <c r="AH55" i="13"/>
  <c r="AG55" i="13"/>
  <c r="AF55" i="13"/>
  <c r="AE55" i="13"/>
  <c r="AD55" i="13"/>
  <c r="AQ54" i="13"/>
  <c r="AH54" i="13"/>
  <c r="AG54" i="13"/>
  <c r="AF54" i="13"/>
  <c r="AE54" i="13"/>
  <c r="AD54" i="13"/>
  <c r="AQ53" i="13"/>
  <c r="AH53" i="13"/>
  <c r="AG53" i="13"/>
  <c r="AF53" i="13"/>
  <c r="AE53" i="13"/>
  <c r="AD53" i="13"/>
  <c r="AQ52" i="13"/>
  <c r="AH52" i="13"/>
  <c r="AG52" i="13"/>
  <c r="AF52" i="13"/>
  <c r="AE52" i="13"/>
  <c r="AD52" i="13"/>
  <c r="AQ51" i="13"/>
  <c r="AH51" i="13"/>
  <c r="AG51" i="13"/>
  <c r="AF51" i="13"/>
  <c r="AE51" i="13"/>
  <c r="AD51" i="13"/>
  <c r="AQ50" i="13"/>
  <c r="AH50" i="13"/>
  <c r="AG50" i="13"/>
  <c r="AF50" i="13"/>
  <c r="AE50" i="13"/>
  <c r="AD50" i="13"/>
  <c r="AR49" i="13"/>
  <c r="AQ49" i="13"/>
  <c r="AH49" i="13"/>
  <c r="AG49" i="13"/>
  <c r="AF49" i="13"/>
  <c r="AE49" i="13"/>
  <c r="AD49" i="13"/>
  <c r="AR47" i="13"/>
  <c r="AQ47" i="13"/>
  <c r="AH47" i="13"/>
  <c r="AG47" i="13"/>
  <c r="AF47" i="13"/>
  <c r="AE47" i="13"/>
  <c r="AD47" i="13"/>
  <c r="AR46" i="13"/>
  <c r="AQ46" i="13"/>
  <c r="AH46" i="13"/>
  <c r="AG46" i="13"/>
  <c r="AF46" i="13"/>
  <c r="AE46" i="13"/>
  <c r="AD46" i="13"/>
  <c r="AR44" i="13"/>
  <c r="AQ44" i="13"/>
  <c r="AH44" i="13"/>
  <c r="AG44" i="13"/>
  <c r="AF44" i="13"/>
  <c r="AE44" i="13"/>
  <c r="AD44" i="13"/>
  <c r="AR43" i="13"/>
  <c r="AQ43" i="13"/>
  <c r="AH43" i="13"/>
  <c r="AG43" i="13"/>
  <c r="AF43" i="13"/>
  <c r="AE43" i="13"/>
  <c r="AD43" i="13"/>
  <c r="AR42" i="13"/>
  <c r="AQ42" i="13"/>
  <c r="AH42" i="13"/>
  <c r="AG42" i="13"/>
  <c r="AF42" i="13"/>
  <c r="AE42" i="13"/>
  <c r="AD42" i="13"/>
  <c r="AR41" i="13"/>
  <c r="AQ41" i="13"/>
  <c r="AH41" i="13"/>
  <c r="AG41" i="13"/>
  <c r="AF41" i="13"/>
  <c r="AE41" i="13"/>
  <c r="AD41" i="13"/>
  <c r="AR40" i="13"/>
  <c r="AQ40" i="13"/>
  <c r="AH40" i="13"/>
  <c r="AG40" i="13"/>
  <c r="AF40" i="13"/>
  <c r="AE40" i="13"/>
  <c r="AD40" i="13"/>
  <c r="AR39" i="13"/>
  <c r="AQ39" i="13"/>
  <c r="AH39" i="13"/>
  <c r="AG39" i="13"/>
  <c r="AF39" i="13"/>
  <c r="AE39" i="13"/>
  <c r="AD39" i="13"/>
  <c r="AR38" i="13"/>
  <c r="AQ38" i="13"/>
  <c r="AH38" i="13"/>
  <c r="AG38" i="13"/>
  <c r="AF38" i="13"/>
  <c r="AE38" i="13"/>
  <c r="AD38" i="13"/>
  <c r="AR37" i="13"/>
  <c r="AQ37" i="13"/>
  <c r="AH37" i="13"/>
  <c r="AG37" i="13"/>
  <c r="AF37" i="13"/>
  <c r="AE37" i="13"/>
  <c r="AD37" i="13"/>
  <c r="AR36" i="13"/>
  <c r="AQ36" i="13"/>
  <c r="AH36" i="13"/>
  <c r="AG36" i="13"/>
  <c r="AF36" i="13"/>
  <c r="AE36" i="13"/>
  <c r="AD36" i="13"/>
  <c r="AR35" i="13"/>
  <c r="AQ35" i="13"/>
  <c r="AH35" i="13"/>
  <c r="AG35" i="13"/>
  <c r="AF35" i="13"/>
  <c r="AE35" i="13"/>
  <c r="AD35" i="13"/>
  <c r="AR34" i="13"/>
  <c r="AQ34" i="13"/>
  <c r="AH34" i="13"/>
  <c r="AG34" i="13"/>
  <c r="AF34" i="13"/>
  <c r="AE34" i="13"/>
  <c r="AD34" i="13"/>
  <c r="AR33" i="13"/>
  <c r="AQ33" i="13"/>
  <c r="AH33" i="13"/>
  <c r="AG33" i="13"/>
  <c r="AF33" i="13"/>
  <c r="AE33" i="13"/>
  <c r="AD33" i="13"/>
  <c r="AR32" i="13"/>
  <c r="AQ32" i="13"/>
  <c r="AH32" i="13"/>
  <c r="AG32" i="13"/>
  <c r="AF32" i="13"/>
  <c r="AE32" i="13"/>
  <c r="AD32" i="13"/>
  <c r="AT76" i="13"/>
  <c r="AU76" i="13"/>
  <c r="AS75" i="13"/>
  <c r="AT75" i="13"/>
  <c r="AU75" i="13"/>
  <c r="AT74" i="13"/>
  <c r="AS74" i="13"/>
  <c r="AU73" i="13"/>
  <c r="AT72" i="13"/>
  <c r="AU72" i="13"/>
  <c r="AS71" i="13"/>
  <c r="AT71" i="13"/>
  <c r="AU71" i="13"/>
  <c r="AS70" i="13"/>
  <c r="AU70" i="13"/>
  <c r="AT68" i="13"/>
  <c r="AU68" i="13"/>
  <c r="AS67" i="13"/>
  <c r="AT67" i="13"/>
  <c r="AU67" i="13"/>
  <c r="AT66" i="13"/>
  <c r="AS66" i="13"/>
  <c r="AU65" i="13"/>
  <c r="AT64" i="13"/>
  <c r="AU64" i="13"/>
  <c r="AS63" i="13"/>
  <c r="AT62" i="13"/>
  <c r="AU62" i="13"/>
  <c r="AS61" i="13"/>
  <c r="AT61" i="13"/>
  <c r="AU61" i="13"/>
  <c r="AS60" i="13"/>
  <c r="AT59" i="13"/>
  <c r="AS59" i="13"/>
  <c r="AT58" i="13"/>
  <c r="AU58" i="13"/>
  <c r="AS57" i="13"/>
  <c r="AS56" i="13"/>
  <c r="AT55" i="13"/>
  <c r="AS55" i="13"/>
  <c r="AT54" i="13"/>
  <c r="AU54" i="13"/>
  <c r="AS53" i="13"/>
  <c r="AT53" i="13"/>
  <c r="AU53" i="13"/>
  <c r="AS52" i="13"/>
  <c r="AT51" i="13"/>
  <c r="AS48" i="13"/>
  <c r="AT50" i="13"/>
  <c r="AU50" i="13"/>
  <c r="AS49" i="13"/>
  <c r="AT49" i="13"/>
  <c r="AU49" i="13"/>
  <c r="AS47" i="13"/>
  <c r="AT47" i="13"/>
  <c r="AU47" i="13"/>
  <c r="AT46" i="13"/>
  <c r="AS46" i="13"/>
  <c r="AU45" i="13" s="1"/>
  <c r="AU46" i="13"/>
  <c r="AT45" i="13"/>
  <c r="AS45" i="13"/>
  <c r="AT44" i="13"/>
  <c r="AS44" i="13"/>
  <c r="AU44" i="13"/>
  <c r="AT43" i="13"/>
  <c r="AS43" i="13"/>
  <c r="AT42" i="13"/>
  <c r="AU42" i="13"/>
  <c r="AS41" i="13"/>
  <c r="AT41" i="13"/>
  <c r="AU41" i="13"/>
  <c r="AT40" i="13"/>
  <c r="AS40" i="13"/>
  <c r="AU40" i="13"/>
  <c r="AT39" i="13"/>
  <c r="AS39" i="13"/>
  <c r="AT38" i="13"/>
  <c r="AU38" i="13"/>
  <c r="AS37" i="13"/>
  <c r="AT37" i="13"/>
  <c r="AU37" i="13"/>
  <c r="AT36" i="13"/>
  <c r="AS36" i="13"/>
  <c r="AU36" i="13"/>
  <c r="AT35" i="13"/>
  <c r="AU35" i="13"/>
  <c r="AT31" i="13"/>
  <c r="AU34" i="13"/>
  <c r="AS33" i="13"/>
  <c r="AT33" i="13"/>
  <c r="AU33" i="13"/>
  <c r="AT32" i="13"/>
  <c r="AS32" i="13"/>
  <c r="AU32" i="13"/>
  <c r="AU31" i="13"/>
  <c r="AQ3" i="13"/>
  <c r="AR3" i="13"/>
  <c r="AQ4" i="13"/>
  <c r="AR4" i="13"/>
  <c r="AQ5" i="13"/>
  <c r="AR5" i="13"/>
  <c r="AQ6" i="13"/>
  <c r="AR6" i="13"/>
  <c r="AQ7" i="13"/>
  <c r="AR7" i="13"/>
  <c r="AQ8" i="13"/>
  <c r="AR8" i="13"/>
  <c r="AQ9" i="13"/>
  <c r="AR9" i="13"/>
  <c r="AQ10" i="13"/>
  <c r="AR10" i="13"/>
  <c r="AQ11" i="13"/>
  <c r="AR11" i="13"/>
  <c r="AQ12" i="13"/>
  <c r="AR12" i="13"/>
  <c r="AQ13" i="13"/>
  <c r="AR13" i="13"/>
  <c r="AQ14" i="13"/>
  <c r="AR14" i="13"/>
  <c r="AQ15" i="13"/>
  <c r="AR15" i="13"/>
  <c r="AQ16" i="13"/>
  <c r="AR16" i="13"/>
  <c r="AQ17" i="13"/>
  <c r="AR17" i="13"/>
  <c r="AQ18" i="13"/>
  <c r="AR18" i="13"/>
  <c r="AQ19" i="13"/>
  <c r="AR19" i="13"/>
  <c r="AQ20" i="13"/>
  <c r="AR20" i="13"/>
  <c r="AQ21" i="13"/>
  <c r="AR21" i="13"/>
  <c r="AQ22" i="13"/>
  <c r="AR22" i="13"/>
  <c r="AQ23" i="13"/>
  <c r="AR23" i="13"/>
  <c r="AQ24" i="13"/>
  <c r="AR24" i="13"/>
  <c r="AQ25" i="13"/>
  <c r="AR25" i="13"/>
  <c r="AQ26" i="13"/>
  <c r="AR26" i="13"/>
  <c r="AQ27" i="13"/>
  <c r="AR27" i="13"/>
  <c r="AQ28" i="13"/>
  <c r="AR28" i="13"/>
  <c r="AQ29" i="13"/>
  <c r="AR29" i="13"/>
  <c r="AQ30" i="13"/>
  <c r="AR30" i="13"/>
  <c r="AR2" i="13"/>
  <c r="AQ2" i="13"/>
  <c r="AL75" i="13"/>
  <c r="AK75" i="13"/>
  <c r="AM74" i="13"/>
  <c r="AL74" i="13"/>
  <c r="AI74" i="13"/>
  <c r="AM73" i="13"/>
  <c r="AJ73" i="13"/>
  <c r="AI73" i="13"/>
  <c r="AK72" i="13"/>
  <c r="AK71" i="13"/>
  <c r="AL70" i="13"/>
  <c r="AM69" i="13"/>
  <c r="AL68" i="13"/>
  <c r="AL67" i="13"/>
  <c r="AK67" i="13"/>
  <c r="AL66" i="13"/>
  <c r="AI66" i="13"/>
  <c r="AM65" i="13"/>
  <c r="AJ65" i="13"/>
  <c r="AJ64" i="13"/>
  <c r="AL62" i="13"/>
  <c r="AL61" i="13"/>
  <c r="AK60" i="13"/>
  <c r="AK58" i="13"/>
  <c r="AL57" i="13"/>
  <c r="AK56" i="13"/>
  <c r="AK54" i="13"/>
  <c r="AL53" i="13"/>
  <c r="AK52" i="13"/>
  <c r="AK48" i="13"/>
  <c r="AL48" i="13"/>
  <c r="AM45" i="13"/>
  <c r="AK47" i="13"/>
  <c r="AI47" i="13"/>
  <c r="AJ45" i="13"/>
  <c r="AL44" i="13"/>
  <c r="AK44" i="13"/>
  <c r="AL43" i="13"/>
  <c r="AI43" i="13"/>
  <c r="AK42" i="13"/>
  <c r="AI42" i="13"/>
  <c r="AJ41" i="13"/>
  <c r="AL40" i="13"/>
  <c r="AK40" i="13"/>
  <c r="AL39" i="13"/>
  <c r="AI39" i="13"/>
  <c r="AK38" i="13"/>
  <c r="AI38" i="13"/>
  <c r="AK37" i="13"/>
  <c r="AM36" i="13"/>
  <c r="AK36" i="13"/>
  <c r="AM35" i="13"/>
  <c r="AL35" i="13"/>
  <c r="AM31" i="13"/>
  <c r="AI34" i="13"/>
  <c r="AK33" i="13"/>
  <c r="AM32" i="13"/>
  <c r="AK32" i="13"/>
  <c r="AD3" i="13"/>
  <c r="AE3" i="13"/>
  <c r="AF3" i="13"/>
  <c r="AG3" i="13"/>
  <c r="AH3" i="13"/>
  <c r="AD4" i="13"/>
  <c r="AE4" i="13"/>
  <c r="AF4" i="13"/>
  <c r="AG4" i="13"/>
  <c r="AH4" i="13"/>
  <c r="AD5" i="13"/>
  <c r="AE5" i="13"/>
  <c r="AF5" i="13"/>
  <c r="AG5" i="13"/>
  <c r="AH5" i="13"/>
  <c r="AD6" i="13"/>
  <c r="AE6" i="13"/>
  <c r="AF6" i="13"/>
  <c r="AG6" i="13"/>
  <c r="AH6" i="13"/>
  <c r="AD7" i="13"/>
  <c r="AE7" i="13"/>
  <c r="AF7" i="13"/>
  <c r="AG7" i="13"/>
  <c r="AH7" i="13"/>
  <c r="AD8" i="13"/>
  <c r="AE8" i="13"/>
  <c r="AF8" i="13"/>
  <c r="AG8" i="13"/>
  <c r="AH8" i="13"/>
  <c r="AD9" i="13"/>
  <c r="AE9" i="13"/>
  <c r="AF9" i="13"/>
  <c r="AG9" i="13"/>
  <c r="AH9" i="13"/>
  <c r="AD10" i="13"/>
  <c r="AE10" i="13"/>
  <c r="AF10" i="13"/>
  <c r="AG10" i="13"/>
  <c r="AH10" i="13"/>
  <c r="AD11" i="13"/>
  <c r="AE11" i="13"/>
  <c r="AF11" i="13"/>
  <c r="AG11" i="13"/>
  <c r="AH11" i="13"/>
  <c r="AD12" i="13"/>
  <c r="AE12" i="13"/>
  <c r="AF12" i="13"/>
  <c r="AG12" i="13"/>
  <c r="AH12" i="13"/>
  <c r="AD13" i="13"/>
  <c r="AE13" i="13"/>
  <c r="AF13" i="13"/>
  <c r="AG13" i="13"/>
  <c r="AH13" i="13"/>
  <c r="AD14" i="13"/>
  <c r="AE14" i="13"/>
  <c r="AF14" i="13"/>
  <c r="AG14" i="13"/>
  <c r="AH14" i="13"/>
  <c r="AD15" i="13"/>
  <c r="AE15" i="13"/>
  <c r="AF15" i="13"/>
  <c r="AG15" i="13"/>
  <c r="AH15" i="13"/>
  <c r="AD16" i="13"/>
  <c r="AE16" i="13"/>
  <c r="AF16" i="13"/>
  <c r="AG16" i="13"/>
  <c r="AH16" i="13"/>
  <c r="AD17" i="13"/>
  <c r="AE17" i="13"/>
  <c r="AF17" i="13"/>
  <c r="AG17" i="13"/>
  <c r="AH17" i="13"/>
  <c r="AD18" i="13"/>
  <c r="AE18" i="13"/>
  <c r="AF18" i="13"/>
  <c r="AG18" i="13"/>
  <c r="AH18" i="13"/>
  <c r="AD19" i="13"/>
  <c r="AE19" i="13"/>
  <c r="AF19" i="13"/>
  <c r="AG19" i="13"/>
  <c r="AH19" i="13"/>
  <c r="AD20" i="13"/>
  <c r="AE20" i="13"/>
  <c r="AF20" i="13"/>
  <c r="AG20" i="13"/>
  <c r="AH20" i="13"/>
  <c r="AD21" i="13"/>
  <c r="AE21" i="13"/>
  <c r="AF21" i="13"/>
  <c r="AG21" i="13"/>
  <c r="AH21" i="13"/>
  <c r="AD22" i="13"/>
  <c r="AE22" i="13"/>
  <c r="AF22" i="13"/>
  <c r="AG22" i="13"/>
  <c r="AH22" i="13"/>
  <c r="AD23" i="13"/>
  <c r="AE23" i="13"/>
  <c r="AF23" i="13"/>
  <c r="AG23" i="13"/>
  <c r="AH23" i="13"/>
  <c r="AD24" i="13"/>
  <c r="AE24" i="13"/>
  <c r="AF24" i="13"/>
  <c r="AG24" i="13"/>
  <c r="AH24" i="13"/>
  <c r="AD25" i="13"/>
  <c r="AE25" i="13"/>
  <c r="AF25" i="13"/>
  <c r="AG25" i="13"/>
  <c r="AH25" i="13"/>
  <c r="AD26" i="13"/>
  <c r="AE26" i="13"/>
  <c r="AF26" i="13"/>
  <c r="AG26" i="13"/>
  <c r="AH26" i="13"/>
  <c r="AD27" i="13"/>
  <c r="AE27" i="13"/>
  <c r="AF27" i="13"/>
  <c r="AG27" i="13"/>
  <c r="AH27" i="13"/>
  <c r="AD28" i="13"/>
  <c r="AE28" i="13"/>
  <c r="AF28" i="13"/>
  <c r="AG28" i="13"/>
  <c r="AH28" i="13"/>
  <c r="AD29" i="13"/>
  <c r="AE29" i="13"/>
  <c r="AF29" i="13"/>
  <c r="AG29" i="13"/>
  <c r="AH29" i="13"/>
  <c r="AD30" i="13"/>
  <c r="AE30" i="13"/>
  <c r="AF30" i="13"/>
  <c r="AG30" i="13"/>
  <c r="AH30" i="13"/>
  <c r="AH2" i="13"/>
  <c r="AG2" i="13"/>
  <c r="AF2" i="13"/>
  <c r="AE2" i="13"/>
  <c r="AD2" i="13"/>
  <c r="T76" i="13"/>
  <c r="S76" i="13"/>
  <c r="T75" i="13"/>
  <c r="S75" i="13"/>
  <c r="T74" i="13"/>
  <c r="S74" i="13"/>
  <c r="T73" i="13"/>
  <c r="S73" i="13"/>
  <c r="T72" i="13"/>
  <c r="S72" i="13"/>
  <c r="T71" i="13"/>
  <c r="S71" i="13"/>
  <c r="T70" i="13"/>
  <c r="S70" i="13"/>
  <c r="T69" i="13"/>
  <c r="S69" i="13"/>
  <c r="T68" i="13"/>
  <c r="S68" i="13"/>
  <c r="T67" i="13"/>
  <c r="S67" i="13"/>
  <c r="T66" i="13"/>
  <c r="S66" i="13"/>
  <c r="T65" i="13"/>
  <c r="S65" i="13"/>
  <c r="T64" i="13"/>
  <c r="S64" i="13"/>
  <c r="T62" i="13"/>
  <c r="S62" i="13"/>
  <c r="T61" i="13"/>
  <c r="S61" i="13"/>
  <c r="T60" i="13"/>
  <c r="S60" i="13"/>
  <c r="T59" i="13"/>
  <c r="S59" i="13"/>
  <c r="T58" i="13"/>
  <c r="S58" i="13"/>
  <c r="T57" i="13"/>
  <c r="S57" i="13"/>
  <c r="T56" i="13"/>
  <c r="S56" i="13"/>
  <c r="T55" i="13"/>
  <c r="S55" i="13"/>
  <c r="T54" i="13"/>
  <c r="S54" i="13"/>
  <c r="T53" i="13"/>
  <c r="S53" i="13"/>
  <c r="T52" i="13"/>
  <c r="S52" i="13"/>
  <c r="T51" i="13"/>
  <c r="S51" i="13"/>
  <c r="T50" i="13"/>
  <c r="S50" i="13"/>
  <c r="T49" i="13"/>
  <c r="S49" i="13"/>
  <c r="T47" i="13"/>
  <c r="S47" i="13"/>
  <c r="T46" i="13"/>
  <c r="S46" i="13"/>
  <c r="I76" i="13"/>
  <c r="I75" i="13"/>
  <c r="I74" i="13"/>
  <c r="I73" i="13"/>
  <c r="I72" i="13"/>
  <c r="I71" i="13"/>
  <c r="I70" i="13"/>
  <c r="I69" i="13"/>
  <c r="L69" i="13" s="1"/>
  <c r="I68" i="13"/>
  <c r="I67" i="13"/>
  <c r="I66" i="13"/>
  <c r="I65" i="13"/>
  <c r="L63" i="13" s="1"/>
  <c r="I64" i="13"/>
  <c r="I62" i="13"/>
  <c r="I61" i="13"/>
  <c r="I60" i="13"/>
  <c r="I59" i="13"/>
  <c r="I58" i="13"/>
  <c r="I57" i="13"/>
  <c r="I56" i="13"/>
  <c r="L56" i="13" s="1"/>
  <c r="I55" i="13"/>
  <c r="I54" i="13"/>
  <c r="I53" i="13"/>
  <c r="I52" i="13"/>
  <c r="I51" i="13"/>
  <c r="I50" i="13"/>
  <c r="I49" i="13"/>
  <c r="I47" i="13"/>
  <c r="L45" i="13" s="1"/>
  <c r="H76" i="13"/>
  <c r="H75" i="13"/>
  <c r="H74" i="13"/>
  <c r="H73" i="13"/>
  <c r="H72" i="13"/>
  <c r="H71" i="13"/>
  <c r="H70" i="13"/>
  <c r="H69" i="13"/>
  <c r="H68" i="13"/>
  <c r="H67" i="13"/>
  <c r="H66" i="13"/>
  <c r="H65" i="13"/>
  <c r="H64" i="13"/>
  <c r="H62" i="13"/>
  <c r="H61" i="13"/>
  <c r="H60" i="13"/>
  <c r="H59" i="13"/>
  <c r="H58" i="13"/>
  <c r="H57" i="13"/>
  <c r="H56" i="13"/>
  <c r="H55" i="13"/>
  <c r="H54" i="13"/>
  <c r="H53" i="13"/>
  <c r="H52" i="13"/>
  <c r="H51" i="13"/>
  <c r="H50" i="13"/>
  <c r="H49" i="13"/>
  <c r="H47" i="13"/>
  <c r="T44" i="13"/>
  <c r="S44" i="13"/>
  <c r="T43" i="13"/>
  <c r="S43" i="13"/>
  <c r="T42" i="13"/>
  <c r="S42" i="13"/>
  <c r="T41" i="13"/>
  <c r="S41" i="13"/>
  <c r="T40" i="13"/>
  <c r="S40" i="13"/>
  <c r="T39" i="13"/>
  <c r="S39" i="13"/>
  <c r="T38" i="13"/>
  <c r="S38" i="13"/>
  <c r="T37" i="13"/>
  <c r="S37" i="13"/>
  <c r="T36" i="13"/>
  <c r="S36" i="13"/>
  <c r="T35" i="13"/>
  <c r="S35" i="13"/>
  <c r="T34" i="13"/>
  <c r="S34" i="13"/>
  <c r="T33" i="13"/>
  <c r="S33" i="13"/>
  <c r="T32" i="13"/>
  <c r="S32" i="13"/>
  <c r="K75" i="13"/>
  <c r="K71" i="13"/>
  <c r="K69" i="13"/>
  <c r="K65" i="13"/>
  <c r="K62" i="13"/>
  <c r="K60" i="13"/>
  <c r="K58" i="13"/>
  <c r="K54" i="13"/>
  <c r="K45" i="13"/>
  <c r="I46" i="13"/>
  <c r="H46" i="13"/>
  <c r="I44" i="13"/>
  <c r="H44" i="13"/>
  <c r="K44" i="13" s="1"/>
  <c r="I43" i="13"/>
  <c r="H43" i="13"/>
  <c r="I42" i="13"/>
  <c r="H42" i="13"/>
  <c r="K42" i="13" s="1"/>
  <c r="I41" i="13"/>
  <c r="H41" i="13"/>
  <c r="I40" i="13"/>
  <c r="H40" i="13"/>
  <c r="I39" i="13"/>
  <c r="H39" i="13"/>
  <c r="I38" i="13"/>
  <c r="H38" i="13"/>
  <c r="K38" i="13" s="1"/>
  <c r="I37" i="13"/>
  <c r="H37" i="13"/>
  <c r="I36" i="13"/>
  <c r="H36" i="13"/>
  <c r="K36" i="13" s="1"/>
  <c r="I35" i="13"/>
  <c r="H35" i="13"/>
  <c r="I34" i="13"/>
  <c r="H34" i="13"/>
  <c r="K34" i="13" s="1"/>
  <c r="I33" i="13"/>
  <c r="H33" i="13"/>
  <c r="L31" i="13"/>
  <c r="L40" i="13"/>
  <c r="L41" i="13"/>
  <c r="L42" i="13"/>
  <c r="L43" i="13"/>
  <c r="L50" i="13"/>
  <c r="L58" i="13"/>
  <c r="L60" i="13"/>
  <c r="K61" i="13"/>
  <c r="M59" i="13"/>
  <c r="M55" i="13"/>
  <c r="K53" i="13"/>
  <c r="K51" i="13"/>
  <c r="K49" i="13"/>
  <c r="M41" i="13"/>
  <c r="K39" i="13"/>
  <c r="M37" i="13"/>
  <c r="K35" i="13"/>
  <c r="M33" i="13"/>
  <c r="W76" i="13"/>
  <c r="W68" i="13"/>
  <c r="W64" i="13"/>
  <c r="I32" i="13"/>
  <c r="H32" i="13"/>
  <c r="R43" i="13"/>
  <c r="G43" i="13"/>
  <c r="J31" i="13" s="1"/>
  <c r="U31" i="13"/>
  <c r="R3" i="13"/>
  <c r="S3" i="13"/>
  <c r="T3" i="13"/>
  <c r="R4" i="13"/>
  <c r="R40" i="13" s="1"/>
  <c r="U40" i="13" s="1"/>
  <c r="S4" i="13"/>
  <c r="T4" i="13"/>
  <c r="R5" i="13"/>
  <c r="S5" i="13"/>
  <c r="T5" i="13"/>
  <c r="R6" i="13"/>
  <c r="S6" i="13"/>
  <c r="T6" i="13"/>
  <c r="R7" i="13"/>
  <c r="S7" i="13"/>
  <c r="T7" i="13"/>
  <c r="R8" i="13"/>
  <c r="R41" i="13" s="1"/>
  <c r="S8" i="13"/>
  <c r="T8" i="13"/>
  <c r="R9" i="13"/>
  <c r="R68" i="13" s="1"/>
  <c r="S9" i="13"/>
  <c r="AI68" i="13" s="1"/>
  <c r="T9" i="13"/>
  <c r="R10" i="13"/>
  <c r="S10" i="13"/>
  <c r="T10" i="13"/>
  <c r="R11" i="13"/>
  <c r="S11" i="13"/>
  <c r="T11" i="13"/>
  <c r="R12" i="13"/>
  <c r="R74" i="13" s="1"/>
  <c r="U74" i="13" s="1"/>
  <c r="S12" i="13"/>
  <c r="T12" i="13"/>
  <c r="R13" i="13"/>
  <c r="S13" i="13"/>
  <c r="T13" i="13"/>
  <c r="R14" i="13"/>
  <c r="S14" i="13"/>
  <c r="T14" i="13"/>
  <c r="R15" i="13"/>
  <c r="S15" i="13"/>
  <c r="T15" i="13"/>
  <c r="R16" i="13"/>
  <c r="R58" i="13" s="1"/>
  <c r="U58" i="13" s="1"/>
  <c r="S16" i="13"/>
  <c r="T16" i="13"/>
  <c r="R17" i="13"/>
  <c r="S17" i="13"/>
  <c r="T17" i="13"/>
  <c r="R18" i="13"/>
  <c r="R75" i="13" s="1"/>
  <c r="U75" i="13" s="1"/>
  <c r="S18" i="13"/>
  <c r="T18" i="13"/>
  <c r="AJ75" i="13" s="1"/>
  <c r="R19" i="13"/>
  <c r="S19" i="13"/>
  <c r="T19" i="13"/>
  <c r="R20" i="13"/>
  <c r="R70" i="13" s="1"/>
  <c r="U70" i="13" s="1"/>
  <c r="S20" i="13"/>
  <c r="T20" i="13"/>
  <c r="R21" i="13"/>
  <c r="R51" i="13" s="1"/>
  <c r="S21" i="13"/>
  <c r="T21" i="13"/>
  <c r="R22" i="13"/>
  <c r="S22" i="13"/>
  <c r="T22" i="13"/>
  <c r="R23" i="13"/>
  <c r="S23" i="13"/>
  <c r="T23" i="13"/>
  <c r="R24" i="13"/>
  <c r="R55" i="13" s="1"/>
  <c r="S24" i="13"/>
  <c r="T24" i="13"/>
  <c r="R25" i="13"/>
  <c r="R64" i="13" s="1"/>
  <c r="S25" i="13"/>
  <c r="AI64" i="13" s="1"/>
  <c r="T25" i="13"/>
  <c r="R26" i="13"/>
  <c r="S26" i="13"/>
  <c r="T26" i="13"/>
  <c r="R27" i="13"/>
  <c r="S27" i="13"/>
  <c r="AI76" i="13" s="1"/>
  <c r="T27" i="13"/>
  <c r="R28" i="13"/>
  <c r="U43" i="13" s="1"/>
  <c r="S28" i="13"/>
  <c r="T28" i="13"/>
  <c r="R29" i="13"/>
  <c r="R71" i="13" s="1"/>
  <c r="U71" i="13" s="1"/>
  <c r="S29" i="13"/>
  <c r="T29" i="13"/>
  <c r="R30" i="13"/>
  <c r="R35" i="13" s="1"/>
  <c r="U35" i="13" s="1"/>
  <c r="S30" i="13"/>
  <c r="T30" i="13"/>
  <c r="U76" i="13"/>
  <c r="R76" i="13"/>
  <c r="R73" i="13"/>
  <c r="U73" i="13" s="1"/>
  <c r="R72" i="13"/>
  <c r="U67" i="13"/>
  <c r="R67" i="13"/>
  <c r="U66" i="13"/>
  <c r="R66" i="13"/>
  <c r="R65" i="13"/>
  <c r="U65" i="13" s="1"/>
  <c r="R62" i="13"/>
  <c r="U62" i="13" s="1"/>
  <c r="R59" i="13"/>
  <c r="U53" i="13"/>
  <c r="R53" i="13"/>
  <c r="R52" i="13"/>
  <c r="U52" i="13" s="1"/>
  <c r="U50" i="13"/>
  <c r="R50" i="13"/>
  <c r="R49" i="13"/>
  <c r="U49" i="13" s="1"/>
  <c r="R47" i="13"/>
  <c r="U47" i="13" s="1"/>
  <c r="R46" i="13"/>
  <c r="U44" i="13"/>
  <c r="R44" i="13"/>
  <c r="R42" i="13"/>
  <c r="U42" i="13" s="1"/>
  <c r="R39" i="13"/>
  <c r="U39" i="13" s="1"/>
  <c r="R38" i="13"/>
  <c r="U38" i="13" s="1"/>
  <c r="U37" i="13"/>
  <c r="R37" i="13"/>
  <c r="R36" i="13"/>
  <c r="U36" i="13" s="1"/>
  <c r="R34" i="13"/>
  <c r="U34" i="13" s="1"/>
  <c r="R33" i="13"/>
  <c r="U32" i="13"/>
  <c r="R32" i="13"/>
  <c r="AM76" i="13"/>
  <c r="AL76" i="13"/>
  <c r="AK76" i="13"/>
  <c r="AJ76" i="13"/>
  <c r="AM75" i="13"/>
  <c r="AI75" i="13"/>
  <c r="AK74" i="13"/>
  <c r="AJ74" i="13"/>
  <c r="AL73" i="13"/>
  <c r="AK73" i="13"/>
  <c r="AL72" i="13"/>
  <c r="AM72" i="13"/>
  <c r="AI72" i="13"/>
  <c r="AL71" i="13"/>
  <c r="AM71" i="13"/>
  <c r="AJ71" i="13"/>
  <c r="AM70" i="13"/>
  <c r="AK70" i="13"/>
  <c r="AJ70" i="13"/>
  <c r="AI70" i="13"/>
  <c r="AL69" i="13"/>
  <c r="AK69" i="13"/>
  <c r="AJ69" i="13"/>
  <c r="AI69" i="13"/>
  <c r="AM68" i="13"/>
  <c r="AK68" i="13"/>
  <c r="AJ68" i="13"/>
  <c r="AM67" i="13"/>
  <c r="AJ67" i="13"/>
  <c r="AM66" i="13"/>
  <c r="AK66" i="13"/>
  <c r="AJ66" i="13"/>
  <c r="AL65" i="13"/>
  <c r="AK65" i="13"/>
  <c r="AL64" i="13"/>
  <c r="AM64" i="13"/>
  <c r="AK63" i="13"/>
  <c r="AM62" i="13"/>
  <c r="AK62" i="13"/>
  <c r="AJ62" i="13"/>
  <c r="AI62" i="13"/>
  <c r="AM61" i="13"/>
  <c r="AK61" i="13"/>
  <c r="AI61" i="13"/>
  <c r="AM60" i="13"/>
  <c r="AL60" i="13"/>
  <c r="AJ60" i="13"/>
  <c r="AI60" i="13"/>
  <c r="AM59" i="13"/>
  <c r="AK59" i="13"/>
  <c r="AL59" i="13"/>
  <c r="AJ59" i="13"/>
  <c r="AI59" i="13"/>
  <c r="AM58" i="13"/>
  <c r="AL58" i="13"/>
  <c r="AJ58" i="13"/>
  <c r="AI58" i="13"/>
  <c r="AM57" i="13"/>
  <c r="AK57" i="13"/>
  <c r="AJ57" i="13"/>
  <c r="AI57" i="13"/>
  <c r="AM56" i="13"/>
  <c r="AL56" i="13"/>
  <c r="AJ56" i="13"/>
  <c r="AI56" i="13"/>
  <c r="AM55" i="13"/>
  <c r="AK55" i="13"/>
  <c r="AL55" i="13"/>
  <c r="AJ55" i="13"/>
  <c r="AI55" i="13"/>
  <c r="AM54" i="13"/>
  <c r="AL54" i="13"/>
  <c r="AJ54" i="13"/>
  <c r="AI54" i="13"/>
  <c r="AM53" i="13"/>
  <c r="AK53" i="13"/>
  <c r="AJ53" i="13"/>
  <c r="AI53" i="13"/>
  <c r="AM52" i="13"/>
  <c r="AL52" i="13"/>
  <c r="AJ52" i="13"/>
  <c r="AI52" i="13"/>
  <c r="AM51" i="13"/>
  <c r="AK51" i="13"/>
  <c r="AL51" i="13"/>
  <c r="AJ51" i="13"/>
  <c r="AI51" i="13"/>
  <c r="AM50" i="13"/>
  <c r="AL50" i="13"/>
  <c r="AJ50" i="13"/>
  <c r="AI50" i="13"/>
  <c r="AM49" i="13"/>
  <c r="AK49" i="13"/>
  <c r="AJ49" i="13"/>
  <c r="AI49" i="13"/>
  <c r="AM48" i="13"/>
  <c r="AL47" i="13"/>
  <c r="AJ47" i="13"/>
  <c r="AM47" i="13"/>
  <c r="AL46" i="13"/>
  <c r="AJ46" i="13"/>
  <c r="AK46" i="13"/>
  <c r="AL45" i="13"/>
  <c r="AM44" i="13"/>
  <c r="AI44" i="13"/>
  <c r="AJ44" i="13"/>
  <c r="AM43" i="13"/>
  <c r="AK43" i="13"/>
  <c r="AJ43" i="13"/>
  <c r="AM42" i="13"/>
  <c r="AL42" i="13"/>
  <c r="AJ42" i="13"/>
  <c r="AM41" i="13"/>
  <c r="AK41" i="13"/>
  <c r="AI41" i="13"/>
  <c r="AL41" i="13"/>
  <c r="AM40" i="13"/>
  <c r="AI40" i="13"/>
  <c r="AJ40" i="13"/>
  <c r="AM39" i="13"/>
  <c r="AK39" i="13"/>
  <c r="AJ39" i="13"/>
  <c r="AM38" i="13"/>
  <c r="AL38" i="13"/>
  <c r="AM37" i="13"/>
  <c r="AI37" i="13"/>
  <c r="AL37" i="13"/>
  <c r="AJ37" i="13"/>
  <c r="AI36" i="13"/>
  <c r="AL36" i="13"/>
  <c r="AJ36" i="13"/>
  <c r="AK35" i="13"/>
  <c r="AI35" i="13"/>
  <c r="AJ35" i="13"/>
  <c r="AK34" i="13"/>
  <c r="AL34" i="13"/>
  <c r="AJ34" i="13"/>
  <c r="AM33" i="13"/>
  <c r="AI33" i="13"/>
  <c r="AL33" i="13"/>
  <c r="AJ33" i="13"/>
  <c r="AI32" i="13"/>
  <c r="AL31" i="13"/>
  <c r="AJ32" i="13"/>
  <c r="AI31" i="13"/>
  <c r="G76" i="13"/>
  <c r="G75" i="13"/>
  <c r="G74" i="13"/>
  <c r="G73" i="13"/>
  <c r="G72" i="13"/>
  <c r="G71" i="13"/>
  <c r="G70" i="13"/>
  <c r="G69" i="13"/>
  <c r="G68" i="13"/>
  <c r="G67" i="13"/>
  <c r="G66" i="13"/>
  <c r="G65" i="13"/>
  <c r="G64" i="13"/>
  <c r="G62" i="13"/>
  <c r="G61" i="13"/>
  <c r="G60" i="13"/>
  <c r="G59" i="13"/>
  <c r="G58" i="13"/>
  <c r="G57" i="13"/>
  <c r="G56" i="13"/>
  <c r="G55" i="13"/>
  <c r="G54" i="13"/>
  <c r="G53" i="13"/>
  <c r="G52" i="13"/>
  <c r="G51" i="13"/>
  <c r="G50" i="13"/>
  <c r="G49" i="13"/>
  <c r="G47" i="13"/>
  <c r="G46" i="13"/>
  <c r="G44" i="13"/>
  <c r="G42" i="13"/>
  <c r="G41" i="13"/>
  <c r="G40" i="13"/>
  <c r="G39" i="13"/>
  <c r="G38" i="13"/>
  <c r="G37" i="13"/>
  <c r="G36" i="13"/>
  <c r="G35" i="13"/>
  <c r="G34" i="13"/>
  <c r="G33" i="13"/>
  <c r="G32" i="13"/>
  <c r="L75" i="13"/>
  <c r="J73" i="13"/>
  <c r="L71" i="13"/>
  <c r="K70" i="13"/>
  <c r="K66" i="13"/>
  <c r="J65" i="13"/>
  <c r="L62" i="13"/>
  <c r="J60" i="13"/>
  <c r="K57" i="13"/>
  <c r="J56" i="13"/>
  <c r="L54" i="13"/>
  <c r="J52" i="13"/>
  <c r="K43" i="13"/>
  <c r="J42" i="13"/>
  <c r="J38" i="13"/>
  <c r="L36" i="13"/>
  <c r="L76" i="13"/>
  <c r="K76" i="13"/>
  <c r="J76" i="13"/>
  <c r="M76" i="13"/>
  <c r="V76" i="13" s="1"/>
  <c r="J75" i="13"/>
  <c r="L74" i="13"/>
  <c r="J74" i="13"/>
  <c r="K74" i="13"/>
  <c r="L73" i="13"/>
  <c r="K73" i="13"/>
  <c r="L72" i="13"/>
  <c r="K72" i="13"/>
  <c r="J72" i="13"/>
  <c r="M72" i="13"/>
  <c r="V72" i="13" s="1"/>
  <c r="J71" i="13"/>
  <c r="L70" i="13"/>
  <c r="J70" i="13"/>
  <c r="J69" i="13"/>
  <c r="L68" i="13"/>
  <c r="K68" i="13"/>
  <c r="J68" i="13"/>
  <c r="M68" i="13"/>
  <c r="V68" i="13" s="1"/>
  <c r="K67" i="13"/>
  <c r="J67" i="13"/>
  <c r="L66" i="13"/>
  <c r="J66" i="13"/>
  <c r="L64" i="13"/>
  <c r="K64" i="13"/>
  <c r="J64" i="13"/>
  <c r="M64" i="13"/>
  <c r="V64" i="13" s="1"/>
  <c r="J62" i="13"/>
  <c r="L61" i="13"/>
  <c r="J61" i="13"/>
  <c r="L59" i="13"/>
  <c r="K59" i="13"/>
  <c r="J59" i="13"/>
  <c r="J58" i="13"/>
  <c r="L57" i="13"/>
  <c r="J57" i="13"/>
  <c r="K56" i="13"/>
  <c r="L55" i="13"/>
  <c r="J55" i="13"/>
  <c r="J54" i="13"/>
  <c r="L53" i="13"/>
  <c r="J53" i="13"/>
  <c r="L52" i="13"/>
  <c r="K52" i="13"/>
  <c r="L51" i="13"/>
  <c r="J51" i="13"/>
  <c r="M51" i="13"/>
  <c r="W51" i="13" s="1"/>
  <c r="K50" i="13"/>
  <c r="J50" i="13"/>
  <c r="L49" i="13"/>
  <c r="J49" i="13"/>
  <c r="J46" i="13"/>
  <c r="J44" i="13"/>
  <c r="L44" i="13"/>
  <c r="J43" i="13"/>
  <c r="K41" i="13"/>
  <c r="J41" i="13"/>
  <c r="K40" i="13"/>
  <c r="J40" i="13"/>
  <c r="L39" i="13"/>
  <c r="J39" i="13"/>
  <c r="L38" i="13"/>
  <c r="L37" i="13"/>
  <c r="J37" i="13"/>
  <c r="J36" i="13"/>
  <c r="L35" i="13"/>
  <c r="J35" i="13"/>
  <c r="L34" i="13"/>
  <c r="J34" i="13"/>
  <c r="L33" i="13"/>
  <c r="J33" i="13"/>
  <c r="K32" i="13"/>
  <c r="J32" i="13"/>
  <c r="L32" i="13"/>
  <c r="G3" i="13"/>
  <c r="H3" i="13"/>
  <c r="I3" i="13"/>
  <c r="G4" i="13"/>
  <c r="H4" i="13"/>
  <c r="I4" i="13"/>
  <c r="G5" i="13"/>
  <c r="H5" i="13"/>
  <c r="I5" i="13"/>
  <c r="G6" i="13"/>
  <c r="H6" i="13"/>
  <c r="I6" i="13"/>
  <c r="G7" i="13"/>
  <c r="H7" i="13"/>
  <c r="I7" i="13"/>
  <c r="G8" i="13"/>
  <c r="H8" i="13"/>
  <c r="I8" i="13"/>
  <c r="G9" i="13"/>
  <c r="H9" i="13"/>
  <c r="I9" i="13"/>
  <c r="G10" i="13"/>
  <c r="H10" i="13"/>
  <c r="I10" i="13"/>
  <c r="G11" i="13"/>
  <c r="H11" i="13"/>
  <c r="I11" i="13"/>
  <c r="G12" i="13"/>
  <c r="H12" i="13"/>
  <c r="I12" i="13"/>
  <c r="G13" i="13"/>
  <c r="H13" i="13"/>
  <c r="I13" i="13"/>
  <c r="G14" i="13"/>
  <c r="H14" i="13"/>
  <c r="I14" i="13"/>
  <c r="G15" i="13"/>
  <c r="H15" i="13"/>
  <c r="I15" i="13"/>
  <c r="G16" i="13"/>
  <c r="H16" i="13"/>
  <c r="I16" i="13"/>
  <c r="G17" i="13"/>
  <c r="H17" i="13"/>
  <c r="I17" i="13"/>
  <c r="G18" i="13"/>
  <c r="H18" i="13"/>
  <c r="I18" i="13"/>
  <c r="G19" i="13"/>
  <c r="H19" i="13"/>
  <c r="I19" i="13"/>
  <c r="G20" i="13"/>
  <c r="H20" i="13"/>
  <c r="I20" i="13"/>
  <c r="G21" i="13"/>
  <c r="H21" i="13"/>
  <c r="I21" i="13"/>
  <c r="G22" i="13"/>
  <c r="H22" i="13"/>
  <c r="I22" i="13"/>
  <c r="G23" i="13"/>
  <c r="H23" i="13"/>
  <c r="I23" i="13"/>
  <c r="G24" i="13"/>
  <c r="H24" i="13"/>
  <c r="I24" i="13"/>
  <c r="G25" i="13"/>
  <c r="H25" i="13"/>
  <c r="I25" i="13"/>
  <c r="G26" i="13"/>
  <c r="H26" i="13"/>
  <c r="I26" i="13"/>
  <c r="G27" i="13"/>
  <c r="H27" i="13"/>
  <c r="I27" i="13"/>
  <c r="G28" i="13"/>
  <c r="H28" i="13"/>
  <c r="I28" i="13"/>
  <c r="G29" i="13"/>
  <c r="H29" i="13"/>
  <c r="I29" i="13"/>
  <c r="G30" i="13"/>
  <c r="H30" i="13"/>
  <c r="I30" i="13"/>
  <c r="T2" i="13"/>
  <c r="I2" i="13"/>
  <c r="L3" i="9"/>
  <c r="M3" i="9"/>
  <c r="L4" i="9"/>
  <c r="M4" i="9"/>
  <c r="L5" i="9"/>
  <c r="M5" i="9"/>
  <c r="L6" i="9"/>
  <c r="M6" i="9"/>
  <c r="L7" i="9"/>
  <c r="M7" i="9"/>
  <c r="L8" i="9"/>
  <c r="M8" i="9"/>
  <c r="L9" i="9"/>
  <c r="M9" i="9"/>
  <c r="L10" i="9"/>
  <c r="M10" i="9"/>
  <c r="L11" i="9"/>
  <c r="M11" i="9"/>
  <c r="L12" i="9"/>
  <c r="M12" i="9"/>
  <c r="L13" i="9"/>
  <c r="M13" i="9"/>
  <c r="L14" i="9"/>
  <c r="M14" i="9"/>
  <c r="L15" i="9"/>
  <c r="M15" i="9"/>
  <c r="L16" i="9"/>
  <c r="M16" i="9"/>
  <c r="L17" i="9"/>
  <c r="M17" i="9"/>
  <c r="L18" i="9"/>
  <c r="M18" i="9"/>
  <c r="L19" i="9"/>
  <c r="M19" i="9"/>
  <c r="L20" i="9"/>
  <c r="M20" i="9"/>
  <c r="L21" i="9"/>
  <c r="M21" i="9"/>
  <c r="L22" i="9"/>
  <c r="M22" i="9"/>
  <c r="L23" i="9"/>
  <c r="M23" i="9"/>
  <c r="L24" i="9"/>
  <c r="M24" i="9"/>
  <c r="L25" i="9"/>
  <c r="M25" i="9"/>
  <c r="L26" i="9"/>
  <c r="M26" i="9"/>
  <c r="L27" i="9"/>
  <c r="M27" i="9"/>
  <c r="L28" i="9"/>
  <c r="M28" i="9"/>
  <c r="L29" i="9"/>
  <c r="M29" i="9"/>
  <c r="L30" i="9"/>
  <c r="M30" i="9"/>
  <c r="S2" i="13"/>
  <c r="R2" i="13"/>
  <c r="H2" i="13"/>
  <c r="G2" i="13"/>
  <c r="AE35" i="26" l="1"/>
  <c r="V53" i="26"/>
  <c r="V61" i="26"/>
  <c r="V70" i="26"/>
  <c r="N31" i="26"/>
  <c r="O45" i="26"/>
  <c r="F43" i="26"/>
  <c r="F35" i="26"/>
  <c r="V51" i="26"/>
  <c r="V59" i="26"/>
  <c r="V68" i="26"/>
  <c r="V76" i="26"/>
  <c r="E31" i="26"/>
  <c r="O31" i="26"/>
  <c r="AD31" i="26"/>
  <c r="P45" i="26"/>
  <c r="F13" i="26"/>
  <c r="F36" i="26"/>
  <c r="V57" i="26"/>
  <c r="V66" i="26"/>
  <c r="V74" i="26"/>
  <c r="P31" i="26"/>
  <c r="AE41" i="26"/>
  <c r="D45" i="26"/>
  <c r="AE43" i="26"/>
  <c r="V55" i="26"/>
  <c r="V64" i="26"/>
  <c r="V72" i="26"/>
  <c r="M36" i="26"/>
  <c r="U50" i="26"/>
  <c r="S51" i="26"/>
  <c r="W51" i="26"/>
  <c r="U52" i="26"/>
  <c r="S53" i="26"/>
  <c r="W53" i="26"/>
  <c r="U54" i="26"/>
  <c r="S55" i="26"/>
  <c r="W55" i="26"/>
  <c r="U56" i="26"/>
  <c r="S57" i="26"/>
  <c r="W57" i="26"/>
  <c r="U58" i="26"/>
  <c r="S59" i="26"/>
  <c r="W59" i="26"/>
  <c r="U60" i="26"/>
  <c r="S61" i="26"/>
  <c r="W61" i="26"/>
  <c r="U62" i="26"/>
  <c r="S64" i="26"/>
  <c r="W64" i="26"/>
  <c r="U65" i="26"/>
  <c r="Z65" i="26" s="1"/>
  <c r="S66" i="26"/>
  <c r="W66" i="26"/>
  <c r="U67" i="26"/>
  <c r="S68" i="26"/>
  <c r="W68" i="26"/>
  <c r="U69" i="26"/>
  <c r="S70" i="26"/>
  <c r="W70" i="26"/>
  <c r="U71" i="26"/>
  <c r="S72" i="26"/>
  <c r="W72" i="26"/>
  <c r="U73" i="26"/>
  <c r="S74" i="26"/>
  <c r="W74" i="26"/>
  <c r="U75" i="26"/>
  <c r="S76" i="26"/>
  <c r="W76" i="26"/>
  <c r="R31" i="26"/>
  <c r="AA32" i="26"/>
  <c r="AA31" i="26"/>
  <c r="AJ32" i="26"/>
  <c r="AH31" i="26"/>
  <c r="AH32" i="26"/>
  <c r="AJ31" i="26"/>
  <c r="AH41" i="26"/>
  <c r="AJ41" i="26"/>
  <c r="AH46" i="26"/>
  <c r="AJ45" i="26"/>
  <c r="AJ46" i="26"/>
  <c r="AH45" i="26"/>
  <c r="AH39" i="26"/>
  <c r="AJ39" i="26"/>
  <c r="AH33" i="26"/>
  <c r="AJ33" i="26"/>
  <c r="AH37" i="26"/>
  <c r="AJ37" i="26"/>
  <c r="AH49" i="26"/>
  <c r="AJ49" i="26"/>
  <c r="AH43" i="26"/>
  <c r="AJ43" i="26"/>
  <c r="AH35" i="26"/>
  <c r="AJ35" i="26"/>
  <c r="F33" i="26"/>
  <c r="M32" i="26"/>
  <c r="J31" i="26"/>
  <c r="J32" i="26"/>
  <c r="M31" i="26"/>
  <c r="X32" i="26"/>
  <c r="X31" i="26"/>
  <c r="AB32" i="26"/>
  <c r="AB31" i="26"/>
  <c r="AI33" i="26"/>
  <c r="AI31" i="26"/>
  <c r="M34" i="26"/>
  <c r="J34" i="26"/>
  <c r="L32" i="26"/>
  <c r="L31" i="26"/>
  <c r="Z32" i="26"/>
  <c r="Z31" i="26"/>
  <c r="F32" i="26"/>
  <c r="K31" i="26"/>
  <c r="K32" i="26"/>
  <c r="Y32" i="26"/>
  <c r="Y31" i="26"/>
  <c r="Y46" i="26"/>
  <c r="Y45" i="26"/>
  <c r="AE33" i="26"/>
  <c r="AC31" i="26"/>
  <c r="K49" i="26"/>
  <c r="Y49" i="26"/>
  <c r="AE32" i="26"/>
  <c r="L67" i="26"/>
  <c r="L53" i="26"/>
  <c r="AD67" i="26"/>
  <c r="AD53" i="26"/>
  <c r="Q73" i="26"/>
  <c r="Q59" i="26"/>
  <c r="F41" i="26"/>
  <c r="J45" i="26"/>
  <c r="J46" i="26"/>
  <c r="M45" i="26"/>
  <c r="M46" i="26"/>
  <c r="O74" i="26"/>
  <c r="O60" i="26"/>
  <c r="C72" i="26"/>
  <c r="C58" i="26"/>
  <c r="X72" i="26"/>
  <c r="X58" i="26"/>
  <c r="E66" i="26"/>
  <c r="E52" i="26"/>
  <c r="Z66" i="26"/>
  <c r="Z52" i="26"/>
  <c r="AB61" i="26"/>
  <c r="AB75" i="26"/>
  <c r="O70" i="26"/>
  <c r="O56" i="26"/>
  <c r="E65" i="26"/>
  <c r="E51" i="26"/>
  <c r="Z49" i="26"/>
  <c r="AB69" i="26"/>
  <c r="AB55" i="26"/>
  <c r="L50" i="26"/>
  <c r="Z50" i="26"/>
  <c r="E62" i="26"/>
  <c r="E76" i="26"/>
  <c r="L62" i="26"/>
  <c r="L76" i="26"/>
  <c r="AD76" i="26"/>
  <c r="AD62" i="26"/>
  <c r="J43" i="26"/>
  <c r="M43" i="26"/>
  <c r="L71" i="26"/>
  <c r="L57" i="26"/>
  <c r="AD71" i="26"/>
  <c r="AD57" i="26"/>
  <c r="AH36" i="26"/>
  <c r="AE38" i="26"/>
  <c r="F3" i="26"/>
  <c r="AE3" i="26"/>
  <c r="AE40" i="26"/>
  <c r="N67" i="26"/>
  <c r="N53" i="26"/>
  <c r="R67" i="26"/>
  <c r="R53" i="26"/>
  <c r="AA67" i="26"/>
  <c r="AA53" i="26"/>
  <c r="AE5" i="26"/>
  <c r="AE47" i="26"/>
  <c r="N73" i="26"/>
  <c r="N59" i="26"/>
  <c r="R73" i="26"/>
  <c r="R59" i="26"/>
  <c r="AA73" i="26"/>
  <c r="AA59" i="26"/>
  <c r="F9" i="26"/>
  <c r="N68" i="26"/>
  <c r="N54" i="26"/>
  <c r="R68" i="26"/>
  <c r="R54" i="26"/>
  <c r="AA68" i="26"/>
  <c r="AA54" i="26"/>
  <c r="AE46" i="26"/>
  <c r="AE45" i="26" s="1"/>
  <c r="AC45" i="26"/>
  <c r="AI46" i="26"/>
  <c r="AI45" i="26"/>
  <c r="F11" i="26"/>
  <c r="AE11" i="26"/>
  <c r="D74" i="26"/>
  <c r="D60" i="26"/>
  <c r="P74" i="26"/>
  <c r="P60" i="26"/>
  <c r="Y74" i="26"/>
  <c r="Y60" i="26"/>
  <c r="AC60" i="26"/>
  <c r="AC74" i="26"/>
  <c r="AI74" i="26"/>
  <c r="AI60" i="26"/>
  <c r="AE13" i="26"/>
  <c r="AE34" i="26"/>
  <c r="F15" i="26"/>
  <c r="AE15" i="26"/>
  <c r="D72" i="26"/>
  <c r="D58" i="26"/>
  <c r="K72" i="26"/>
  <c r="K58" i="26"/>
  <c r="P72" i="26"/>
  <c r="P58" i="26"/>
  <c r="Y72" i="26"/>
  <c r="Y58" i="26"/>
  <c r="AI72" i="26"/>
  <c r="AI58" i="26"/>
  <c r="F17" i="26"/>
  <c r="N66" i="26"/>
  <c r="N52" i="26"/>
  <c r="R66" i="26"/>
  <c r="R52" i="26"/>
  <c r="AA66" i="26"/>
  <c r="AA52" i="26"/>
  <c r="D75" i="26"/>
  <c r="D61" i="26"/>
  <c r="K75" i="26"/>
  <c r="K61" i="26"/>
  <c r="P75" i="26"/>
  <c r="P61" i="26"/>
  <c r="Y75" i="26"/>
  <c r="Y61" i="26"/>
  <c r="AI75" i="26"/>
  <c r="AI61" i="26"/>
  <c r="F19" i="26"/>
  <c r="AE19" i="26"/>
  <c r="D70" i="26"/>
  <c r="D56" i="26"/>
  <c r="K70" i="26"/>
  <c r="K56" i="26"/>
  <c r="P70" i="26"/>
  <c r="P56" i="26"/>
  <c r="Y70" i="26"/>
  <c r="Y56" i="26"/>
  <c r="AC70" i="26"/>
  <c r="AC56" i="26"/>
  <c r="F21" i="26"/>
  <c r="N65" i="26"/>
  <c r="N51" i="26"/>
  <c r="R65" i="26"/>
  <c r="R51" i="26"/>
  <c r="AA65" i="26"/>
  <c r="AA51" i="26"/>
  <c r="F23" i="26"/>
  <c r="AA49" i="26"/>
  <c r="AE23" i="26"/>
  <c r="D69" i="26"/>
  <c r="D55" i="26"/>
  <c r="K69" i="26"/>
  <c r="K55" i="26"/>
  <c r="P69" i="26"/>
  <c r="P55" i="26"/>
  <c r="Y69" i="26"/>
  <c r="Y55" i="26"/>
  <c r="AC69" i="26"/>
  <c r="AC55" i="26"/>
  <c r="AI69" i="26"/>
  <c r="AI55" i="26"/>
  <c r="AA64" i="26"/>
  <c r="AE25" i="26"/>
  <c r="AE36" i="26"/>
  <c r="F27" i="26"/>
  <c r="N76" i="26"/>
  <c r="N62" i="26"/>
  <c r="R76" i="26"/>
  <c r="R62" i="26"/>
  <c r="AA76" i="26"/>
  <c r="AA62" i="26"/>
  <c r="AE27" i="26"/>
  <c r="N71" i="26"/>
  <c r="N57" i="26"/>
  <c r="R71" i="26"/>
  <c r="R57" i="26"/>
  <c r="AA71" i="26"/>
  <c r="AA57" i="26"/>
  <c r="AE29" i="26"/>
  <c r="AH38" i="26"/>
  <c r="AB45" i="26"/>
  <c r="J47" i="26"/>
  <c r="N50" i="26"/>
  <c r="AD50" i="26"/>
  <c r="C55" i="26"/>
  <c r="AI56" i="26"/>
  <c r="AC58" i="26"/>
  <c r="E67" i="26"/>
  <c r="E53" i="26"/>
  <c r="Z67" i="26"/>
  <c r="Z53" i="26"/>
  <c r="E73" i="26"/>
  <c r="E59" i="26"/>
  <c r="Z73" i="26"/>
  <c r="Z59" i="26"/>
  <c r="Q68" i="26"/>
  <c r="Q54" i="26"/>
  <c r="C45" i="26"/>
  <c r="F46" i="26"/>
  <c r="F45" i="26" s="1"/>
  <c r="C74" i="26"/>
  <c r="C60" i="26"/>
  <c r="X74" i="26"/>
  <c r="X60" i="26"/>
  <c r="O72" i="26"/>
  <c r="O58" i="26"/>
  <c r="Q66" i="26"/>
  <c r="Q52" i="26"/>
  <c r="C75" i="26"/>
  <c r="C61" i="26"/>
  <c r="X75" i="26"/>
  <c r="X61" i="26"/>
  <c r="AB70" i="26"/>
  <c r="AB56" i="26"/>
  <c r="L65" i="26"/>
  <c r="L51" i="26"/>
  <c r="AD65" i="26"/>
  <c r="AD51" i="26"/>
  <c r="J37" i="26"/>
  <c r="M37" i="26"/>
  <c r="E64" i="26"/>
  <c r="E50" i="26"/>
  <c r="Q50" i="26"/>
  <c r="Q64" i="26"/>
  <c r="Q76" i="26"/>
  <c r="Q62" i="26"/>
  <c r="Z62" i="26"/>
  <c r="Z76" i="26"/>
  <c r="Q71" i="26"/>
  <c r="Q57" i="26"/>
  <c r="Z71" i="26"/>
  <c r="Z57" i="26"/>
  <c r="J35" i="26"/>
  <c r="M35" i="26"/>
  <c r="C34" i="26"/>
  <c r="F34" i="26" s="1"/>
  <c r="J40" i="26"/>
  <c r="X46" i="26"/>
  <c r="Z54" i="26"/>
  <c r="C67" i="26"/>
  <c r="C53" i="26"/>
  <c r="J67" i="26"/>
  <c r="M67" i="26"/>
  <c r="O67" i="26"/>
  <c r="O53" i="26"/>
  <c r="X67" i="26"/>
  <c r="X53" i="26"/>
  <c r="C73" i="26"/>
  <c r="C59" i="26"/>
  <c r="O59" i="26"/>
  <c r="O73" i="26"/>
  <c r="X73" i="26"/>
  <c r="X59" i="26"/>
  <c r="AB73" i="26"/>
  <c r="AB59" i="26"/>
  <c r="C68" i="26"/>
  <c r="C54" i="26"/>
  <c r="O68" i="26"/>
  <c r="O54" i="26"/>
  <c r="X68" i="26"/>
  <c r="X54" i="26"/>
  <c r="AB68" i="26"/>
  <c r="AB54" i="26"/>
  <c r="E45" i="26"/>
  <c r="L45" i="26"/>
  <c r="Q45" i="26"/>
  <c r="Z46" i="26"/>
  <c r="Z45" i="26"/>
  <c r="AD45" i="26"/>
  <c r="F39" i="26"/>
  <c r="J39" i="26"/>
  <c r="M39" i="26"/>
  <c r="E74" i="26"/>
  <c r="E60" i="26"/>
  <c r="L60" i="26"/>
  <c r="L74" i="26"/>
  <c r="Q74" i="26"/>
  <c r="Q60" i="26"/>
  <c r="Z74" i="26"/>
  <c r="Z60" i="26"/>
  <c r="AD74" i="26"/>
  <c r="AD60" i="26"/>
  <c r="M44" i="26"/>
  <c r="E72" i="26"/>
  <c r="E58" i="26"/>
  <c r="L72" i="26"/>
  <c r="L58" i="26"/>
  <c r="Q72" i="26"/>
  <c r="Q58" i="26"/>
  <c r="Z72" i="26"/>
  <c r="Z58" i="26"/>
  <c r="AD72" i="26"/>
  <c r="AE72" i="26" s="1"/>
  <c r="AD58" i="26"/>
  <c r="C63" i="26"/>
  <c r="O66" i="26"/>
  <c r="O52" i="26"/>
  <c r="X66" i="26"/>
  <c r="X52" i="26"/>
  <c r="AB66" i="26"/>
  <c r="AB52" i="26"/>
  <c r="E75" i="26"/>
  <c r="E61" i="26"/>
  <c r="L75" i="26"/>
  <c r="L61" i="26"/>
  <c r="Q75" i="26"/>
  <c r="Q61" i="26"/>
  <c r="Z75" i="26"/>
  <c r="Z61" i="26"/>
  <c r="AD75" i="26"/>
  <c r="AE75" i="26" s="1"/>
  <c r="AD61" i="26"/>
  <c r="AE61" i="26" s="1"/>
  <c r="M42" i="26"/>
  <c r="E70" i="26"/>
  <c r="E56" i="26"/>
  <c r="L70" i="26"/>
  <c r="L56" i="26"/>
  <c r="Z70" i="26"/>
  <c r="Z56" i="26"/>
  <c r="AD70" i="26"/>
  <c r="AD56" i="26"/>
  <c r="C65" i="26"/>
  <c r="F65" i="26" s="1"/>
  <c r="C51" i="26"/>
  <c r="O65" i="26"/>
  <c r="O51" i="26"/>
  <c r="X65" i="26"/>
  <c r="X51" i="26"/>
  <c r="AB65" i="26"/>
  <c r="AB51" i="26"/>
  <c r="AH65" i="26"/>
  <c r="F49" i="26"/>
  <c r="J49" i="26"/>
  <c r="M49" i="26"/>
  <c r="E69" i="26"/>
  <c r="F69" i="26" s="1"/>
  <c r="E55" i="26"/>
  <c r="L69" i="26"/>
  <c r="L55" i="26"/>
  <c r="Q69" i="26"/>
  <c r="Q55" i="26"/>
  <c r="Z69" i="26"/>
  <c r="Z55" i="26"/>
  <c r="AD69" i="26"/>
  <c r="AD55" i="26"/>
  <c r="C64" i="26"/>
  <c r="C50" i="26"/>
  <c r="O64" i="26"/>
  <c r="O50" i="26"/>
  <c r="X50" i="26"/>
  <c r="C76" i="26"/>
  <c r="C62" i="26"/>
  <c r="O76" i="26"/>
  <c r="O62" i="26"/>
  <c r="X76" i="26"/>
  <c r="X62" i="26"/>
  <c r="AB76" i="26"/>
  <c r="AB62" i="26"/>
  <c r="C71" i="26"/>
  <c r="C57" i="26"/>
  <c r="X71" i="26"/>
  <c r="X57" i="26"/>
  <c r="AB71" i="26"/>
  <c r="AB57" i="26"/>
  <c r="M33" i="26"/>
  <c r="J36" i="26"/>
  <c r="AH40" i="26"/>
  <c r="J44" i="26"/>
  <c r="K45" i="26"/>
  <c r="R50" i="26"/>
  <c r="P51" i="26"/>
  <c r="C52" i="26"/>
  <c r="C48" i="26" s="1"/>
  <c r="AB53" i="26"/>
  <c r="X55" i="26"/>
  <c r="O57" i="26"/>
  <c r="Q67" i="26"/>
  <c r="Q53" i="26"/>
  <c r="L73" i="26"/>
  <c r="L59" i="26"/>
  <c r="AD73" i="26"/>
  <c r="AD59" i="26"/>
  <c r="J41" i="26"/>
  <c r="M41" i="26"/>
  <c r="L68" i="26"/>
  <c r="L54" i="26"/>
  <c r="AD68" i="26"/>
  <c r="AD54" i="26"/>
  <c r="AB74" i="26"/>
  <c r="AB60" i="26"/>
  <c r="AB72" i="26"/>
  <c r="AB58" i="26"/>
  <c r="L66" i="26"/>
  <c r="L52" i="26"/>
  <c r="AD66" i="26"/>
  <c r="AD52" i="26"/>
  <c r="AD48" i="26" s="1"/>
  <c r="O75" i="26"/>
  <c r="O61" i="26"/>
  <c r="C70" i="26"/>
  <c r="C56" i="26"/>
  <c r="X70" i="26"/>
  <c r="X56" i="26"/>
  <c r="Q65" i="26"/>
  <c r="Q51" i="26"/>
  <c r="F37" i="26"/>
  <c r="O69" i="26"/>
  <c r="O55" i="26"/>
  <c r="AD63" i="26"/>
  <c r="E71" i="26"/>
  <c r="E57" i="26"/>
  <c r="F2" i="26"/>
  <c r="AE2" i="26"/>
  <c r="F4" i="26"/>
  <c r="AE4" i="26"/>
  <c r="D67" i="26"/>
  <c r="D53" i="26"/>
  <c r="K67" i="26"/>
  <c r="K53" i="26"/>
  <c r="P67" i="26"/>
  <c r="P53" i="26"/>
  <c r="Y67" i="26"/>
  <c r="Y53" i="26"/>
  <c r="AC67" i="26"/>
  <c r="AE67" i="26" s="1"/>
  <c r="AC53" i="26"/>
  <c r="AE53" i="26" s="1"/>
  <c r="AI67" i="26"/>
  <c r="AI53" i="26"/>
  <c r="F6" i="26"/>
  <c r="AE6" i="26"/>
  <c r="D73" i="26"/>
  <c r="D59" i="26"/>
  <c r="K73" i="26"/>
  <c r="K59" i="26"/>
  <c r="P73" i="26"/>
  <c r="P59" i="26"/>
  <c r="Y73" i="26"/>
  <c r="Y59" i="26"/>
  <c r="AC73" i="26"/>
  <c r="AE73" i="26" s="1"/>
  <c r="AC59" i="26"/>
  <c r="AE59" i="26" s="1"/>
  <c r="AI73" i="26"/>
  <c r="AI59" i="26"/>
  <c r="F8" i="26"/>
  <c r="AE8" i="26"/>
  <c r="D68" i="26"/>
  <c r="D54" i="26"/>
  <c r="K68" i="26"/>
  <c r="K54" i="26"/>
  <c r="P68" i="26"/>
  <c r="P54" i="26"/>
  <c r="Y68" i="26"/>
  <c r="Y54" i="26"/>
  <c r="AC68" i="26"/>
  <c r="AE68" i="26" s="1"/>
  <c r="AC54" i="26"/>
  <c r="AE54" i="26" s="1"/>
  <c r="AI68" i="26"/>
  <c r="AI54" i="26"/>
  <c r="F10" i="26"/>
  <c r="N45" i="26"/>
  <c r="R45" i="26"/>
  <c r="AA46" i="26"/>
  <c r="AA45" i="26"/>
  <c r="AE10" i="26"/>
  <c r="AE39" i="26"/>
  <c r="F12" i="26"/>
  <c r="N74" i="26"/>
  <c r="N60" i="26"/>
  <c r="R74" i="26"/>
  <c r="R60" i="26"/>
  <c r="AA74" i="26"/>
  <c r="AA60" i="26"/>
  <c r="AE12" i="26"/>
  <c r="AE14" i="26"/>
  <c r="AE44" i="26"/>
  <c r="F16" i="26"/>
  <c r="N72" i="26"/>
  <c r="N58" i="26"/>
  <c r="R72" i="26"/>
  <c r="R58" i="26"/>
  <c r="AA72" i="26"/>
  <c r="AA58" i="26"/>
  <c r="AE16" i="26"/>
  <c r="D66" i="26"/>
  <c r="F66" i="26" s="1"/>
  <c r="D52" i="26"/>
  <c r="K66" i="26"/>
  <c r="K52" i="26"/>
  <c r="P66" i="26"/>
  <c r="P52" i="26"/>
  <c r="Y66" i="26"/>
  <c r="Y52" i="26"/>
  <c r="AC66" i="26"/>
  <c r="AE66" i="26" s="1"/>
  <c r="AC52" i="26"/>
  <c r="AI66" i="26"/>
  <c r="AI52" i="26"/>
  <c r="F18" i="26"/>
  <c r="N75" i="26"/>
  <c r="N61" i="26"/>
  <c r="R75" i="26"/>
  <c r="R61" i="26"/>
  <c r="AA75" i="26"/>
  <c r="AA61" i="26"/>
  <c r="AE18" i="26"/>
  <c r="AE42" i="26"/>
  <c r="F20" i="26"/>
  <c r="N70" i="26"/>
  <c r="N56" i="26"/>
  <c r="R70" i="26"/>
  <c r="R56" i="26"/>
  <c r="AA70" i="26"/>
  <c r="AA56" i="26"/>
  <c r="AE20" i="26"/>
  <c r="Y65" i="26"/>
  <c r="Y51" i="26"/>
  <c r="AC65" i="26"/>
  <c r="AE65" i="26" s="1"/>
  <c r="AC51" i="26"/>
  <c r="AE51" i="26" s="1"/>
  <c r="AI65" i="26"/>
  <c r="AI51" i="26"/>
  <c r="F22" i="26"/>
  <c r="AE22" i="26"/>
  <c r="AE49" i="26"/>
  <c r="AI49" i="26"/>
  <c r="F24" i="26"/>
  <c r="N69" i="26"/>
  <c r="N55" i="26"/>
  <c r="R69" i="26"/>
  <c r="R55" i="26"/>
  <c r="AA69" i="26"/>
  <c r="AA55" i="26"/>
  <c r="AE24" i="26"/>
  <c r="D64" i="26"/>
  <c r="D50" i="26"/>
  <c r="K50" i="26"/>
  <c r="P64" i="26"/>
  <c r="P50" i="26"/>
  <c r="Y50" i="26"/>
  <c r="AC64" i="26"/>
  <c r="AC50" i="26"/>
  <c r="AE50" i="26" s="1"/>
  <c r="AI50" i="26"/>
  <c r="F26" i="26"/>
  <c r="AE26" i="26"/>
  <c r="D76" i="26"/>
  <c r="D62" i="26"/>
  <c r="K76" i="26"/>
  <c r="K62" i="26"/>
  <c r="P76" i="26"/>
  <c r="P62" i="26"/>
  <c r="Y76" i="26"/>
  <c r="Y62" i="26"/>
  <c r="AC76" i="26"/>
  <c r="AE76" i="26" s="1"/>
  <c r="AC62" i="26"/>
  <c r="AE62" i="26" s="1"/>
  <c r="AI76" i="26"/>
  <c r="AI62" i="26"/>
  <c r="F28" i="26"/>
  <c r="AE28" i="26"/>
  <c r="D71" i="26"/>
  <c r="D57" i="26"/>
  <c r="K71" i="26"/>
  <c r="K57" i="26"/>
  <c r="P71" i="26"/>
  <c r="P57" i="26"/>
  <c r="Y71" i="26"/>
  <c r="Y57" i="26"/>
  <c r="AC71" i="26"/>
  <c r="AE71" i="26" s="1"/>
  <c r="AC57" i="26"/>
  <c r="AI71" i="26"/>
  <c r="AI57" i="26"/>
  <c r="F30" i="26"/>
  <c r="AE30" i="26"/>
  <c r="AH34" i="26"/>
  <c r="J38" i="26"/>
  <c r="AH42" i="26"/>
  <c r="AH47" i="26"/>
  <c r="AA50" i="26"/>
  <c r="D51" i="26"/>
  <c r="Z51" i="26"/>
  <c r="E54" i="26"/>
  <c r="K60" i="26"/>
  <c r="R31" i="25"/>
  <c r="N31" i="25"/>
  <c r="Q31" i="25"/>
  <c r="U53" i="25"/>
  <c r="Z53" i="25" s="1"/>
  <c r="U67" i="25"/>
  <c r="V51" i="25"/>
  <c r="V59" i="25"/>
  <c r="V68" i="25"/>
  <c r="AA68" i="25" s="1"/>
  <c r="V76" i="25"/>
  <c r="AD38" i="25"/>
  <c r="AJ40" i="25"/>
  <c r="AE47" i="25"/>
  <c r="C52" i="25"/>
  <c r="V57" i="25"/>
  <c r="V66" i="25"/>
  <c r="AA66" i="25" s="1"/>
  <c r="V74" i="25"/>
  <c r="AA74" i="25" s="1"/>
  <c r="E31" i="25"/>
  <c r="M40" i="25"/>
  <c r="R68" i="25"/>
  <c r="AE33" i="25"/>
  <c r="I53" i="25"/>
  <c r="V55" i="25"/>
  <c r="AA55" i="25" s="1"/>
  <c r="V64" i="25"/>
  <c r="V72" i="25"/>
  <c r="AA72" i="25" s="1"/>
  <c r="U50" i="25"/>
  <c r="S51" i="25"/>
  <c r="W51" i="25"/>
  <c r="U52" i="25"/>
  <c r="Z52" i="25" s="1"/>
  <c r="S53" i="25"/>
  <c r="W53" i="25"/>
  <c r="U54" i="25"/>
  <c r="S55" i="25"/>
  <c r="W55" i="25"/>
  <c r="U56" i="25"/>
  <c r="S57" i="25"/>
  <c r="W57" i="25"/>
  <c r="AB57" i="25" s="1"/>
  <c r="U58" i="25"/>
  <c r="S59" i="25"/>
  <c r="W59" i="25"/>
  <c r="U60" i="25"/>
  <c r="Z60" i="25" s="1"/>
  <c r="S61" i="25"/>
  <c r="W61" i="25"/>
  <c r="U62" i="25"/>
  <c r="S64" i="25"/>
  <c r="W64" i="25"/>
  <c r="U65" i="25"/>
  <c r="S66" i="25"/>
  <c r="W66" i="25"/>
  <c r="AB66" i="25" s="1"/>
  <c r="S68" i="25"/>
  <c r="W68" i="25"/>
  <c r="U69" i="25"/>
  <c r="S70" i="25"/>
  <c r="X70" i="25" s="1"/>
  <c r="W70" i="25"/>
  <c r="U71" i="25"/>
  <c r="S72" i="25"/>
  <c r="W72" i="25"/>
  <c r="AB72" i="25" s="1"/>
  <c r="U73" i="25"/>
  <c r="S74" i="25"/>
  <c r="W74" i="25"/>
  <c r="U75" i="25"/>
  <c r="Z75" i="25" s="1"/>
  <c r="S76" i="25"/>
  <c r="W76" i="25"/>
  <c r="AH41" i="25"/>
  <c r="AJ41" i="25"/>
  <c r="K46" i="25"/>
  <c r="K45" i="25"/>
  <c r="AD31" i="25"/>
  <c r="E67" i="25"/>
  <c r="E53" i="25"/>
  <c r="Z67" i="25"/>
  <c r="AJ47" i="25"/>
  <c r="AH47" i="25"/>
  <c r="Q73" i="25"/>
  <c r="Q59" i="25"/>
  <c r="C41" i="25"/>
  <c r="F41" i="25" s="1"/>
  <c r="F8" i="25"/>
  <c r="K74" i="25"/>
  <c r="K60" i="25"/>
  <c r="AC74" i="25"/>
  <c r="AC60" i="25"/>
  <c r="AE12" i="25"/>
  <c r="J33" i="25"/>
  <c r="M33" i="25"/>
  <c r="C72" i="25"/>
  <c r="C58" i="25"/>
  <c r="F16" i="25"/>
  <c r="AC72" i="25"/>
  <c r="AC58" i="25"/>
  <c r="AE16" i="25"/>
  <c r="P70" i="25"/>
  <c r="P56" i="25"/>
  <c r="P69" i="25"/>
  <c r="P55" i="25"/>
  <c r="F43" i="25"/>
  <c r="AC43" i="25"/>
  <c r="AE43" i="25" s="1"/>
  <c r="AE28" i="25"/>
  <c r="AA32" i="25"/>
  <c r="AA31" i="25"/>
  <c r="J38" i="25"/>
  <c r="AE38" i="25"/>
  <c r="F3" i="25"/>
  <c r="AE3" i="25"/>
  <c r="AE40" i="25"/>
  <c r="N67" i="25"/>
  <c r="N53" i="25"/>
  <c r="R67" i="25"/>
  <c r="R53" i="25"/>
  <c r="AA67" i="25"/>
  <c r="AA53" i="25"/>
  <c r="N59" i="25"/>
  <c r="N73" i="25"/>
  <c r="R73" i="25"/>
  <c r="R59" i="25"/>
  <c r="AA59" i="25"/>
  <c r="AA73" i="25"/>
  <c r="J45" i="25"/>
  <c r="J46" i="25"/>
  <c r="M45" i="25"/>
  <c r="M46" i="25"/>
  <c r="O45" i="25"/>
  <c r="AB46" i="25"/>
  <c r="AB45" i="25"/>
  <c r="AI46" i="25"/>
  <c r="AI45" i="25"/>
  <c r="F11" i="25"/>
  <c r="AE11" i="25"/>
  <c r="D60" i="25"/>
  <c r="D74" i="25"/>
  <c r="M34" i="25"/>
  <c r="F15" i="25"/>
  <c r="AE15" i="25"/>
  <c r="D72" i="25"/>
  <c r="D58" i="25"/>
  <c r="O75" i="25"/>
  <c r="O61" i="25"/>
  <c r="X75" i="25"/>
  <c r="X61" i="25"/>
  <c r="AB75" i="25"/>
  <c r="AB61" i="25"/>
  <c r="AI75" i="25"/>
  <c r="AI61" i="25"/>
  <c r="F19" i="25"/>
  <c r="AE19" i="25"/>
  <c r="D56" i="25"/>
  <c r="D70" i="25"/>
  <c r="J37" i="25"/>
  <c r="M37" i="25"/>
  <c r="AA49" i="25"/>
  <c r="D69" i="25"/>
  <c r="D55" i="25"/>
  <c r="M36" i="25"/>
  <c r="N76" i="25"/>
  <c r="N62" i="25"/>
  <c r="R76" i="25"/>
  <c r="R62" i="25"/>
  <c r="AA76" i="25"/>
  <c r="AA62" i="25"/>
  <c r="J35" i="25"/>
  <c r="M35" i="25"/>
  <c r="Z31" i="25"/>
  <c r="AJ35" i="25"/>
  <c r="AH36" i="25"/>
  <c r="J40" i="25"/>
  <c r="L67" i="25"/>
  <c r="L53" i="25"/>
  <c r="L73" i="25"/>
  <c r="L59" i="25"/>
  <c r="AD59" i="25"/>
  <c r="AD73" i="25"/>
  <c r="AH46" i="25"/>
  <c r="AJ45" i="25"/>
  <c r="AJ46" i="25"/>
  <c r="AH45" i="25"/>
  <c r="C74" i="25"/>
  <c r="C60" i="25"/>
  <c r="F60" i="25" s="1"/>
  <c r="F12" i="25"/>
  <c r="Y60" i="25"/>
  <c r="Y74" i="25"/>
  <c r="K72" i="25"/>
  <c r="K58" i="25"/>
  <c r="Y72" i="25"/>
  <c r="Y58" i="25"/>
  <c r="K70" i="25"/>
  <c r="K56" i="25"/>
  <c r="Y70" i="25"/>
  <c r="Y56" i="25"/>
  <c r="K69" i="25"/>
  <c r="K55" i="25"/>
  <c r="Y69" i="25"/>
  <c r="Y55" i="25"/>
  <c r="F32" i="25"/>
  <c r="AH34" i="25"/>
  <c r="M32" i="25"/>
  <c r="J31" i="25"/>
  <c r="O31" i="25"/>
  <c r="X32" i="25"/>
  <c r="X31" i="25"/>
  <c r="AB32" i="25"/>
  <c r="AB31" i="25"/>
  <c r="AJ32" i="25"/>
  <c r="AH31" i="25"/>
  <c r="C67" i="25"/>
  <c r="C53" i="25"/>
  <c r="O67" i="25"/>
  <c r="O53" i="25"/>
  <c r="X67" i="25"/>
  <c r="X53" i="25"/>
  <c r="AB67" i="25"/>
  <c r="AB53" i="25"/>
  <c r="C73" i="25"/>
  <c r="C59" i="25"/>
  <c r="O73" i="25"/>
  <c r="O59" i="25"/>
  <c r="X73" i="25"/>
  <c r="X59" i="25"/>
  <c r="AB73" i="25"/>
  <c r="AB59" i="25"/>
  <c r="E68" i="25"/>
  <c r="E54" i="25"/>
  <c r="L68" i="25"/>
  <c r="L54" i="25"/>
  <c r="Q68" i="25"/>
  <c r="Q54" i="25"/>
  <c r="Z68" i="25"/>
  <c r="Z54" i="25"/>
  <c r="AD68" i="25"/>
  <c r="AD54" i="25"/>
  <c r="C46" i="25"/>
  <c r="F10" i="25"/>
  <c r="P45" i="25"/>
  <c r="Y46" i="25"/>
  <c r="Y45" i="25"/>
  <c r="AC46" i="25"/>
  <c r="AE10" i="25"/>
  <c r="F39" i="25"/>
  <c r="J39" i="25"/>
  <c r="M39" i="25"/>
  <c r="F14" i="25"/>
  <c r="C34" i="25"/>
  <c r="F34" i="25" s="1"/>
  <c r="AC34" i="25"/>
  <c r="AE34" i="25" s="1"/>
  <c r="AE14" i="25"/>
  <c r="F44" i="25"/>
  <c r="E66" i="25"/>
  <c r="E52" i="25"/>
  <c r="L66" i="25"/>
  <c r="L52" i="25"/>
  <c r="Q66" i="25"/>
  <c r="Q52" i="25"/>
  <c r="Z66" i="25"/>
  <c r="AD66" i="25"/>
  <c r="AD52" i="25"/>
  <c r="C75" i="25"/>
  <c r="C61" i="25"/>
  <c r="F18" i="25"/>
  <c r="K75" i="25"/>
  <c r="K61" i="25"/>
  <c r="P75" i="25"/>
  <c r="P61" i="25"/>
  <c r="Y75" i="25"/>
  <c r="Y61" i="25"/>
  <c r="AC75" i="25"/>
  <c r="AC61" i="25"/>
  <c r="AE18" i="25"/>
  <c r="M42" i="25"/>
  <c r="AJ42" i="25"/>
  <c r="F37" i="25"/>
  <c r="AE22" i="25"/>
  <c r="AC37" i="25"/>
  <c r="AE37" i="25" s="1"/>
  <c r="AH49" i="25"/>
  <c r="AJ49" i="25"/>
  <c r="F26" i="25"/>
  <c r="AC36" i="25"/>
  <c r="AE36" i="25" s="1"/>
  <c r="AE26" i="25"/>
  <c r="F35" i="25"/>
  <c r="AE30" i="25"/>
  <c r="AC35" i="25"/>
  <c r="AE35" i="25" s="1"/>
  <c r="J34" i="25"/>
  <c r="AJ37" i="25"/>
  <c r="AH38" i="25"/>
  <c r="J42" i="25"/>
  <c r="L31" i="25"/>
  <c r="L32" i="25"/>
  <c r="Q67" i="25"/>
  <c r="Q53" i="25"/>
  <c r="AD67" i="25"/>
  <c r="AD53" i="25"/>
  <c r="M47" i="25"/>
  <c r="J47" i="25"/>
  <c r="E73" i="25"/>
  <c r="E59" i="25"/>
  <c r="Z73" i="25"/>
  <c r="Z59" i="25"/>
  <c r="AE8" i="25"/>
  <c r="AC41" i="25"/>
  <c r="AE41" i="25" s="1"/>
  <c r="P60" i="25"/>
  <c r="P74" i="25"/>
  <c r="P72" i="25"/>
  <c r="P58" i="25"/>
  <c r="C70" i="25"/>
  <c r="C56" i="25"/>
  <c r="F20" i="25"/>
  <c r="AC70" i="25"/>
  <c r="AE70" i="25" s="1"/>
  <c r="AC56" i="25"/>
  <c r="AE20" i="25"/>
  <c r="AC69" i="25"/>
  <c r="AC55" i="25"/>
  <c r="AE24" i="25"/>
  <c r="F2" i="25"/>
  <c r="D31" i="25"/>
  <c r="K31" i="25"/>
  <c r="K32" i="25"/>
  <c r="P31" i="25"/>
  <c r="Y32" i="25"/>
  <c r="Y31" i="25"/>
  <c r="AE32" i="25"/>
  <c r="AI31" i="25"/>
  <c r="AI32" i="25"/>
  <c r="F4" i="25"/>
  <c r="D67" i="25"/>
  <c r="D53" i="25"/>
  <c r="K67" i="25"/>
  <c r="K53" i="25"/>
  <c r="P67" i="25"/>
  <c r="P53" i="25"/>
  <c r="Y67" i="25"/>
  <c r="Y53" i="25"/>
  <c r="AC67" i="25"/>
  <c r="AE67" i="25" s="1"/>
  <c r="AC53" i="25"/>
  <c r="AI53" i="25"/>
  <c r="AI67" i="25"/>
  <c r="F6" i="25"/>
  <c r="D73" i="25"/>
  <c r="D59" i="25"/>
  <c r="K73" i="25"/>
  <c r="K59" i="25"/>
  <c r="P73" i="25"/>
  <c r="P59" i="25"/>
  <c r="Y73" i="25"/>
  <c r="Y59" i="25"/>
  <c r="AC73" i="25"/>
  <c r="AE73" i="25" s="1"/>
  <c r="AC59" i="25"/>
  <c r="AE59" i="25" s="1"/>
  <c r="AI73" i="25"/>
  <c r="AI59" i="25"/>
  <c r="J41" i="25"/>
  <c r="M41" i="25"/>
  <c r="N68" i="25"/>
  <c r="N54" i="25"/>
  <c r="AA54" i="25"/>
  <c r="D45" i="25"/>
  <c r="AE39" i="25"/>
  <c r="O74" i="25"/>
  <c r="O60" i="25"/>
  <c r="X74" i="25"/>
  <c r="X60" i="25"/>
  <c r="AB74" i="25"/>
  <c r="AB60" i="25"/>
  <c r="AI74" i="25"/>
  <c r="AI60" i="25"/>
  <c r="O72" i="25"/>
  <c r="O58" i="25"/>
  <c r="X72" i="25"/>
  <c r="X58" i="25"/>
  <c r="AB58" i="25"/>
  <c r="AI72" i="25"/>
  <c r="AI58" i="25"/>
  <c r="N66" i="25"/>
  <c r="N52" i="25"/>
  <c r="R66" i="25"/>
  <c r="R52" i="25"/>
  <c r="D75" i="25"/>
  <c r="D61" i="25"/>
  <c r="AE42" i="25"/>
  <c r="O70" i="25"/>
  <c r="O56" i="25"/>
  <c r="X56" i="25"/>
  <c r="AI70" i="25"/>
  <c r="AI56" i="25"/>
  <c r="N65" i="25"/>
  <c r="N51" i="25"/>
  <c r="R65" i="25"/>
  <c r="R51" i="25"/>
  <c r="AA65" i="25"/>
  <c r="AA51" i="25"/>
  <c r="K49" i="25"/>
  <c r="Y49" i="25"/>
  <c r="AI69" i="25"/>
  <c r="AI55" i="25"/>
  <c r="N64" i="25"/>
  <c r="N50" i="25"/>
  <c r="R64" i="25"/>
  <c r="R50" i="25"/>
  <c r="R48" i="25" s="1"/>
  <c r="AA50" i="25"/>
  <c r="J43" i="25"/>
  <c r="M43" i="25"/>
  <c r="N71" i="25"/>
  <c r="N57" i="25"/>
  <c r="R57" i="25"/>
  <c r="R71" i="25"/>
  <c r="AA71" i="25"/>
  <c r="AA57" i="25"/>
  <c r="M31" i="25"/>
  <c r="AJ31" i="25"/>
  <c r="AH32" i="25"/>
  <c r="J36" i="25"/>
  <c r="AJ39" i="25"/>
  <c r="AH40" i="25"/>
  <c r="AJ43" i="25"/>
  <c r="AA52" i="25"/>
  <c r="C68" i="25"/>
  <c r="C54" i="25"/>
  <c r="O68" i="25"/>
  <c r="O54" i="25"/>
  <c r="X68" i="25"/>
  <c r="X54" i="25"/>
  <c r="AB68" i="25"/>
  <c r="AB54" i="25"/>
  <c r="E45" i="25"/>
  <c r="L45" i="25"/>
  <c r="Q45" i="25"/>
  <c r="Z46" i="25"/>
  <c r="Z45" i="25"/>
  <c r="AD45" i="25"/>
  <c r="L74" i="25"/>
  <c r="L60" i="25"/>
  <c r="Q74" i="25"/>
  <c r="Q60" i="25"/>
  <c r="Z74" i="25"/>
  <c r="AD74" i="25"/>
  <c r="AD60" i="25"/>
  <c r="M44" i="25"/>
  <c r="E72" i="25"/>
  <c r="E58" i="25"/>
  <c r="L72" i="25"/>
  <c r="L58" i="25"/>
  <c r="Q72" i="25"/>
  <c r="Q58" i="25"/>
  <c r="Z72" i="25"/>
  <c r="Z58" i="25"/>
  <c r="AD72" i="25"/>
  <c r="AD58" i="25"/>
  <c r="O66" i="25"/>
  <c r="O52" i="25"/>
  <c r="X52" i="25"/>
  <c r="X66" i="25"/>
  <c r="AB52" i="25"/>
  <c r="E75" i="25"/>
  <c r="E61" i="25"/>
  <c r="L75" i="25"/>
  <c r="L61" i="25"/>
  <c r="Q75" i="25"/>
  <c r="Q61" i="25"/>
  <c r="Z61" i="25"/>
  <c r="AD61" i="25"/>
  <c r="AD75" i="25"/>
  <c r="E70" i="25"/>
  <c r="E56" i="25"/>
  <c r="L70" i="25"/>
  <c r="L56" i="25"/>
  <c r="Q70" i="25"/>
  <c r="Q56" i="25"/>
  <c r="Z70" i="25"/>
  <c r="Z56" i="25"/>
  <c r="C65" i="25"/>
  <c r="C51" i="25"/>
  <c r="J48" i="25"/>
  <c r="O65" i="25"/>
  <c r="O51" i="25"/>
  <c r="X65" i="25"/>
  <c r="X51" i="25"/>
  <c r="AB65" i="25"/>
  <c r="AB51" i="25"/>
  <c r="F49" i="25"/>
  <c r="J49" i="25"/>
  <c r="M49" i="25"/>
  <c r="E69" i="25"/>
  <c r="E55" i="25"/>
  <c r="L69" i="25"/>
  <c r="L55" i="25"/>
  <c r="Q69" i="25"/>
  <c r="Q55" i="25"/>
  <c r="Z69" i="25"/>
  <c r="Z55" i="25"/>
  <c r="AD69" i="25"/>
  <c r="AD55" i="25"/>
  <c r="C64" i="25"/>
  <c r="C50" i="25"/>
  <c r="O64" i="25"/>
  <c r="O50" i="25"/>
  <c r="O48" i="25" s="1"/>
  <c r="X50" i="25"/>
  <c r="C76" i="25"/>
  <c r="C62" i="25"/>
  <c r="O76" i="25"/>
  <c r="O62" i="25"/>
  <c r="X76" i="25"/>
  <c r="X62" i="25"/>
  <c r="AB76" i="25"/>
  <c r="AB62" i="25"/>
  <c r="C71" i="25"/>
  <c r="C57" i="25"/>
  <c r="O71" i="25"/>
  <c r="O57" i="25"/>
  <c r="X71" i="25"/>
  <c r="X57" i="25"/>
  <c r="AB71" i="25"/>
  <c r="C36" i="25"/>
  <c r="F36" i="25" s="1"/>
  <c r="L46" i="25"/>
  <c r="AD50" i="25"/>
  <c r="AC51" i="25"/>
  <c r="AD56" i="25"/>
  <c r="D68" i="25"/>
  <c r="D54" i="25"/>
  <c r="K54" i="25"/>
  <c r="K68" i="25"/>
  <c r="P68" i="25"/>
  <c r="P54" i="25"/>
  <c r="Y68" i="25"/>
  <c r="Y54" i="25"/>
  <c r="AC68" i="25"/>
  <c r="AE68" i="25" s="1"/>
  <c r="AC54" i="25"/>
  <c r="AE54" i="25" s="1"/>
  <c r="AI68" i="25"/>
  <c r="AI54" i="25"/>
  <c r="N45" i="25"/>
  <c r="R45" i="25"/>
  <c r="AA46" i="25"/>
  <c r="AA45" i="25"/>
  <c r="N74" i="25"/>
  <c r="N60" i="25"/>
  <c r="R74" i="25"/>
  <c r="R60" i="25"/>
  <c r="AA60" i="25"/>
  <c r="AE44" i="25"/>
  <c r="N72" i="25"/>
  <c r="N58" i="25"/>
  <c r="R72" i="25"/>
  <c r="R58" i="25"/>
  <c r="AA58" i="25"/>
  <c r="D66" i="25"/>
  <c r="D52" i="25"/>
  <c r="F52" i="25" s="1"/>
  <c r="K66" i="25"/>
  <c r="K52" i="25"/>
  <c r="P66" i="25"/>
  <c r="P52" i="25"/>
  <c r="Y66" i="25"/>
  <c r="Y52" i="25"/>
  <c r="AC66" i="25"/>
  <c r="AE66" i="25" s="1"/>
  <c r="AC52" i="25"/>
  <c r="AE52" i="25" s="1"/>
  <c r="AI66" i="25"/>
  <c r="AI52" i="25"/>
  <c r="N61" i="25"/>
  <c r="N75" i="25"/>
  <c r="R61" i="25"/>
  <c r="R75" i="25"/>
  <c r="AA75" i="25"/>
  <c r="AA61" i="25"/>
  <c r="R70" i="25"/>
  <c r="R56" i="25"/>
  <c r="AA70" i="25"/>
  <c r="AA56" i="25"/>
  <c r="AI65" i="25"/>
  <c r="AI51" i="25"/>
  <c r="F22" i="25"/>
  <c r="AE49" i="25"/>
  <c r="AI49" i="25"/>
  <c r="N69" i="25"/>
  <c r="N55" i="25"/>
  <c r="R69" i="25"/>
  <c r="R55" i="25"/>
  <c r="D64" i="25"/>
  <c r="D50" i="25"/>
  <c r="K50" i="25"/>
  <c r="P64" i="25"/>
  <c r="P50" i="25"/>
  <c r="Y50" i="25"/>
  <c r="AC64" i="25"/>
  <c r="AC50" i="25"/>
  <c r="AI50" i="25"/>
  <c r="D76" i="25"/>
  <c r="D62" i="25"/>
  <c r="K62" i="25"/>
  <c r="K76" i="25"/>
  <c r="P62" i="25"/>
  <c r="P76" i="25"/>
  <c r="Y76" i="25"/>
  <c r="Y62" i="25"/>
  <c r="AC76" i="25"/>
  <c r="AC62" i="25"/>
  <c r="AI76" i="25"/>
  <c r="AI62" i="25"/>
  <c r="F28" i="25"/>
  <c r="D71" i="25"/>
  <c r="D57" i="25"/>
  <c r="K71" i="25"/>
  <c r="K57" i="25"/>
  <c r="P71" i="25"/>
  <c r="P57" i="25"/>
  <c r="Y71" i="25"/>
  <c r="Y57" i="25"/>
  <c r="AC71" i="25"/>
  <c r="AC57" i="25"/>
  <c r="AI71" i="25"/>
  <c r="AI57" i="25"/>
  <c r="F30" i="25"/>
  <c r="J44" i="25"/>
  <c r="P51" i="25"/>
  <c r="C66" i="25"/>
  <c r="AB70" i="25"/>
  <c r="AB56" i="25"/>
  <c r="E65" i="25"/>
  <c r="E51" i="25"/>
  <c r="L65" i="25"/>
  <c r="L51" i="25"/>
  <c r="Q65" i="25"/>
  <c r="Q51" i="25"/>
  <c r="Z65" i="25"/>
  <c r="Z51" i="25"/>
  <c r="AD65" i="25"/>
  <c r="AE65" i="25" s="1"/>
  <c r="AD51" i="25"/>
  <c r="Z49" i="25"/>
  <c r="C69" i="25"/>
  <c r="F69" i="25" s="1"/>
  <c r="C55" i="25"/>
  <c r="O69" i="25"/>
  <c r="O55" i="25"/>
  <c r="X69" i="25"/>
  <c r="X55" i="25"/>
  <c r="AB69" i="25"/>
  <c r="AB55" i="25"/>
  <c r="AJ69" i="25"/>
  <c r="AH69" i="25"/>
  <c r="E64" i="25"/>
  <c r="E50" i="25"/>
  <c r="L50" i="25"/>
  <c r="Q64" i="25"/>
  <c r="Q50" i="25"/>
  <c r="Z50" i="25"/>
  <c r="E76" i="25"/>
  <c r="E62" i="25"/>
  <c r="E48" i="25" s="1"/>
  <c r="L76" i="25"/>
  <c r="L62" i="25"/>
  <c r="Q76" i="25"/>
  <c r="Q62" i="25"/>
  <c r="Z76" i="25"/>
  <c r="Z62" i="25"/>
  <c r="AD76" i="25"/>
  <c r="AD62" i="25"/>
  <c r="E71" i="25"/>
  <c r="E57" i="25"/>
  <c r="L71" i="25"/>
  <c r="L57" i="25"/>
  <c r="Q71" i="25"/>
  <c r="Q57" i="25"/>
  <c r="Z71" i="25"/>
  <c r="Z57" i="25"/>
  <c r="AD71" i="25"/>
  <c r="AD57" i="25"/>
  <c r="D51" i="25"/>
  <c r="Y51" i="25"/>
  <c r="E60" i="25"/>
  <c r="AA69" i="25"/>
  <c r="E45" i="24"/>
  <c r="Q31" i="24"/>
  <c r="N45" i="24"/>
  <c r="AD45" i="24"/>
  <c r="R45" i="24"/>
  <c r="Z45" i="24"/>
  <c r="T50" i="24"/>
  <c r="Y50" i="24" s="1"/>
  <c r="I51" i="24"/>
  <c r="V51" i="24"/>
  <c r="T52" i="24"/>
  <c r="I53" i="24"/>
  <c r="V53" i="24"/>
  <c r="T54" i="24"/>
  <c r="Y54" i="24" s="1"/>
  <c r="I55" i="24"/>
  <c r="V55" i="24"/>
  <c r="T56" i="24"/>
  <c r="I57" i="24"/>
  <c r="V57" i="24"/>
  <c r="T58" i="24"/>
  <c r="I59" i="24"/>
  <c r="L59" i="24" s="1"/>
  <c r="V59" i="24"/>
  <c r="T60" i="24"/>
  <c r="I61" i="24"/>
  <c r="V61" i="24"/>
  <c r="AA61" i="24" s="1"/>
  <c r="T62" i="24"/>
  <c r="I64" i="24"/>
  <c r="V64" i="24"/>
  <c r="T65" i="24"/>
  <c r="I66" i="24"/>
  <c r="V66" i="24"/>
  <c r="T67" i="24"/>
  <c r="I68" i="24"/>
  <c r="V68" i="24"/>
  <c r="T69" i="24"/>
  <c r="I70" i="24"/>
  <c r="V70" i="24"/>
  <c r="T71" i="24"/>
  <c r="I72" i="24"/>
  <c r="V72" i="24"/>
  <c r="T73" i="24"/>
  <c r="I74" i="24"/>
  <c r="V74" i="24"/>
  <c r="T75" i="24"/>
  <c r="I76" i="24"/>
  <c r="V76" i="24"/>
  <c r="U50" i="24"/>
  <c r="S51" i="24"/>
  <c r="X51" i="24" s="1"/>
  <c r="W51" i="24"/>
  <c r="U52" i="24"/>
  <c r="S53" i="24"/>
  <c r="W53" i="24"/>
  <c r="AB53" i="24" s="1"/>
  <c r="U54" i="24"/>
  <c r="S55" i="24"/>
  <c r="X55" i="24" s="1"/>
  <c r="W55" i="24"/>
  <c r="U56" i="24"/>
  <c r="S57" i="24"/>
  <c r="W57" i="24"/>
  <c r="U58" i="24"/>
  <c r="S59" i="24"/>
  <c r="W59" i="24"/>
  <c r="U60" i="24"/>
  <c r="S61" i="24"/>
  <c r="W61" i="24"/>
  <c r="U62" i="24"/>
  <c r="S64" i="24"/>
  <c r="W64" i="24"/>
  <c r="U65" i="24"/>
  <c r="S66" i="24"/>
  <c r="W66" i="24"/>
  <c r="AB66" i="24" s="1"/>
  <c r="U67" i="24"/>
  <c r="Z67" i="24" s="1"/>
  <c r="S68" i="24"/>
  <c r="X68" i="24" s="1"/>
  <c r="W68" i="24"/>
  <c r="U69" i="24"/>
  <c r="S70" i="24"/>
  <c r="W70" i="24"/>
  <c r="U71" i="24"/>
  <c r="S72" i="24"/>
  <c r="W72" i="24"/>
  <c r="U73" i="24"/>
  <c r="S74" i="24"/>
  <c r="W74" i="24"/>
  <c r="AB74" i="24" s="1"/>
  <c r="U75" i="24"/>
  <c r="Z75" i="24" s="1"/>
  <c r="S76" i="24"/>
  <c r="W76" i="24"/>
  <c r="M36" i="24"/>
  <c r="AE34" i="24"/>
  <c r="AH47" i="24"/>
  <c r="AJ47" i="24"/>
  <c r="L32" i="24"/>
  <c r="L31" i="24"/>
  <c r="AH45" i="24"/>
  <c r="P31" i="24"/>
  <c r="AJ38" i="24"/>
  <c r="AH38" i="24"/>
  <c r="J35" i="24"/>
  <c r="M35" i="24"/>
  <c r="M32" i="24"/>
  <c r="M40" i="24"/>
  <c r="J40" i="24"/>
  <c r="D31" i="24"/>
  <c r="R68" i="24"/>
  <c r="R54" i="24"/>
  <c r="E39" i="24"/>
  <c r="F11" i="24"/>
  <c r="AJ34" i="24"/>
  <c r="AH34" i="24"/>
  <c r="AH52" i="24"/>
  <c r="AJ52" i="24"/>
  <c r="AH42" i="24"/>
  <c r="AJ42" i="24"/>
  <c r="E62" i="24"/>
  <c r="F27" i="24"/>
  <c r="E76" i="24"/>
  <c r="E71" i="24"/>
  <c r="F29" i="24"/>
  <c r="E57" i="24"/>
  <c r="E73" i="24"/>
  <c r="E59" i="24"/>
  <c r="Q73" i="24"/>
  <c r="Q59" i="24"/>
  <c r="Z73" i="24"/>
  <c r="Z59" i="24"/>
  <c r="X46" i="24"/>
  <c r="X45" i="24"/>
  <c r="AI46" i="24"/>
  <c r="AI45" i="24"/>
  <c r="J74" i="24"/>
  <c r="O72" i="24"/>
  <c r="O58" i="24"/>
  <c r="X72" i="24"/>
  <c r="X58" i="24"/>
  <c r="O75" i="24"/>
  <c r="O61" i="24"/>
  <c r="AB61" i="24"/>
  <c r="AB75" i="24"/>
  <c r="M42" i="24"/>
  <c r="J42" i="24"/>
  <c r="X70" i="24"/>
  <c r="X56" i="24"/>
  <c r="O69" i="24"/>
  <c r="O55" i="24"/>
  <c r="AB69" i="24"/>
  <c r="AB55" i="24"/>
  <c r="J43" i="24"/>
  <c r="M43" i="24"/>
  <c r="Y31" i="24"/>
  <c r="AJ39" i="24"/>
  <c r="AJ41" i="24"/>
  <c r="AH41" i="24"/>
  <c r="J52" i="24"/>
  <c r="N67" i="24"/>
  <c r="N53" i="24"/>
  <c r="AA67" i="24"/>
  <c r="AA53" i="24"/>
  <c r="N68" i="24"/>
  <c r="N54" i="24"/>
  <c r="AA46" i="24"/>
  <c r="AA45" i="24"/>
  <c r="E33" i="24"/>
  <c r="F33" i="24" s="1"/>
  <c r="F13" i="24"/>
  <c r="E66" i="24"/>
  <c r="E52" i="24"/>
  <c r="F17" i="24"/>
  <c r="E42" i="24"/>
  <c r="F19" i="24"/>
  <c r="E50" i="24"/>
  <c r="E64" i="24"/>
  <c r="F25" i="24"/>
  <c r="AH35" i="24"/>
  <c r="AJ35" i="24"/>
  <c r="Z32" i="24"/>
  <c r="Z31" i="24"/>
  <c r="F4" i="24"/>
  <c r="C40" i="24"/>
  <c r="F40" i="24" s="1"/>
  <c r="AC40" i="24"/>
  <c r="AE40" i="24" s="1"/>
  <c r="AE4" i="24"/>
  <c r="AD73" i="24"/>
  <c r="AD59" i="24"/>
  <c r="C41" i="24"/>
  <c r="F41" i="24" s="1"/>
  <c r="F8" i="24"/>
  <c r="AE8" i="24"/>
  <c r="AC41" i="24"/>
  <c r="AE41" i="24" s="1"/>
  <c r="J45" i="24"/>
  <c r="M46" i="24"/>
  <c r="M45" i="24"/>
  <c r="AB46" i="24"/>
  <c r="AB45" i="24"/>
  <c r="O74" i="24"/>
  <c r="O60" i="24"/>
  <c r="X74" i="24"/>
  <c r="X60" i="24"/>
  <c r="AB72" i="24"/>
  <c r="AB58" i="24"/>
  <c r="J61" i="24"/>
  <c r="X75" i="24"/>
  <c r="X61" i="24"/>
  <c r="AB70" i="24"/>
  <c r="AB56" i="24"/>
  <c r="AI33" i="24"/>
  <c r="M37" i="24"/>
  <c r="M38" i="24"/>
  <c r="J38" i="24"/>
  <c r="N31" i="24"/>
  <c r="R31" i="24"/>
  <c r="AA32" i="24"/>
  <c r="AA31" i="24"/>
  <c r="AE3" i="24"/>
  <c r="J47" i="24"/>
  <c r="M47" i="24"/>
  <c r="F7" i="24"/>
  <c r="N73" i="24"/>
  <c r="N59" i="24"/>
  <c r="R73" i="24"/>
  <c r="R59" i="24"/>
  <c r="AA73" i="24"/>
  <c r="AA59" i="24"/>
  <c r="AE7" i="24"/>
  <c r="C46" i="24"/>
  <c r="F10" i="24"/>
  <c r="Y45" i="24"/>
  <c r="F39" i="24"/>
  <c r="C74" i="24"/>
  <c r="C60" i="24"/>
  <c r="F12" i="24"/>
  <c r="F14" i="24"/>
  <c r="C34" i="24"/>
  <c r="F34" i="24" s="1"/>
  <c r="C72" i="24"/>
  <c r="F16" i="24"/>
  <c r="C58" i="24"/>
  <c r="C75" i="24"/>
  <c r="C61" i="24"/>
  <c r="F18" i="24"/>
  <c r="C70" i="24"/>
  <c r="C56" i="24"/>
  <c r="F20" i="24"/>
  <c r="C37" i="24"/>
  <c r="F37" i="24" s="1"/>
  <c r="F22" i="24"/>
  <c r="C55" i="24"/>
  <c r="C69" i="24"/>
  <c r="F24" i="24"/>
  <c r="F26" i="24"/>
  <c r="C36" i="24"/>
  <c r="F36" i="24" s="1"/>
  <c r="C43" i="24"/>
  <c r="F43" i="24" s="1"/>
  <c r="F28" i="24"/>
  <c r="AE32" i="24"/>
  <c r="J33" i="24"/>
  <c r="M33" i="24"/>
  <c r="C35" i="24"/>
  <c r="F35" i="24" s="1"/>
  <c r="AJ36" i="24"/>
  <c r="F42" i="24"/>
  <c r="AD42" i="24"/>
  <c r="AE42" i="24" s="1"/>
  <c r="J46" i="24"/>
  <c r="O56" i="24"/>
  <c r="Y64" i="24"/>
  <c r="K31" i="24"/>
  <c r="K32" i="24"/>
  <c r="R67" i="24"/>
  <c r="R53" i="24"/>
  <c r="AA54" i="24"/>
  <c r="AA68" i="24"/>
  <c r="AJ46" i="24"/>
  <c r="AJ45" i="24"/>
  <c r="E44" i="24"/>
  <c r="F44" i="24" s="1"/>
  <c r="F15" i="24"/>
  <c r="E65" i="24"/>
  <c r="E51" i="24"/>
  <c r="F21" i="24"/>
  <c r="E49" i="24"/>
  <c r="F23" i="24"/>
  <c r="AA49" i="24"/>
  <c r="AH43" i="24"/>
  <c r="AJ43" i="24"/>
  <c r="F2" i="24"/>
  <c r="C38" i="24"/>
  <c r="F38" i="24" s="1"/>
  <c r="AC38" i="24"/>
  <c r="AE38" i="24" s="1"/>
  <c r="AE2" i="24"/>
  <c r="F32" i="24"/>
  <c r="J32" i="24"/>
  <c r="M31" i="24"/>
  <c r="J31" i="24"/>
  <c r="O31" i="24"/>
  <c r="X32" i="24"/>
  <c r="X31" i="24"/>
  <c r="AB32" i="24"/>
  <c r="AB31" i="24"/>
  <c r="AJ32" i="24"/>
  <c r="AH31" i="24"/>
  <c r="AH32" i="24"/>
  <c r="AJ31" i="24"/>
  <c r="AJ40" i="24"/>
  <c r="L67" i="24"/>
  <c r="L53" i="24"/>
  <c r="Q67" i="24"/>
  <c r="Q53" i="24"/>
  <c r="AD67" i="24"/>
  <c r="AE67" i="24" s="1"/>
  <c r="AD53" i="24"/>
  <c r="C47" i="24"/>
  <c r="F47" i="24" s="1"/>
  <c r="F6" i="24"/>
  <c r="AC47" i="24"/>
  <c r="AE47" i="24" s="1"/>
  <c r="AE6" i="24"/>
  <c r="E54" i="24"/>
  <c r="F54" i="24" s="1"/>
  <c r="E68" i="24"/>
  <c r="L68" i="24"/>
  <c r="L54" i="24"/>
  <c r="Q68" i="24"/>
  <c r="Q54" i="24"/>
  <c r="Z54" i="24"/>
  <c r="Z68" i="24"/>
  <c r="AD68" i="24"/>
  <c r="AD54" i="24"/>
  <c r="AE9" i="24"/>
  <c r="D45" i="24"/>
  <c r="L46" i="24"/>
  <c r="L45" i="24"/>
  <c r="AD33" i="24"/>
  <c r="AE33" i="24" s="1"/>
  <c r="AE13" i="24"/>
  <c r="AD44" i="24"/>
  <c r="AE44" i="24" s="1"/>
  <c r="AE15" i="24"/>
  <c r="L52" i="24"/>
  <c r="L66" i="24"/>
  <c r="Q52" i="24"/>
  <c r="Q66" i="24"/>
  <c r="Z66" i="24"/>
  <c r="Z52" i="24"/>
  <c r="AD66" i="24"/>
  <c r="AD52" i="24"/>
  <c r="AE17" i="24"/>
  <c r="Q65" i="24"/>
  <c r="Q51" i="24"/>
  <c r="Z65" i="24"/>
  <c r="Z51" i="24"/>
  <c r="AD65" i="24"/>
  <c r="AD51" i="24"/>
  <c r="AE21" i="24"/>
  <c r="L49" i="24"/>
  <c r="Z49" i="24"/>
  <c r="AD49" i="24"/>
  <c r="AE49" i="24" s="1"/>
  <c r="AE23" i="24"/>
  <c r="L50" i="24"/>
  <c r="Q64" i="24"/>
  <c r="Q50" i="24"/>
  <c r="Z50" i="24"/>
  <c r="AD64" i="24"/>
  <c r="AD50" i="24"/>
  <c r="AE25" i="24"/>
  <c r="L62" i="24"/>
  <c r="L76" i="24"/>
  <c r="Q62" i="24"/>
  <c r="Q76" i="24"/>
  <c r="Z62" i="24"/>
  <c r="Z76" i="24"/>
  <c r="AD76" i="24"/>
  <c r="AD62" i="24"/>
  <c r="AE27" i="24"/>
  <c r="L71" i="24"/>
  <c r="L57" i="24"/>
  <c r="Q71" i="24"/>
  <c r="Q57" i="24"/>
  <c r="Z71" i="24"/>
  <c r="Z57" i="24"/>
  <c r="AD71" i="24"/>
  <c r="AD57" i="24"/>
  <c r="AE57" i="24" s="1"/>
  <c r="AE29" i="24"/>
  <c r="AH37" i="24"/>
  <c r="AD39" i="24"/>
  <c r="AE39" i="24" s="1"/>
  <c r="J41" i="24"/>
  <c r="AH46" i="24"/>
  <c r="L51" i="24"/>
  <c r="AB60" i="24"/>
  <c r="X69" i="24"/>
  <c r="AI74" i="24"/>
  <c r="AI60" i="24"/>
  <c r="D55" i="24"/>
  <c r="D69" i="24"/>
  <c r="P69" i="24"/>
  <c r="P55" i="24"/>
  <c r="R64" i="24"/>
  <c r="R50" i="24"/>
  <c r="AA76" i="24"/>
  <c r="AA62" i="24"/>
  <c r="R71" i="24"/>
  <c r="R57" i="24"/>
  <c r="F68" i="24"/>
  <c r="AB68" i="24"/>
  <c r="AB54" i="24"/>
  <c r="E74" i="24"/>
  <c r="E60" i="24"/>
  <c r="Q74" i="24"/>
  <c r="Q60" i="24"/>
  <c r="Z74" i="24"/>
  <c r="Z60" i="24"/>
  <c r="AD74" i="24"/>
  <c r="AD60" i="24"/>
  <c r="E72" i="24"/>
  <c r="E58" i="24"/>
  <c r="L72" i="24"/>
  <c r="L58" i="24"/>
  <c r="Q72" i="24"/>
  <c r="Q58" i="24"/>
  <c r="Z72" i="24"/>
  <c r="Z58" i="24"/>
  <c r="AD58" i="24"/>
  <c r="AD72" i="24"/>
  <c r="C66" i="24"/>
  <c r="C52" i="24"/>
  <c r="J66" i="24"/>
  <c r="M66" i="24"/>
  <c r="X66" i="24"/>
  <c r="X52" i="24"/>
  <c r="L75" i="24"/>
  <c r="L61" i="24"/>
  <c r="Q75" i="24"/>
  <c r="Q61" i="24"/>
  <c r="AD75" i="24"/>
  <c r="AD61" i="24"/>
  <c r="E70" i="24"/>
  <c r="E56" i="24"/>
  <c r="L70" i="24"/>
  <c r="L56" i="24"/>
  <c r="Z70" i="24"/>
  <c r="Z56" i="24"/>
  <c r="AD70" i="24"/>
  <c r="AD56" i="24"/>
  <c r="O65" i="24"/>
  <c r="O51" i="24"/>
  <c r="AB65" i="24"/>
  <c r="AB51" i="24"/>
  <c r="X49" i="24"/>
  <c r="AB49" i="24"/>
  <c r="AJ49" i="24"/>
  <c r="AH49" i="24"/>
  <c r="E69" i="24"/>
  <c r="E55" i="24"/>
  <c r="Z69" i="24"/>
  <c r="Z55" i="24"/>
  <c r="AD69" i="24"/>
  <c r="AD55" i="24"/>
  <c r="M48" i="24"/>
  <c r="O64" i="24"/>
  <c r="O50" i="24"/>
  <c r="X64" i="24"/>
  <c r="X63" i="24"/>
  <c r="AB50" i="24"/>
  <c r="C76" i="24"/>
  <c r="C62" i="24"/>
  <c r="X76" i="24"/>
  <c r="X62" i="24"/>
  <c r="AB76" i="24"/>
  <c r="AB62" i="24"/>
  <c r="C71" i="24"/>
  <c r="C57" i="24"/>
  <c r="X71" i="24"/>
  <c r="X57" i="24"/>
  <c r="AB71" i="24"/>
  <c r="AB57" i="24"/>
  <c r="AC35" i="24"/>
  <c r="AE35" i="24" s="1"/>
  <c r="M49" i="24"/>
  <c r="C50" i="24"/>
  <c r="F50" i="24" s="1"/>
  <c r="X50" i="24"/>
  <c r="AI51" i="24"/>
  <c r="O52" i="24"/>
  <c r="AC53" i="24"/>
  <c r="AE53" i="24" s="1"/>
  <c r="L55" i="24"/>
  <c r="AI59" i="24"/>
  <c r="D64" i="24"/>
  <c r="F64" i="24" s="1"/>
  <c r="Q70" i="24"/>
  <c r="L74" i="24"/>
  <c r="AE46" i="24"/>
  <c r="D74" i="24"/>
  <c r="D60" i="24"/>
  <c r="Y74" i="24"/>
  <c r="Y60" i="24"/>
  <c r="AC74" i="24"/>
  <c r="AE74" i="24" s="1"/>
  <c r="AC60" i="24"/>
  <c r="AE60" i="24" s="1"/>
  <c r="K72" i="24"/>
  <c r="K58" i="24"/>
  <c r="P72" i="24"/>
  <c r="P58" i="24"/>
  <c r="AC58" i="24"/>
  <c r="AE58" i="24" s="1"/>
  <c r="AC72" i="24"/>
  <c r="AI72" i="24"/>
  <c r="AI58" i="24"/>
  <c r="N66" i="24"/>
  <c r="N52" i="24"/>
  <c r="R66" i="24"/>
  <c r="R52" i="24"/>
  <c r="AA66" i="24"/>
  <c r="AA52" i="24"/>
  <c r="D75" i="24"/>
  <c r="D61" i="24"/>
  <c r="P75" i="24"/>
  <c r="P61" i="24"/>
  <c r="Y75" i="24"/>
  <c r="Y61" i="24"/>
  <c r="AC75" i="24"/>
  <c r="AE75" i="24" s="1"/>
  <c r="AC61" i="24"/>
  <c r="D70" i="24"/>
  <c r="D56" i="24"/>
  <c r="Y70" i="24"/>
  <c r="Y56" i="24"/>
  <c r="AC70" i="24"/>
  <c r="AE70" i="24" s="1"/>
  <c r="AC56" i="24"/>
  <c r="AI56" i="24"/>
  <c r="AI70" i="24"/>
  <c r="N65" i="24"/>
  <c r="N51" i="24"/>
  <c r="AA65" i="24"/>
  <c r="AA51" i="24"/>
  <c r="K69" i="24"/>
  <c r="K55" i="24"/>
  <c r="AC69" i="24"/>
  <c r="AC55" i="24"/>
  <c r="AE55" i="24" s="1"/>
  <c r="N64" i="24"/>
  <c r="N50" i="24"/>
  <c r="AA50" i="24"/>
  <c r="R76" i="24"/>
  <c r="R62" i="24"/>
  <c r="AJ33" i="24"/>
  <c r="AC43" i="24"/>
  <c r="AE43" i="24" s="1"/>
  <c r="P56" i="24"/>
  <c r="N57" i="24"/>
  <c r="K60" i="24"/>
  <c r="Y69" i="24"/>
  <c r="K75" i="24"/>
  <c r="C67" i="24"/>
  <c r="C53" i="24"/>
  <c r="O67" i="24"/>
  <c r="O53" i="24"/>
  <c r="X67" i="24"/>
  <c r="X53" i="24"/>
  <c r="C73" i="24"/>
  <c r="C59" i="24"/>
  <c r="O73" i="24"/>
  <c r="O59" i="24"/>
  <c r="X73" i="24"/>
  <c r="X59" i="24"/>
  <c r="AB73" i="24"/>
  <c r="AB59" i="24"/>
  <c r="O68" i="24"/>
  <c r="O54" i="24"/>
  <c r="D67" i="24"/>
  <c r="D53" i="24"/>
  <c r="K53" i="24"/>
  <c r="K67" i="24"/>
  <c r="P67" i="24"/>
  <c r="P53" i="24"/>
  <c r="Y67" i="24"/>
  <c r="Y53" i="24"/>
  <c r="AI67" i="24"/>
  <c r="AI53" i="24"/>
  <c r="D73" i="24"/>
  <c r="D59" i="24"/>
  <c r="K73" i="24"/>
  <c r="K59" i="24"/>
  <c r="P73" i="24"/>
  <c r="P59" i="24"/>
  <c r="Y73" i="24"/>
  <c r="Y59" i="24"/>
  <c r="AC73" i="24"/>
  <c r="AE73" i="24" s="1"/>
  <c r="AC59" i="24"/>
  <c r="AE59" i="24" s="1"/>
  <c r="K68" i="24"/>
  <c r="K54" i="24"/>
  <c r="P68" i="24"/>
  <c r="P54" i="24"/>
  <c r="AC68" i="24"/>
  <c r="AE68" i="24" s="1"/>
  <c r="AC54" i="24"/>
  <c r="AE54" i="24" s="1"/>
  <c r="AI68" i="24"/>
  <c r="AI54" i="24"/>
  <c r="AE10" i="24"/>
  <c r="N74" i="24"/>
  <c r="N60" i="24"/>
  <c r="R74" i="24"/>
  <c r="R60" i="24"/>
  <c r="AA74" i="24"/>
  <c r="AA60" i="24"/>
  <c r="AE12" i="24"/>
  <c r="R72" i="24"/>
  <c r="R58" i="24"/>
  <c r="AA72" i="24"/>
  <c r="AA58" i="24"/>
  <c r="AE16" i="24"/>
  <c r="D66" i="24"/>
  <c r="D52" i="24"/>
  <c r="Y66" i="24"/>
  <c r="Y52" i="24"/>
  <c r="AC66" i="24"/>
  <c r="AE66" i="24" s="1"/>
  <c r="AC52" i="24"/>
  <c r="AE52" i="24" s="1"/>
  <c r="R75" i="24"/>
  <c r="R61" i="24"/>
  <c r="AE18" i="24"/>
  <c r="N70" i="24"/>
  <c r="N56" i="24"/>
  <c r="AA70" i="24"/>
  <c r="AA56" i="24"/>
  <c r="AE20" i="24"/>
  <c r="D65" i="24"/>
  <c r="D51" i="24"/>
  <c r="F51" i="24" s="1"/>
  <c r="K65" i="24"/>
  <c r="K51" i="24"/>
  <c r="P65" i="24"/>
  <c r="P51" i="24"/>
  <c r="Y65" i="24"/>
  <c r="Y51" i="24"/>
  <c r="AC65" i="24"/>
  <c r="AE65" i="24" s="1"/>
  <c r="AC51" i="24"/>
  <c r="AE51" i="24" s="1"/>
  <c r="K49" i="24"/>
  <c r="Y49" i="24"/>
  <c r="AI49" i="24"/>
  <c r="N69" i="24"/>
  <c r="N55" i="24"/>
  <c r="AA69" i="24"/>
  <c r="AA55" i="24"/>
  <c r="AE24" i="24"/>
  <c r="K50" i="24"/>
  <c r="P64" i="24"/>
  <c r="P50" i="24"/>
  <c r="AC50" i="24"/>
  <c r="AC64" i="24"/>
  <c r="AI50" i="24"/>
  <c r="AE26" i="24"/>
  <c r="D76" i="24"/>
  <c r="D62" i="24"/>
  <c r="K76" i="24"/>
  <c r="K62" i="24"/>
  <c r="P76" i="24"/>
  <c r="P62" i="24"/>
  <c r="Y76" i="24"/>
  <c r="Y62" i="24"/>
  <c r="AC62" i="24"/>
  <c r="AE62" i="24" s="1"/>
  <c r="AC76" i="24"/>
  <c r="AE76" i="24" s="1"/>
  <c r="AI62" i="24"/>
  <c r="AI76" i="24"/>
  <c r="D71" i="24"/>
  <c r="D57" i="24"/>
  <c r="K71" i="24"/>
  <c r="K57" i="24"/>
  <c r="Y71" i="24"/>
  <c r="Y57" i="24"/>
  <c r="AE71" i="24"/>
  <c r="AI71" i="24"/>
  <c r="AI57" i="24"/>
  <c r="K56" i="24"/>
  <c r="AA57" i="24"/>
  <c r="D58" i="24"/>
  <c r="Y58" i="24"/>
  <c r="P60" i="24"/>
  <c r="N61" i="24"/>
  <c r="AI61" i="24"/>
  <c r="C65" i="24"/>
  <c r="F65" i="24" s="1"/>
  <c r="AI66" i="24"/>
  <c r="R70" i="24"/>
  <c r="N72" i="24"/>
  <c r="N31" i="12"/>
  <c r="C33" i="12"/>
  <c r="F19" i="12"/>
  <c r="AE19" i="12"/>
  <c r="C39" i="12"/>
  <c r="D31" i="12"/>
  <c r="Q31" i="12"/>
  <c r="AD31" i="12"/>
  <c r="P31" i="12"/>
  <c r="AC39" i="12"/>
  <c r="AC33" i="12"/>
  <c r="AE33" i="12" s="1"/>
  <c r="AC32" i="12"/>
  <c r="AE32" i="12" s="1"/>
  <c r="F23" i="12"/>
  <c r="E31" i="12"/>
  <c r="AC32" i="10"/>
  <c r="AC39" i="10"/>
  <c r="F15" i="10"/>
  <c r="AE15" i="10"/>
  <c r="AE41" i="10"/>
  <c r="AC49" i="10"/>
  <c r="AE37" i="10"/>
  <c r="P31" i="10"/>
  <c r="E31" i="10"/>
  <c r="Q31" i="10"/>
  <c r="AD31" i="10"/>
  <c r="F3" i="10"/>
  <c r="N31" i="10"/>
  <c r="R31" i="10"/>
  <c r="F11" i="10"/>
  <c r="F13" i="10"/>
  <c r="F23" i="10"/>
  <c r="D31" i="10"/>
  <c r="AA32" i="12"/>
  <c r="AA31" i="12"/>
  <c r="M34" i="12"/>
  <c r="J34" i="12"/>
  <c r="M35" i="12"/>
  <c r="J35" i="12"/>
  <c r="C31" i="12"/>
  <c r="F32" i="12"/>
  <c r="J31" i="12"/>
  <c r="J32" i="12"/>
  <c r="M31" i="12"/>
  <c r="M32" i="12"/>
  <c r="O31" i="12"/>
  <c r="X32" i="12"/>
  <c r="X31" i="12"/>
  <c r="AB32" i="12"/>
  <c r="AB31" i="12"/>
  <c r="AH32" i="12"/>
  <c r="AJ32" i="12"/>
  <c r="AH31" i="12"/>
  <c r="AJ31" i="12"/>
  <c r="F34" i="12"/>
  <c r="K32" i="12"/>
  <c r="K31" i="12"/>
  <c r="Y32" i="12"/>
  <c r="Y31" i="12"/>
  <c r="AI32" i="12"/>
  <c r="AI31" i="12"/>
  <c r="L31" i="12"/>
  <c r="L32" i="12"/>
  <c r="Z32" i="12"/>
  <c r="Z31" i="12"/>
  <c r="F33" i="12"/>
  <c r="M33" i="12"/>
  <c r="J33" i="12"/>
  <c r="AH34" i="12"/>
  <c r="AJ34" i="12"/>
  <c r="AJ35" i="12"/>
  <c r="AH35" i="12"/>
  <c r="N67" i="12"/>
  <c r="N53" i="12"/>
  <c r="V73" i="12"/>
  <c r="AA73" i="12" s="1"/>
  <c r="V59" i="12"/>
  <c r="AA59" i="12" s="1"/>
  <c r="R68" i="12"/>
  <c r="R54" i="12"/>
  <c r="P45" i="12"/>
  <c r="P74" i="12"/>
  <c r="P60" i="12"/>
  <c r="AG74" i="12"/>
  <c r="AI74" i="12" s="1"/>
  <c r="AG60" i="12"/>
  <c r="AI60" i="12" s="1"/>
  <c r="P72" i="12"/>
  <c r="P58" i="12"/>
  <c r="AG72" i="12"/>
  <c r="AI72" i="12" s="1"/>
  <c r="AG58" i="12"/>
  <c r="AI58" i="12" s="1"/>
  <c r="R66" i="12"/>
  <c r="R52" i="12"/>
  <c r="P75" i="12"/>
  <c r="P61" i="12"/>
  <c r="D70" i="12"/>
  <c r="D56" i="12"/>
  <c r="T70" i="12"/>
  <c r="Y70" i="12" s="1"/>
  <c r="T56" i="12"/>
  <c r="Y56" i="12" s="1"/>
  <c r="AG70" i="12"/>
  <c r="AI70" i="12" s="1"/>
  <c r="AG56" i="12"/>
  <c r="AI56" i="12" s="1"/>
  <c r="R65" i="12"/>
  <c r="R51" i="12"/>
  <c r="H69" i="12"/>
  <c r="K69" i="12" s="1"/>
  <c r="H55" i="12"/>
  <c r="K55" i="12" s="1"/>
  <c r="AC69" i="12"/>
  <c r="AC55" i="12"/>
  <c r="N64" i="12"/>
  <c r="N50" i="12"/>
  <c r="R76" i="12"/>
  <c r="R62" i="12"/>
  <c r="AJ33" i="12"/>
  <c r="F2" i="12"/>
  <c r="AE2" i="12"/>
  <c r="F4" i="12"/>
  <c r="AE4" i="12"/>
  <c r="D67" i="12"/>
  <c r="D53" i="12"/>
  <c r="H67" i="12"/>
  <c r="K67" i="12" s="1"/>
  <c r="H53" i="12"/>
  <c r="K53" i="12" s="1"/>
  <c r="P67" i="12"/>
  <c r="P53" i="12"/>
  <c r="T67" i="12"/>
  <c r="Y67" i="12" s="1"/>
  <c r="T53" i="12"/>
  <c r="Y53" i="12" s="1"/>
  <c r="AC67" i="12"/>
  <c r="AC53" i="12"/>
  <c r="AG67" i="12"/>
  <c r="AI67" i="12" s="1"/>
  <c r="AG53" i="12"/>
  <c r="AI53" i="12" s="1"/>
  <c r="F6" i="12"/>
  <c r="AE6" i="12"/>
  <c r="D73" i="12"/>
  <c r="D59" i="12"/>
  <c r="H73" i="12"/>
  <c r="K73" i="12" s="1"/>
  <c r="H59" i="12"/>
  <c r="K59" i="12" s="1"/>
  <c r="P73" i="12"/>
  <c r="P59" i="12"/>
  <c r="T73" i="12"/>
  <c r="Y73" i="12" s="1"/>
  <c r="T59" i="12"/>
  <c r="Y59" i="12" s="1"/>
  <c r="AC73" i="12"/>
  <c r="AC59" i="12"/>
  <c r="AG73" i="12"/>
  <c r="AI73" i="12" s="1"/>
  <c r="AG59" i="12"/>
  <c r="AI59" i="12" s="1"/>
  <c r="F8" i="12"/>
  <c r="AE8" i="12"/>
  <c r="D68" i="12"/>
  <c r="D54" i="12"/>
  <c r="H68" i="12"/>
  <c r="K68" i="12" s="1"/>
  <c r="H54" i="12"/>
  <c r="K54" i="12" s="1"/>
  <c r="P68" i="12"/>
  <c r="P54" i="12"/>
  <c r="T68" i="12"/>
  <c r="Y68" i="12" s="1"/>
  <c r="T54" i="12"/>
  <c r="Y54" i="12" s="1"/>
  <c r="AC68" i="12"/>
  <c r="AC54" i="12"/>
  <c r="AG68" i="12"/>
  <c r="AI68" i="12" s="1"/>
  <c r="AG54" i="12"/>
  <c r="AI54" i="12" s="1"/>
  <c r="F10" i="12"/>
  <c r="N45" i="12"/>
  <c r="R45" i="12"/>
  <c r="AA46" i="12"/>
  <c r="AA45" i="12"/>
  <c r="AE10" i="12"/>
  <c r="AE39" i="12"/>
  <c r="N74" i="12"/>
  <c r="N60" i="12"/>
  <c r="R74" i="12"/>
  <c r="R60" i="12"/>
  <c r="V74" i="12"/>
  <c r="AA74" i="12" s="1"/>
  <c r="V60" i="12"/>
  <c r="AA60" i="12" s="1"/>
  <c r="F14" i="12"/>
  <c r="AE14" i="12"/>
  <c r="AE44" i="12"/>
  <c r="N72" i="12"/>
  <c r="N58" i="12"/>
  <c r="R72" i="12"/>
  <c r="R58" i="12"/>
  <c r="V72" i="12"/>
  <c r="AA72" i="12" s="1"/>
  <c r="V58" i="12"/>
  <c r="AA58" i="12" s="1"/>
  <c r="D66" i="12"/>
  <c r="D52" i="12"/>
  <c r="H66" i="12"/>
  <c r="K66" i="12" s="1"/>
  <c r="H52" i="12"/>
  <c r="K52" i="12" s="1"/>
  <c r="P66" i="12"/>
  <c r="P52" i="12"/>
  <c r="T66" i="12"/>
  <c r="Y66" i="12" s="1"/>
  <c r="T52" i="12"/>
  <c r="Y52" i="12" s="1"/>
  <c r="AC66" i="12"/>
  <c r="AC52" i="12"/>
  <c r="AG66" i="12"/>
  <c r="AI66" i="12" s="1"/>
  <c r="AG52" i="12"/>
  <c r="AI52" i="12" s="1"/>
  <c r="N75" i="12"/>
  <c r="N61" i="12"/>
  <c r="R75" i="12"/>
  <c r="R61" i="12"/>
  <c r="V75" i="12"/>
  <c r="AA75" i="12" s="1"/>
  <c r="V61" i="12"/>
  <c r="AA61" i="12" s="1"/>
  <c r="AE42" i="12"/>
  <c r="N70" i="12"/>
  <c r="N56" i="12"/>
  <c r="R70" i="12"/>
  <c r="R56" i="12"/>
  <c r="V70" i="12"/>
  <c r="AA70" i="12" s="1"/>
  <c r="V56" i="12"/>
  <c r="AA56" i="12" s="1"/>
  <c r="D65" i="12"/>
  <c r="D51" i="12"/>
  <c r="H65" i="12"/>
  <c r="K65" i="12" s="1"/>
  <c r="H51" i="12"/>
  <c r="K51" i="12" s="1"/>
  <c r="P65" i="12"/>
  <c r="P51" i="12"/>
  <c r="T65" i="12"/>
  <c r="Y65" i="12" s="1"/>
  <c r="T51" i="12"/>
  <c r="Y51" i="12" s="1"/>
  <c r="AC65" i="12"/>
  <c r="AC51" i="12"/>
  <c r="AG65" i="12"/>
  <c r="AI65" i="12" s="1"/>
  <c r="AG51" i="12"/>
  <c r="AI51" i="12" s="1"/>
  <c r="F22" i="12"/>
  <c r="AE22" i="12"/>
  <c r="K49" i="12"/>
  <c r="Y49" i="12"/>
  <c r="AE49" i="12"/>
  <c r="AI49" i="12"/>
  <c r="N69" i="12"/>
  <c r="N55" i="12"/>
  <c r="R69" i="12"/>
  <c r="R55" i="12"/>
  <c r="V69" i="12"/>
  <c r="AA69" i="12" s="1"/>
  <c r="V55" i="12"/>
  <c r="AA55" i="12" s="1"/>
  <c r="AE24" i="12"/>
  <c r="D64" i="12"/>
  <c r="D50" i="12"/>
  <c r="H64" i="12"/>
  <c r="H50" i="12"/>
  <c r="K50" i="12" s="1"/>
  <c r="P64" i="12"/>
  <c r="P50" i="12"/>
  <c r="T64" i="12"/>
  <c r="T50" i="12"/>
  <c r="Y50" i="12" s="1"/>
  <c r="AC64" i="12"/>
  <c r="AC50" i="12"/>
  <c r="AG64" i="12"/>
  <c r="AG50" i="12"/>
  <c r="AI50" i="12" s="1"/>
  <c r="F26" i="12"/>
  <c r="AE26" i="12"/>
  <c r="D76" i="12"/>
  <c r="D62" i="12"/>
  <c r="H76" i="12"/>
  <c r="K76" i="12" s="1"/>
  <c r="H62" i="12"/>
  <c r="K62" i="12" s="1"/>
  <c r="P76" i="12"/>
  <c r="P62" i="12"/>
  <c r="T76" i="12"/>
  <c r="Y76" i="12" s="1"/>
  <c r="T62" i="12"/>
  <c r="Y62" i="12" s="1"/>
  <c r="AC76" i="12"/>
  <c r="AC62" i="12"/>
  <c r="AG76" i="12"/>
  <c r="AI76" i="12" s="1"/>
  <c r="AG62" i="12"/>
  <c r="AI62" i="12" s="1"/>
  <c r="F28" i="12"/>
  <c r="AE28" i="12"/>
  <c r="D71" i="12"/>
  <c r="D57" i="12"/>
  <c r="H71" i="12"/>
  <c r="K71" i="12" s="1"/>
  <c r="H57" i="12"/>
  <c r="K57" i="12" s="1"/>
  <c r="P71" i="12"/>
  <c r="P57" i="12"/>
  <c r="T71" i="12"/>
  <c r="Y71" i="12" s="1"/>
  <c r="T57" i="12"/>
  <c r="Y57" i="12" s="1"/>
  <c r="AC71" i="12"/>
  <c r="AC57" i="12"/>
  <c r="AG71" i="12"/>
  <c r="AI71" i="12" s="1"/>
  <c r="AG57" i="12"/>
  <c r="AI57" i="12" s="1"/>
  <c r="F30" i="12"/>
  <c r="AE30" i="12"/>
  <c r="R67" i="12"/>
  <c r="R53" i="12"/>
  <c r="R73" i="12"/>
  <c r="R59" i="12"/>
  <c r="N68" i="12"/>
  <c r="N54" i="12"/>
  <c r="D45" i="12"/>
  <c r="Y46" i="12"/>
  <c r="Y45" i="12"/>
  <c r="AE46" i="12"/>
  <c r="AE45" i="12" s="1"/>
  <c r="AC45" i="12"/>
  <c r="H74" i="12"/>
  <c r="K74" i="12" s="1"/>
  <c r="H60" i="12"/>
  <c r="K60" i="12" s="1"/>
  <c r="T74" i="12"/>
  <c r="Y74" i="12" s="1"/>
  <c r="T60" i="12"/>
  <c r="Y60" i="12" s="1"/>
  <c r="D72" i="12"/>
  <c r="D58" i="12"/>
  <c r="T72" i="12"/>
  <c r="Y72" i="12" s="1"/>
  <c r="T58" i="12"/>
  <c r="Y58" i="12" s="1"/>
  <c r="N66" i="12"/>
  <c r="N52" i="12"/>
  <c r="V66" i="12"/>
  <c r="AA66" i="12" s="1"/>
  <c r="V52" i="12"/>
  <c r="AA52" i="12" s="1"/>
  <c r="H75" i="12"/>
  <c r="K75" i="12" s="1"/>
  <c r="H61" i="12"/>
  <c r="K61" i="12" s="1"/>
  <c r="AC75" i="12"/>
  <c r="AC61" i="12"/>
  <c r="H70" i="12"/>
  <c r="K70" i="12" s="1"/>
  <c r="H56" i="12"/>
  <c r="K56" i="12" s="1"/>
  <c r="V65" i="12"/>
  <c r="AA65" i="12" s="1"/>
  <c r="V51" i="12"/>
  <c r="AA51" i="12" s="1"/>
  <c r="D69" i="12"/>
  <c r="D55" i="12"/>
  <c r="P69" i="12"/>
  <c r="P55" i="12"/>
  <c r="AG69" i="12"/>
  <c r="AI69" i="12" s="1"/>
  <c r="AG55" i="12"/>
  <c r="AI55" i="12" s="1"/>
  <c r="R64" i="12"/>
  <c r="R50" i="12"/>
  <c r="N76" i="12"/>
  <c r="N62" i="12"/>
  <c r="N71" i="12"/>
  <c r="N57" i="12"/>
  <c r="F38" i="12"/>
  <c r="J38" i="12"/>
  <c r="M38" i="12"/>
  <c r="AH38" i="12"/>
  <c r="AJ38" i="12"/>
  <c r="F40" i="12"/>
  <c r="J40" i="12"/>
  <c r="M40" i="12"/>
  <c r="AH40" i="12"/>
  <c r="AJ40" i="12"/>
  <c r="E67" i="12"/>
  <c r="E53" i="12"/>
  <c r="I67" i="12"/>
  <c r="L67" i="12" s="1"/>
  <c r="I53" i="12"/>
  <c r="L53" i="12" s="1"/>
  <c r="Q67" i="12"/>
  <c r="Q53" i="12"/>
  <c r="U67" i="12"/>
  <c r="Z67" i="12" s="1"/>
  <c r="U53" i="12"/>
  <c r="Z53" i="12" s="1"/>
  <c r="AD67" i="12"/>
  <c r="AD53" i="12"/>
  <c r="F47" i="12"/>
  <c r="M47" i="12"/>
  <c r="J47" i="12"/>
  <c r="AJ47" i="12"/>
  <c r="AH47" i="12"/>
  <c r="E73" i="12"/>
  <c r="E59" i="12"/>
  <c r="I73" i="12"/>
  <c r="L73" i="12" s="1"/>
  <c r="I59" i="12"/>
  <c r="L59" i="12" s="1"/>
  <c r="Q73" i="12"/>
  <c r="Q59" i="12"/>
  <c r="U73" i="12"/>
  <c r="Z73" i="12" s="1"/>
  <c r="U59" i="12"/>
  <c r="Z59" i="12" s="1"/>
  <c r="AD73" i="12"/>
  <c r="AD59" i="12"/>
  <c r="F41" i="12"/>
  <c r="J41" i="12"/>
  <c r="M41" i="12"/>
  <c r="AJ41" i="12"/>
  <c r="AH41" i="12"/>
  <c r="E68" i="12"/>
  <c r="E54" i="12"/>
  <c r="I68" i="12"/>
  <c r="L68" i="12" s="1"/>
  <c r="I54" i="12"/>
  <c r="L54" i="12" s="1"/>
  <c r="Q68" i="12"/>
  <c r="Q54" i="12"/>
  <c r="U68" i="12"/>
  <c r="Z68" i="12" s="1"/>
  <c r="U54" i="12"/>
  <c r="Z54" i="12" s="1"/>
  <c r="AD68" i="12"/>
  <c r="AD54" i="12"/>
  <c r="C45" i="12"/>
  <c r="F46" i="12"/>
  <c r="J46" i="12"/>
  <c r="J45" i="12"/>
  <c r="M46" i="12"/>
  <c r="M45" i="12"/>
  <c r="O45" i="12"/>
  <c r="X46" i="12"/>
  <c r="X45" i="12"/>
  <c r="AB46" i="12"/>
  <c r="AB45" i="12"/>
  <c r="AH46" i="12"/>
  <c r="AJ46" i="12"/>
  <c r="AH45" i="12"/>
  <c r="C74" i="12"/>
  <c r="C60" i="12"/>
  <c r="G74" i="12"/>
  <c r="G60" i="12"/>
  <c r="O74" i="12"/>
  <c r="O60" i="12"/>
  <c r="S74" i="12"/>
  <c r="X74" i="12" s="1"/>
  <c r="S60" i="12"/>
  <c r="X60" i="12" s="1"/>
  <c r="W74" i="12"/>
  <c r="AB74" i="12" s="1"/>
  <c r="W60" i="12"/>
  <c r="AB60" i="12" s="1"/>
  <c r="AF74" i="12"/>
  <c r="AF60" i="12"/>
  <c r="C72" i="12"/>
  <c r="C58" i="12"/>
  <c r="G72" i="12"/>
  <c r="G58" i="12"/>
  <c r="O72" i="12"/>
  <c r="O58" i="12"/>
  <c r="S72" i="12"/>
  <c r="X72" i="12" s="1"/>
  <c r="S58" i="12"/>
  <c r="X58" i="12" s="1"/>
  <c r="W72" i="12"/>
  <c r="AB72" i="12" s="1"/>
  <c r="W58" i="12"/>
  <c r="AB58" i="12" s="1"/>
  <c r="AF72" i="12"/>
  <c r="AF58" i="12"/>
  <c r="E66" i="12"/>
  <c r="E52" i="12"/>
  <c r="I66" i="12"/>
  <c r="L66" i="12" s="1"/>
  <c r="I52" i="12"/>
  <c r="L52" i="12" s="1"/>
  <c r="Q66" i="12"/>
  <c r="Q52" i="12"/>
  <c r="U66" i="12"/>
  <c r="Z66" i="12" s="1"/>
  <c r="U52" i="12"/>
  <c r="Z52" i="12" s="1"/>
  <c r="AD66" i="12"/>
  <c r="AD52" i="12"/>
  <c r="C75" i="12"/>
  <c r="C61" i="12"/>
  <c r="G75" i="12"/>
  <c r="G61" i="12"/>
  <c r="O75" i="12"/>
  <c r="O61" i="12"/>
  <c r="S75" i="12"/>
  <c r="X75" i="12" s="1"/>
  <c r="S61" i="12"/>
  <c r="X61" i="12" s="1"/>
  <c r="W75" i="12"/>
  <c r="AB75" i="12" s="1"/>
  <c r="W61" i="12"/>
  <c r="AB61" i="12" s="1"/>
  <c r="AF75" i="12"/>
  <c r="AF61" i="12"/>
  <c r="C70" i="12"/>
  <c r="C56" i="12"/>
  <c r="G70" i="12"/>
  <c r="G56" i="12"/>
  <c r="O70" i="12"/>
  <c r="O56" i="12"/>
  <c r="S70" i="12"/>
  <c r="X70" i="12" s="1"/>
  <c r="S56" i="12"/>
  <c r="X56" i="12" s="1"/>
  <c r="W70" i="12"/>
  <c r="AB70" i="12" s="1"/>
  <c r="W56" i="12"/>
  <c r="AB56" i="12" s="1"/>
  <c r="AF70" i="12"/>
  <c r="AF56" i="12"/>
  <c r="E65" i="12"/>
  <c r="E51" i="12"/>
  <c r="I65" i="12"/>
  <c r="L65" i="12" s="1"/>
  <c r="I51" i="12"/>
  <c r="L51" i="12" s="1"/>
  <c r="Q65" i="12"/>
  <c r="Q51" i="12"/>
  <c r="U65" i="12"/>
  <c r="Z65" i="12" s="1"/>
  <c r="U51" i="12"/>
  <c r="Z51" i="12" s="1"/>
  <c r="AD65" i="12"/>
  <c r="AD51" i="12"/>
  <c r="F37" i="12"/>
  <c r="J37" i="12"/>
  <c r="M37" i="12"/>
  <c r="AJ37" i="12"/>
  <c r="AH37" i="12"/>
  <c r="L49" i="12"/>
  <c r="Z49" i="12"/>
  <c r="C69" i="12"/>
  <c r="C55" i="12"/>
  <c r="G69" i="12"/>
  <c r="G55" i="12"/>
  <c r="O69" i="12"/>
  <c r="O55" i="12"/>
  <c r="S69" i="12"/>
  <c r="X69" i="12" s="1"/>
  <c r="S55" i="12"/>
  <c r="X55" i="12" s="1"/>
  <c r="W69" i="12"/>
  <c r="AB69" i="12" s="1"/>
  <c r="W55" i="12"/>
  <c r="AB55" i="12" s="1"/>
  <c r="AF69" i="12"/>
  <c r="AF55" i="12"/>
  <c r="E64" i="12"/>
  <c r="E50" i="12"/>
  <c r="I64" i="12"/>
  <c r="I50" i="12"/>
  <c r="L50" i="12" s="1"/>
  <c r="Q64" i="12"/>
  <c r="Q50" i="12"/>
  <c r="U64" i="12"/>
  <c r="U50" i="12"/>
  <c r="Z50" i="12" s="1"/>
  <c r="AD64" i="12"/>
  <c r="AD50" i="12"/>
  <c r="F36" i="12"/>
  <c r="J36" i="12"/>
  <c r="M36" i="12"/>
  <c r="AH36" i="12"/>
  <c r="AJ36" i="12"/>
  <c r="E76" i="12"/>
  <c r="E62" i="12"/>
  <c r="I76" i="12"/>
  <c r="L76" i="12" s="1"/>
  <c r="I62" i="12"/>
  <c r="L62" i="12" s="1"/>
  <c r="Q76" i="12"/>
  <c r="Q62" i="12"/>
  <c r="U76" i="12"/>
  <c r="Z76" i="12" s="1"/>
  <c r="U62" i="12"/>
  <c r="Z62" i="12" s="1"/>
  <c r="AD76" i="12"/>
  <c r="AD62" i="12"/>
  <c r="F43" i="12"/>
  <c r="J43" i="12"/>
  <c r="M43" i="12"/>
  <c r="AJ43" i="12"/>
  <c r="AH43" i="12"/>
  <c r="E71" i="12"/>
  <c r="E57" i="12"/>
  <c r="I71" i="12"/>
  <c r="L71" i="12" s="1"/>
  <c r="I57" i="12"/>
  <c r="L57" i="12" s="1"/>
  <c r="Q71" i="12"/>
  <c r="Q57" i="12"/>
  <c r="U71" i="12"/>
  <c r="Z71" i="12" s="1"/>
  <c r="U57" i="12"/>
  <c r="Z57" i="12" s="1"/>
  <c r="AD71" i="12"/>
  <c r="AD57" i="12"/>
  <c r="V67" i="12"/>
  <c r="AA67" i="12" s="1"/>
  <c r="V53" i="12"/>
  <c r="AA53" i="12" s="1"/>
  <c r="N73" i="12"/>
  <c r="N59" i="12"/>
  <c r="V68" i="12"/>
  <c r="AA68" i="12" s="1"/>
  <c r="V54" i="12"/>
  <c r="AA54" i="12" s="1"/>
  <c r="K46" i="12"/>
  <c r="K45" i="12"/>
  <c r="AI46" i="12"/>
  <c r="AI45" i="12"/>
  <c r="D74" i="12"/>
  <c r="D60" i="12"/>
  <c r="AC74" i="12"/>
  <c r="AC60" i="12"/>
  <c r="H72" i="12"/>
  <c r="K72" i="12" s="1"/>
  <c r="H58" i="12"/>
  <c r="K58" i="12" s="1"/>
  <c r="AC72" i="12"/>
  <c r="AC58" i="12"/>
  <c r="D75" i="12"/>
  <c r="D61" i="12"/>
  <c r="T75" i="12"/>
  <c r="Y75" i="12" s="1"/>
  <c r="T61" i="12"/>
  <c r="Y61" i="12" s="1"/>
  <c r="AG75" i="12"/>
  <c r="AI75" i="12" s="1"/>
  <c r="AG61" i="12"/>
  <c r="AI61" i="12" s="1"/>
  <c r="P70" i="12"/>
  <c r="P56" i="12"/>
  <c r="AC70" i="12"/>
  <c r="AC56" i="12"/>
  <c r="N65" i="12"/>
  <c r="N51" i="12"/>
  <c r="AA49" i="12"/>
  <c r="T69" i="12"/>
  <c r="Y69" i="12" s="1"/>
  <c r="T55" i="12"/>
  <c r="Y55" i="12" s="1"/>
  <c r="V64" i="12"/>
  <c r="V50" i="12"/>
  <c r="AA50" i="12" s="1"/>
  <c r="V76" i="12"/>
  <c r="AA76" i="12" s="1"/>
  <c r="V62" i="12"/>
  <c r="AA62" i="12" s="1"/>
  <c r="R71" i="12"/>
  <c r="R57" i="12"/>
  <c r="V71" i="12"/>
  <c r="AA71" i="12" s="1"/>
  <c r="V57" i="12"/>
  <c r="AA57" i="12" s="1"/>
  <c r="C67" i="12"/>
  <c r="C53" i="12"/>
  <c r="G67" i="12"/>
  <c r="G53" i="12"/>
  <c r="O67" i="12"/>
  <c r="O53" i="12"/>
  <c r="S67" i="12"/>
  <c r="X67" i="12" s="1"/>
  <c r="S53" i="12"/>
  <c r="X53" i="12" s="1"/>
  <c r="W67" i="12"/>
  <c r="AB67" i="12" s="1"/>
  <c r="W53" i="12"/>
  <c r="AB53" i="12" s="1"/>
  <c r="AF67" i="12"/>
  <c r="AF53" i="12"/>
  <c r="C73" i="12"/>
  <c r="C59" i="12"/>
  <c r="G73" i="12"/>
  <c r="G59" i="12"/>
  <c r="O73" i="12"/>
  <c r="O59" i="12"/>
  <c r="S73" i="12"/>
  <c r="X73" i="12" s="1"/>
  <c r="S59" i="12"/>
  <c r="X59" i="12" s="1"/>
  <c r="W73" i="12"/>
  <c r="AB73" i="12" s="1"/>
  <c r="W59" i="12"/>
  <c r="AB59" i="12" s="1"/>
  <c r="AF73" i="12"/>
  <c r="AF59" i="12"/>
  <c r="C68" i="12"/>
  <c r="F68" i="12" s="1"/>
  <c r="C54" i="12"/>
  <c r="G68" i="12"/>
  <c r="G54" i="12"/>
  <c r="O68" i="12"/>
  <c r="O54" i="12"/>
  <c r="S68" i="12"/>
  <c r="X68" i="12" s="1"/>
  <c r="S54" i="12"/>
  <c r="X54" i="12" s="1"/>
  <c r="W68" i="12"/>
  <c r="AB68" i="12" s="1"/>
  <c r="W54" i="12"/>
  <c r="AB54" i="12" s="1"/>
  <c r="AF68" i="12"/>
  <c r="AF54" i="12"/>
  <c r="E45" i="12"/>
  <c r="L46" i="12"/>
  <c r="L45" i="12"/>
  <c r="Q45" i="12"/>
  <c r="Z46" i="12"/>
  <c r="Z45" i="12"/>
  <c r="AD45" i="12"/>
  <c r="F39" i="12"/>
  <c r="J39" i="12"/>
  <c r="M39" i="12"/>
  <c r="AJ39" i="12"/>
  <c r="AH39" i="12"/>
  <c r="E74" i="12"/>
  <c r="E60" i="12"/>
  <c r="I74" i="12"/>
  <c r="L74" i="12" s="1"/>
  <c r="I60" i="12"/>
  <c r="L60" i="12" s="1"/>
  <c r="Q74" i="12"/>
  <c r="Q60" i="12"/>
  <c r="U74" i="12"/>
  <c r="Z74" i="12" s="1"/>
  <c r="U60" i="12"/>
  <c r="Z60" i="12" s="1"/>
  <c r="AD74" i="12"/>
  <c r="AD60" i="12"/>
  <c r="F44" i="12"/>
  <c r="J44" i="12"/>
  <c r="M44" i="12"/>
  <c r="AH44" i="12"/>
  <c r="AJ44" i="12"/>
  <c r="E72" i="12"/>
  <c r="E58" i="12"/>
  <c r="I72" i="12"/>
  <c r="L72" i="12" s="1"/>
  <c r="I58" i="12"/>
  <c r="L58" i="12" s="1"/>
  <c r="Q72" i="12"/>
  <c r="Q58" i="12"/>
  <c r="U72" i="12"/>
  <c r="Z72" i="12" s="1"/>
  <c r="U58" i="12"/>
  <c r="Z58" i="12" s="1"/>
  <c r="AD72" i="12"/>
  <c r="AD58" i="12"/>
  <c r="C66" i="12"/>
  <c r="C52" i="12"/>
  <c r="G66" i="12"/>
  <c r="G52" i="12"/>
  <c r="O66" i="12"/>
  <c r="O52" i="12"/>
  <c r="S66" i="12"/>
  <c r="X66" i="12" s="1"/>
  <c r="S52" i="12"/>
  <c r="X52" i="12" s="1"/>
  <c r="W66" i="12"/>
  <c r="AB66" i="12" s="1"/>
  <c r="W52" i="12"/>
  <c r="AB52" i="12" s="1"/>
  <c r="AF66" i="12"/>
  <c r="AF52" i="12"/>
  <c r="E75" i="12"/>
  <c r="E61" i="12"/>
  <c r="I75" i="12"/>
  <c r="L75" i="12" s="1"/>
  <c r="I61" i="12"/>
  <c r="L61" i="12" s="1"/>
  <c r="Q75" i="12"/>
  <c r="Q61" i="12"/>
  <c r="U75" i="12"/>
  <c r="Z75" i="12" s="1"/>
  <c r="U61" i="12"/>
  <c r="Z61" i="12" s="1"/>
  <c r="AD75" i="12"/>
  <c r="AD61" i="12"/>
  <c r="F42" i="12"/>
  <c r="J42" i="12"/>
  <c r="M42" i="12"/>
  <c r="AH42" i="12"/>
  <c r="AJ42" i="12"/>
  <c r="E70" i="12"/>
  <c r="E56" i="12"/>
  <c r="I70" i="12"/>
  <c r="L70" i="12" s="1"/>
  <c r="I56" i="12"/>
  <c r="L56" i="12" s="1"/>
  <c r="Q70" i="12"/>
  <c r="Q56" i="12"/>
  <c r="U70" i="12"/>
  <c r="Z70" i="12" s="1"/>
  <c r="U56" i="12"/>
  <c r="Z56" i="12" s="1"/>
  <c r="AD70" i="12"/>
  <c r="AD56" i="12"/>
  <c r="C65" i="12"/>
  <c r="C51" i="12"/>
  <c r="F51" i="12" s="1"/>
  <c r="G65" i="12"/>
  <c r="G51" i="12"/>
  <c r="O65" i="12"/>
  <c r="O51" i="12"/>
  <c r="S65" i="12"/>
  <c r="X65" i="12" s="1"/>
  <c r="S51" i="12"/>
  <c r="X51" i="12" s="1"/>
  <c r="W65" i="12"/>
  <c r="AB65" i="12" s="1"/>
  <c r="W51" i="12"/>
  <c r="AB51" i="12" s="1"/>
  <c r="AF65" i="12"/>
  <c r="AF51" i="12"/>
  <c r="F49" i="12"/>
  <c r="J49" i="12"/>
  <c r="M49" i="12"/>
  <c r="X49" i="12"/>
  <c r="AB49" i="12"/>
  <c r="AH49" i="12"/>
  <c r="AJ49" i="12"/>
  <c r="E69" i="12"/>
  <c r="E55" i="12"/>
  <c r="I69" i="12"/>
  <c r="L69" i="12" s="1"/>
  <c r="I55" i="12"/>
  <c r="L55" i="12" s="1"/>
  <c r="Q69" i="12"/>
  <c r="Q55" i="12"/>
  <c r="U69" i="12"/>
  <c r="Z69" i="12" s="1"/>
  <c r="U55" i="12"/>
  <c r="Z55" i="12" s="1"/>
  <c r="AD69" i="12"/>
  <c r="AD55" i="12"/>
  <c r="C64" i="12"/>
  <c r="F64" i="12" s="1"/>
  <c r="C50" i="12"/>
  <c r="G64" i="12"/>
  <c r="G50" i="12"/>
  <c r="O64" i="12"/>
  <c r="O50" i="12"/>
  <c r="S64" i="12"/>
  <c r="S50" i="12"/>
  <c r="X50" i="12" s="1"/>
  <c r="W64" i="12"/>
  <c r="W50" i="12"/>
  <c r="AB50" i="12" s="1"/>
  <c r="AF64" i="12"/>
  <c r="AF50" i="12"/>
  <c r="C76" i="12"/>
  <c r="C62" i="12"/>
  <c r="G76" i="12"/>
  <c r="G62" i="12"/>
  <c r="O76" i="12"/>
  <c r="O62" i="12"/>
  <c r="S76" i="12"/>
  <c r="X76" i="12" s="1"/>
  <c r="S62" i="12"/>
  <c r="X62" i="12" s="1"/>
  <c r="W76" i="12"/>
  <c r="AB76" i="12" s="1"/>
  <c r="W62" i="12"/>
  <c r="AB62" i="12" s="1"/>
  <c r="AF76" i="12"/>
  <c r="AF62" i="12"/>
  <c r="C71" i="12"/>
  <c r="C57" i="12"/>
  <c r="G71" i="12"/>
  <c r="G57" i="12"/>
  <c r="O71" i="12"/>
  <c r="O57" i="12"/>
  <c r="S71" i="12"/>
  <c r="X71" i="12" s="1"/>
  <c r="S57" i="12"/>
  <c r="X57" i="12" s="1"/>
  <c r="W71" i="12"/>
  <c r="AB71" i="12" s="1"/>
  <c r="W57" i="12"/>
  <c r="AB57" i="12" s="1"/>
  <c r="AF71" i="12"/>
  <c r="AF57" i="12"/>
  <c r="C31" i="10"/>
  <c r="F32" i="10"/>
  <c r="J31" i="10"/>
  <c r="J32" i="10"/>
  <c r="M31" i="10"/>
  <c r="M32" i="10"/>
  <c r="O31" i="10"/>
  <c r="X32" i="10"/>
  <c r="X31" i="10"/>
  <c r="AB32" i="10"/>
  <c r="AB31" i="10"/>
  <c r="AH32" i="10"/>
  <c r="AJ31" i="10"/>
  <c r="AJ32" i="10"/>
  <c r="AH31" i="10"/>
  <c r="K32" i="10"/>
  <c r="K31" i="10"/>
  <c r="Y32" i="10"/>
  <c r="Y31" i="10"/>
  <c r="AE32" i="10"/>
  <c r="AC31" i="10"/>
  <c r="AI32" i="10"/>
  <c r="AI31" i="10"/>
  <c r="L31" i="10"/>
  <c r="L32" i="10"/>
  <c r="Z32" i="10"/>
  <c r="Z31" i="10"/>
  <c r="M33" i="10"/>
  <c r="J33" i="10"/>
  <c r="AA32" i="10"/>
  <c r="AA31" i="10"/>
  <c r="F2" i="10"/>
  <c r="AE2" i="10"/>
  <c r="F4" i="10"/>
  <c r="AE4" i="10"/>
  <c r="D67" i="10"/>
  <c r="D53" i="10"/>
  <c r="H67" i="10"/>
  <c r="K67" i="10" s="1"/>
  <c r="H53" i="10"/>
  <c r="K53" i="10" s="1"/>
  <c r="P67" i="10"/>
  <c r="P53" i="10"/>
  <c r="T67" i="10"/>
  <c r="Y67" i="10" s="1"/>
  <c r="T53" i="10"/>
  <c r="Y53" i="10" s="1"/>
  <c r="AC67" i="10"/>
  <c r="AC53" i="10"/>
  <c r="AG67" i="10"/>
  <c r="AI67" i="10" s="1"/>
  <c r="AG53" i="10"/>
  <c r="AI53" i="10" s="1"/>
  <c r="F6" i="10"/>
  <c r="AE6" i="10"/>
  <c r="D73" i="10"/>
  <c r="D59" i="10"/>
  <c r="H73" i="10"/>
  <c r="K73" i="10" s="1"/>
  <c r="H59" i="10"/>
  <c r="K59" i="10" s="1"/>
  <c r="P73" i="10"/>
  <c r="P59" i="10"/>
  <c r="T73" i="10"/>
  <c r="Y73" i="10" s="1"/>
  <c r="T59" i="10"/>
  <c r="Y59" i="10" s="1"/>
  <c r="AC73" i="10"/>
  <c r="AC59" i="10"/>
  <c r="AG73" i="10"/>
  <c r="AI73" i="10" s="1"/>
  <c r="AG59" i="10"/>
  <c r="AI59" i="10" s="1"/>
  <c r="F8" i="10"/>
  <c r="AE8" i="10"/>
  <c r="D68" i="10"/>
  <c r="D54" i="10"/>
  <c r="H68" i="10"/>
  <c r="K68" i="10" s="1"/>
  <c r="H54" i="10"/>
  <c r="K54" i="10" s="1"/>
  <c r="P68" i="10"/>
  <c r="P54" i="10"/>
  <c r="T68" i="10"/>
  <c r="Y68" i="10" s="1"/>
  <c r="T54" i="10"/>
  <c r="Y54" i="10" s="1"/>
  <c r="AC54" i="10"/>
  <c r="AC68" i="10"/>
  <c r="AG68" i="10"/>
  <c r="AI68" i="10" s="1"/>
  <c r="AG54" i="10"/>
  <c r="AI54" i="10" s="1"/>
  <c r="F10" i="10"/>
  <c r="N45" i="10"/>
  <c r="R45" i="10"/>
  <c r="AA46" i="10"/>
  <c r="AA45" i="10"/>
  <c r="AE10" i="10"/>
  <c r="AE39" i="10"/>
  <c r="N74" i="10"/>
  <c r="N60" i="10"/>
  <c r="R74" i="10"/>
  <c r="R60" i="10"/>
  <c r="V74" i="10"/>
  <c r="AA74" i="10" s="1"/>
  <c r="V60" i="10"/>
  <c r="AA60" i="10" s="1"/>
  <c r="AE33" i="10"/>
  <c r="F14" i="10"/>
  <c r="AE14" i="10"/>
  <c r="AE44" i="10"/>
  <c r="N72" i="10"/>
  <c r="N58" i="10"/>
  <c r="R72" i="10"/>
  <c r="R58" i="10"/>
  <c r="V72" i="10"/>
  <c r="AA72" i="10" s="1"/>
  <c r="V58" i="10"/>
  <c r="AA58" i="10" s="1"/>
  <c r="D66" i="10"/>
  <c r="D52" i="10"/>
  <c r="H66" i="10"/>
  <c r="K66" i="10" s="1"/>
  <c r="H52" i="10"/>
  <c r="K52" i="10" s="1"/>
  <c r="P66" i="10"/>
  <c r="P52" i="10"/>
  <c r="T66" i="10"/>
  <c r="Y66" i="10" s="1"/>
  <c r="T52" i="10"/>
  <c r="Y52" i="10" s="1"/>
  <c r="AC66" i="10"/>
  <c r="AC52" i="10"/>
  <c r="AG66" i="10"/>
  <c r="AI66" i="10" s="1"/>
  <c r="AG52" i="10"/>
  <c r="AI52" i="10" s="1"/>
  <c r="N75" i="10"/>
  <c r="N61" i="10"/>
  <c r="R75" i="10"/>
  <c r="R61" i="10"/>
  <c r="V75" i="10"/>
  <c r="AA75" i="10" s="1"/>
  <c r="V61" i="10"/>
  <c r="AA61" i="10" s="1"/>
  <c r="AE42" i="10"/>
  <c r="N70" i="10"/>
  <c r="N56" i="10"/>
  <c r="R70" i="10"/>
  <c r="R56" i="10"/>
  <c r="V70" i="10"/>
  <c r="AA70" i="10" s="1"/>
  <c r="V56" i="10"/>
  <c r="AA56" i="10" s="1"/>
  <c r="D65" i="10"/>
  <c r="D51" i="10"/>
  <c r="H65" i="10"/>
  <c r="K65" i="10" s="1"/>
  <c r="H51" i="10"/>
  <c r="K51" i="10" s="1"/>
  <c r="P65" i="10"/>
  <c r="P51" i="10"/>
  <c r="T65" i="10"/>
  <c r="Y65" i="10" s="1"/>
  <c r="T51" i="10"/>
  <c r="Y51" i="10" s="1"/>
  <c r="AC65" i="10"/>
  <c r="AC51" i="10"/>
  <c r="AG65" i="10"/>
  <c r="AI65" i="10" s="1"/>
  <c r="AG51" i="10"/>
  <c r="AI51" i="10" s="1"/>
  <c r="F22" i="10"/>
  <c r="AE22" i="10"/>
  <c r="K49" i="10"/>
  <c r="Y49" i="10"/>
  <c r="AE49" i="10"/>
  <c r="AI49" i="10"/>
  <c r="N69" i="10"/>
  <c r="N55" i="10"/>
  <c r="R69" i="10"/>
  <c r="R55" i="10"/>
  <c r="V69" i="10"/>
  <c r="AA69" i="10" s="1"/>
  <c r="V55" i="10"/>
  <c r="AA55" i="10" s="1"/>
  <c r="D64" i="10"/>
  <c r="D50" i="10"/>
  <c r="H64" i="10"/>
  <c r="H50" i="10"/>
  <c r="K50" i="10" s="1"/>
  <c r="P64" i="10"/>
  <c r="P50" i="10"/>
  <c r="T64" i="10"/>
  <c r="T50" i="10"/>
  <c r="Y50" i="10" s="1"/>
  <c r="AC64" i="10"/>
  <c r="AC50" i="10"/>
  <c r="AG64" i="10"/>
  <c r="AG50" i="10"/>
  <c r="AI50" i="10" s="1"/>
  <c r="F26" i="10"/>
  <c r="AE26" i="10"/>
  <c r="D76" i="10"/>
  <c r="D62" i="10"/>
  <c r="H76" i="10"/>
  <c r="K76" i="10" s="1"/>
  <c r="H62" i="10"/>
  <c r="K62" i="10" s="1"/>
  <c r="P76" i="10"/>
  <c r="P62" i="10"/>
  <c r="T76" i="10"/>
  <c r="Y76" i="10" s="1"/>
  <c r="T62" i="10"/>
  <c r="Y62" i="10" s="1"/>
  <c r="AC76" i="10"/>
  <c r="AC62" i="10"/>
  <c r="AG76" i="10"/>
  <c r="AI76" i="10" s="1"/>
  <c r="AG62" i="10"/>
  <c r="AI62" i="10" s="1"/>
  <c r="F28" i="10"/>
  <c r="AE28" i="10"/>
  <c r="D71" i="10"/>
  <c r="D57" i="10"/>
  <c r="H71" i="10"/>
  <c r="K71" i="10" s="1"/>
  <c r="H57" i="10"/>
  <c r="K57" i="10" s="1"/>
  <c r="P71" i="10"/>
  <c r="P57" i="10"/>
  <c r="T71" i="10"/>
  <c r="Y71" i="10" s="1"/>
  <c r="T57" i="10"/>
  <c r="Y57" i="10" s="1"/>
  <c r="AC71" i="10"/>
  <c r="AC57" i="10"/>
  <c r="AG71" i="10"/>
  <c r="AI71" i="10" s="1"/>
  <c r="AG57" i="10"/>
  <c r="AI57" i="10" s="1"/>
  <c r="F30" i="10"/>
  <c r="AE30" i="10"/>
  <c r="F38" i="10"/>
  <c r="J38" i="10"/>
  <c r="M38" i="10"/>
  <c r="AJ38" i="10"/>
  <c r="AH38" i="10"/>
  <c r="F40" i="10"/>
  <c r="J40" i="10"/>
  <c r="M40" i="10"/>
  <c r="AJ40" i="10"/>
  <c r="AH40" i="10"/>
  <c r="E67" i="10"/>
  <c r="E53" i="10"/>
  <c r="I67" i="10"/>
  <c r="L67" i="10" s="1"/>
  <c r="I53" i="10"/>
  <c r="L53" i="10" s="1"/>
  <c r="Q67" i="10"/>
  <c r="Q53" i="10"/>
  <c r="U67" i="10"/>
  <c r="Z67" i="10" s="1"/>
  <c r="U53" i="10"/>
  <c r="Z53" i="10" s="1"/>
  <c r="AD67" i="10"/>
  <c r="AD53" i="10"/>
  <c r="F47" i="10"/>
  <c r="J47" i="10"/>
  <c r="M47" i="10"/>
  <c r="AJ47" i="10"/>
  <c r="AH47" i="10"/>
  <c r="E73" i="10"/>
  <c r="E59" i="10"/>
  <c r="I73" i="10"/>
  <c r="L73" i="10" s="1"/>
  <c r="I59" i="10"/>
  <c r="L59" i="10" s="1"/>
  <c r="Q73" i="10"/>
  <c r="Q59" i="10"/>
  <c r="U73" i="10"/>
  <c r="Z73" i="10" s="1"/>
  <c r="U59" i="10"/>
  <c r="Z59" i="10" s="1"/>
  <c r="AD73" i="10"/>
  <c r="AD59" i="10"/>
  <c r="F41" i="10"/>
  <c r="J41" i="10"/>
  <c r="M41" i="10"/>
  <c r="AH41" i="10"/>
  <c r="AJ41" i="10"/>
  <c r="E68" i="10"/>
  <c r="E54" i="10"/>
  <c r="I68" i="10"/>
  <c r="L68" i="10" s="1"/>
  <c r="I54" i="10"/>
  <c r="L54" i="10" s="1"/>
  <c r="Q68" i="10"/>
  <c r="Q54" i="10"/>
  <c r="U68" i="10"/>
  <c r="Z68" i="10" s="1"/>
  <c r="U54" i="10"/>
  <c r="Z54" i="10" s="1"/>
  <c r="AD68" i="10"/>
  <c r="AD54" i="10"/>
  <c r="F46" i="10"/>
  <c r="C45" i="10"/>
  <c r="J46" i="10"/>
  <c r="M45" i="10"/>
  <c r="M46" i="10"/>
  <c r="J45" i="10"/>
  <c r="O45" i="10"/>
  <c r="X46" i="10"/>
  <c r="X45" i="10"/>
  <c r="AB46" i="10"/>
  <c r="AB45" i="10"/>
  <c r="AH46" i="10"/>
  <c r="AJ46" i="10"/>
  <c r="AH45" i="10"/>
  <c r="C74" i="10"/>
  <c r="C60" i="10"/>
  <c r="G74" i="10"/>
  <c r="G60" i="10"/>
  <c r="O74" i="10"/>
  <c r="O60" i="10"/>
  <c r="S74" i="10"/>
  <c r="X74" i="10" s="1"/>
  <c r="S60" i="10"/>
  <c r="X60" i="10" s="1"/>
  <c r="W74" i="10"/>
  <c r="AB74" i="10" s="1"/>
  <c r="W60" i="10"/>
  <c r="AB60" i="10" s="1"/>
  <c r="AF74" i="10"/>
  <c r="AF60" i="10"/>
  <c r="F34" i="10"/>
  <c r="J34" i="10"/>
  <c r="M34" i="10"/>
  <c r="AJ34" i="10"/>
  <c r="AH34" i="10"/>
  <c r="C72" i="10"/>
  <c r="C58" i="10"/>
  <c r="G72" i="10"/>
  <c r="G58" i="10"/>
  <c r="O72" i="10"/>
  <c r="O58" i="10"/>
  <c r="S72" i="10"/>
  <c r="X72" i="10" s="1"/>
  <c r="S58" i="10"/>
  <c r="X58" i="10" s="1"/>
  <c r="W72" i="10"/>
  <c r="AB72" i="10" s="1"/>
  <c r="W58" i="10"/>
  <c r="AB58" i="10" s="1"/>
  <c r="AF72" i="10"/>
  <c r="AF58" i="10"/>
  <c r="E66" i="10"/>
  <c r="E52" i="10"/>
  <c r="I66" i="10"/>
  <c r="L66" i="10" s="1"/>
  <c r="I52" i="10"/>
  <c r="L52" i="10" s="1"/>
  <c r="Q66" i="10"/>
  <c r="Q52" i="10"/>
  <c r="U66" i="10"/>
  <c r="Z66" i="10" s="1"/>
  <c r="U52" i="10"/>
  <c r="Z52" i="10" s="1"/>
  <c r="AD66" i="10"/>
  <c r="AD52" i="10"/>
  <c r="C75" i="10"/>
  <c r="C61" i="10"/>
  <c r="G75" i="10"/>
  <c r="G61" i="10"/>
  <c r="O61" i="10"/>
  <c r="O75" i="10"/>
  <c r="S61" i="10"/>
  <c r="X61" i="10" s="1"/>
  <c r="S75" i="10"/>
  <c r="X75" i="10" s="1"/>
  <c r="W75" i="10"/>
  <c r="AB75" i="10" s="1"/>
  <c r="W61" i="10"/>
  <c r="AB61" i="10" s="1"/>
  <c r="AF75" i="10"/>
  <c r="AF61" i="10"/>
  <c r="C70" i="10"/>
  <c r="C56" i="10"/>
  <c r="G70" i="10"/>
  <c r="G56" i="10"/>
  <c r="O70" i="10"/>
  <c r="O56" i="10"/>
  <c r="S70" i="10"/>
  <c r="X70" i="10" s="1"/>
  <c r="S56" i="10"/>
  <c r="X56" i="10" s="1"/>
  <c r="W70" i="10"/>
  <c r="AB70" i="10" s="1"/>
  <c r="W56" i="10"/>
  <c r="AB56" i="10" s="1"/>
  <c r="AF70" i="10"/>
  <c r="AF56" i="10"/>
  <c r="E65" i="10"/>
  <c r="E51" i="10"/>
  <c r="I65" i="10"/>
  <c r="L65" i="10" s="1"/>
  <c r="I51" i="10"/>
  <c r="L51" i="10" s="1"/>
  <c r="Q65" i="10"/>
  <c r="Q51" i="10"/>
  <c r="U65" i="10"/>
  <c r="Z65" i="10" s="1"/>
  <c r="U51" i="10"/>
  <c r="Z51" i="10" s="1"/>
  <c r="AD65" i="10"/>
  <c r="AD51" i="10"/>
  <c r="F37" i="10"/>
  <c r="J37" i="10"/>
  <c r="M37" i="10"/>
  <c r="AH37" i="10"/>
  <c r="AJ37" i="10"/>
  <c r="L49" i="10"/>
  <c r="Z49" i="10"/>
  <c r="C69" i="10"/>
  <c r="C55" i="10"/>
  <c r="G69" i="10"/>
  <c r="G55" i="10"/>
  <c r="O69" i="10"/>
  <c r="O55" i="10"/>
  <c r="S69" i="10"/>
  <c r="X69" i="10" s="1"/>
  <c r="S55" i="10"/>
  <c r="X55" i="10" s="1"/>
  <c r="W69" i="10"/>
  <c r="AB69" i="10" s="1"/>
  <c r="W55" i="10"/>
  <c r="AB55" i="10" s="1"/>
  <c r="AF69" i="10"/>
  <c r="AF55" i="10"/>
  <c r="E64" i="10"/>
  <c r="E50" i="10"/>
  <c r="I64" i="10"/>
  <c r="I50" i="10"/>
  <c r="L50" i="10" s="1"/>
  <c r="Q64" i="10"/>
  <c r="Q50" i="10"/>
  <c r="U64" i="10"/>
  <c r="U50" i="10"/>
  <c r="Z50" i="10" s="1"/>
  <c r="AD64" i="10"/>
  <c r="AD50" i="10"/>
  <c r="F36" i="10"/>
  <c r="J36" i="10"/>
  <c r="M36" i="10"/>
  <c r="AJ36" i="10"/>
  <c r="AH36" i="10"/>
  <c r="E76" i="10"/>
  <c r="E62" i="10"/>
  <c r="I76" i="10"/>
  <c r="L76" i="10" s="1"/>
  <c r="I62" i="10"/>
  <c r="L62" i="10" s="1"/>
  <c r="Q62" i="10"/>
  <c r="Q76" i="10"/>
  <c r="U76" i="10"/>
  <c r="Z76" i="10" s="1"/>
  <c r="U62" i="10"/>
  <c r="Z62" i="10" s="1"/>
  <c r="AD76" i="10"/>
  <c r="AD62" i="10"/>
  <c r="F43" i="10"/>
  <c r="J43" i="10"/>
  <c r="M43" i="10"/>
  <c r="AH43" i="10"/>
  <c r="AJ43" i="10"/>
  <c r="E71" i="10"/>
  <c r="E57" i="10"/>
  <c r="I71" i="10"/>
  <c r="L71" i="10" s="1"/>
  <c r="I57" i="10"/>
  <c r="L57" i="10" s="1"/>
  <c r="Q71" i="10"/>
  <c r="Q57" i="10"/>
  <c r="U71" i="10"/>
  <c r="Z71" i="10" s="1"/>
  <c r="U57" i="10"/>
  <c r="Z57" i="10" s="1"/>
  <c r="AD71" i="10"/>
  <c r="AD57" i="10"/>
  <c r="F35" i="10"/>
  <c r="J35" i="10"/>
  <c r="M35" i="10"/>
  <c r="AH35" i="10"/>
  <c r="AJ35" i="10"/>
  <c r="N67" i="10"/>
  <c r="N53" i="10"/>
  <c r="R67" i="10"/>
  <c r="R53" i="10"/>
  <c r="V67" i="10"/>
  <c r="AA67" i="10" s="1"/>
  <c r="V53" i="10"/>
  <c r="AA53" i="10" s="1"/>
  <c r="N73" i="10"/>
  <c r="N59" i="10"/>
  <c r="R73" i="10"/>
  <c r="R59" i="10"/>
  <c r="V73" i="10"/>
  <c r="AA73" i="10" s="1"/>
  <c r="V59" i="10"/>
  <c r="AA59" i="10" s="1"/>
  <c r="N68" i="10"/>
  <c r="N54" i="10"/>
  <c r="R68" i="10"/>
  <c r="R54" i="10"/>
  <c r="V68" i="10"/>
  <c r="AA68" i="10" s="1"/>
  <c r="V54" i="10"/>
  <c r="AA54" i="10" s="1"/>
  <c r="D45" i="10"/>
  <c r="K45" i="10"/>
  <c r="K46" i="10"/>
  <c r="P45" i="10"/>
  <c r="Y46" i="10"/>
  <c r="Y45" i="10"/>
  <c r="AC45" i="10"/>
  <c r="AE46" i="10"/>
  <c r="AE45" i="10" s="1"/>
  <c r="AI45" i="10"/>
  <c r="AI46" i="10"/>
  <c r="D74" i="10"/>
  <c r="D60" i="10"/>
  <c r="H74" i="10"/>
  <c r="K74" i="10" s="1"/>
  <c r="H60" i="10"/>
  <c r="K60" i="10" s="1"/>
  <c r="P74" i="10"/>
  <c r="P60" i="10"/>
  <c r="T74" i="10"/>
  <c r="Y74" i="10" s="1"/>
  <c r="T60" i="10"/>
  <c r="Y60" i="10" s="1"/>
  <c r="AC74" i="10"/>
  <c r="AC60" i="10"/>
  <c r="AG74" i="10"/>
  <c r="AI74" i="10" s="1"/>
  <c r="AG60" i="10"/>
  <c r="AI60" i="10" s="1"/>
  <c r="D72" i="10"/>
  <c r="D58" i="10"/>
  <c r="H72" i="10"/>
  <c r="K72" i="10" s="1"/>
  <c r="H58" i="10"/>
  <c r="K58" i="10" s="1"/>
  <c r="P72" i="10"/>
  <c r="P58" i="10"/>
  <c r="T72" i="10"/>
  <c r="Y72" i="10" s="1"/>
  <c r="T58" i="10"/>
  <c r="Y58" i="10" s="1"/>
  <c r="AC72" i="10"/>
  <c r="AC58" i="10"/>
  <c r="AG72" i="10"/>
  <c r="AI72" i="10" s="1"/>
  <c r="AG58" i="10"/>
  <c r="AI58" i="10" s="1"/>
  <c r="N66" i="10"/>
  <c r="N52" i="10"/>
  <c r="R66" i="10"/>
  <c r="R52" i="10"/>
  <c r="V66" i="10"/>
  <c r="AA66" i="10" s="1"/>
  <c r="V52" i="10"/>
  <c r="AA52" i="10" s="1"/>
  <c r="D75" i="10"/>
  <c r="D61" i="10"/>
  <c r="H75" i="10"/>
  <c r="K75" i="10" s="1"/>
  <c r="H61" i="10"/>
  <c r="K61" i="10" s="1"/>
  <c r="P75" i="10"/>
  <c r="P61" i="10"/>
  <c r="T75" i="10"/>
  <c r="Y75" i="10" s="1"/>
  <c r="T61" i="10"/>
  <c r="Y61" i="10" s="1"/>
  <c r="AC75" i="10"/>
  <c r="AC61" i="10"/>
  <c r="AG75" i="10"/>
  <c r="AI75" i="10" s="1"/>
  <c r="AG61" i="10"/>
  <c r="AI61" i="10" s="1"/>
  <c r="D70" i="10"/>
  <c r="D56" i="10"/>
  <c r="H70" i="10"/>
  <c r="K70" i="10" s="1"/>
  <c r="H56" i="10"/>
  <c r="K56" i="10" s="1"/>
  <c r="P70" i="10"/>
  <c r="P56" i="10"/>
  <c r="T70" i="10"/>
  <c r="Y70" i="10" s="1"/>
  <c r="T56" i="10"/>
  <c r="Y56" i="10" s="1"/>
  <c r="AC70" i="10"/>
  <c r="AC56" i="10"/>
  <c r="AG70" i="10"/>
  <c r="AI70" i="10" s="1"/>
  <c r="AG56" i="10"/>
  <c r="AI56" i="10" s="1"/>
  <c r="N65" i="10"/>
  <c r="N51" i="10"/>
  <c r="R65" i="10"/>
  <c r="R51" i="10"/>
  <c r="V65" i="10"/>
  <c r="AA65" i="10" s="1"/>
  <c r="V51" i="10"/>
  <c r="AA51" i="10" s="1"/>
  <c r="AA49" i="10"/>
  <c r="D69" i="10"/>
  <c r="D55" i="10"/>
  <c r="H69" i="10"/>
  <c r="K69" i="10" s="1"/>
  <c r="H55" i="10"/>
  <c r="K55" i="10" s="1"/>
  <c r="P69" i="10"/>
  <c r="P55" i="10"/>
  <c r="T69" i="10"/>
  <c r="Y69" i="10" s="1"/>
  <c r="T55" i="10"/>
  <c r="Y55" i="10" s="1"/>
  <c r="AC69" i="10"/>
  <c r="AC55" i="10"/>
  <c r="AG69" i="10"/>
  <c r="AI69" i="10" s="1"/>
  <c r="AG55" i="10"/>
  <c r="AI55" i="10" s="1"/>
  <c r="N64" i="10"/>
  <c r="N50" i="10"/>
  <c r="R64" i="10"/>
  <c r="R50" i="10"/>
  <c r="V64" i="10"/>
  <c r="V50" i="10"/>
  <c r="AA50" i="10" s="1"/>
  <c r="N76" i="10"/>
  <c r="N62" i="10"/>
  <c r="R76" i="10"/>
  <c r="R62" i="10"/>
  <c r="V76" i="10"/>
  <c r="AA76" i="10" s="1"/>
  <c r="V62" i="10"/>
  <c r="AA62" i="10" s="1"/>
  <c r="N71" i="10"/>
  <c r="N57" i="10"/>
  <c r="R71" i="10"/>
  <c r="R57" i="10"/>
  <c r="V71" i="10"/>
  <c r="AA71" i="10" s="1"/>
  <c r="V57" i="10"/>
  <c r="AA57" i="10" s="1"/>
  <c r="C67" i="10"/>
  <c r="C53" i="10"/>
  <c r="F53" i="10" s="1"/>
  <c r="G67" i="10"/>
  <c r="G53" i="10"/>
  <c r="O67" i="10"/>
  <c r="O53" i="10"/>
  <c r="S67" i="10"/>
  <c r="X67" i="10" s="1"/>
  <c r="S53" i="10"/>
  <c r="X53" i="10" s="1"/>
  <c r="W67" i="10"/>
  <c r="AB67" i="10" s="1"/>
  <c r="W53" i="10"/>
  <c r="AB53" i="10" s="1"/>
  <c r="AF67" i="10"/>
  <c r="AF53" i="10"/>
  <c r="C73" i="10"/>
  <c r="C59" i="10"/>
  <c r="G73" i="10"/>
  <c r="G59" i="10"/>
  <c r="O73" i="10"/>
  <c r="O59" i="10"/>
  <c r="S59" i="10"/>
  <c r="X59" i="10" s="1"/>
  <c r="S73" i="10"/>
  <c r="X73" i="10" s="1"/>
  <c r="W59" i="10"/>
  <c r="AB59" i="10" s="1"/>
  <c r="W73" i="10"/>
  <c r="AB73" i="10" s="1"/>
  <c r="AF73" i="10"/>
  <c r="AF59" i="10"/>
  <c r="C68" i="10"/>
  <c r="C54" i="10"/>
  <c r="F54" i="10" s="1"/>
  <c r="G68" i="10"/>
  <c r="G54" i="10"/>
  <c r="O68" i="10"/>
  <c r="O54" i="10"/>
  <c r="S68" i="10"/>
  <c r="X68" i="10" s="1"/>
  <c r="S54" i="10"/>
  <c r="X54" i="10" s="1"/>
  <c r="W68" i="10"/>
  <c r="AB68" i="10" s="1"/>
  <c r="W54" i="10"/>
  <c r="AB54" i="10" s="1"/>
  <c r="AF68" i="10"/>
  <c r="AF54" i="10"/>
  <c r="E45" i="10"/>
  <c r="L45" i="10"/>
  <c r="L46" i="10"/>
  <c r="Q45" i="10"/>
  <c r="Z46" i="10"/>
  <c r="Z45" i="10"/>
  <c r="AD45" i="10"/>
  <c r="J39" i="10"/>
  <c r="M39" i="10"/>
  <c r="AH39" i="10"/>
  <c r="AJ39" i="10"/>
  <c r="E74" i="10"/>
  <c r="E60" i="10"/>
  <c r="I74" i="10"/>
  <c r="L74" i="10" s="1"/>
  <c r="I60" i="10"/>
  <c r="L60" i="10" s="1"/>
  <c r="Q60" i="10"/>
  <c r="Q74" i="10"/>
  <c r="U60" i="10"/>
  <c r="Z60" i="10" s="1"/>
  <c r="U74" i="10"/>
  <c r="Z74" i="10" s="1"/>
  <c r="AD74" i="10"/>
  <c r="AD60" i="10"/>
  <c r="AH33" i="10"/>
  <c r="AJ33" i="10"/>
  <c r="J44" i="10"/>
  <c r="M44" i="10"/>
  <c r="AJ44" i="10"/>
  <c r="AH44" i="10"/>
  <c r="E72" i="10"/>
  <c r="E58" i="10"/>
  <c r="I72" i="10"/>
  <c r="L72" i="10" s="1"/>
  <c r="I58" i="10"/>
  <c r="L58" i="10" s="1"/>
  <c r="Q72" i="10"/>
  <c r="Q58" i="10"/>
  <c r="U58" i="10"/>
  <c r="Z58" i="10" s="1"/>
  <c r="U72" i="10"/>
  <c r="Z72" i="10" s="1"/>
  <c r="AD72" i="10"/>
  <c r="AD58" i="10"/>
  <c r="C66" i="10"/>
  <c r="C52" i="10"/>
  <c r="F52" i="10" s="1"/>
  <c r="G66" i="10"/>
  <c r="G52" i="10"/>
  <c r="O66" i="10"/>
  <c r="O52" i="10"/>
  <c r="S66" i="10"/>
  <c r="X66" i="10" s="1"/>
  <c r="S52" i="10"/>
  <c r="X52" i="10" s="1"/>
  <c r="W66" i="10"/>
  <c r="AB66" i="10" s="1"/>
  <c r="W52" i="10"/>
  <c r="AB52" i="10" s="1"/>
  <c r="AF66" i="10"/>
  <c r="AF52" i="10"/>
  <c r="E75" i="10"/>
  <c r="E61" i="10"/>
  <c r="I75" i="10"/>
  <c r="L75" i="10" s="1"/>
  <c r="I61" i="10"/>
  <c r="L61" i="10" s="1"/>
  <c r="Q75" i="10"/>
  <c r="Q61" i="10"/>
  <c r="U75" i="10"/>
  <c r="Z75" i="10" s="1"/>
  <c r="U61" i="10"/>
  <c r="Z61" i="10" s="1"/>
  <c r="AD75" i="10"/>
  <c r="AD61" i="10"/>
  <c r="J42" i="10"/>
  <c r="M42" i="10"/>
  <c r="AJ42" i="10"/>
  <c r="AH42" i="10"/>
  <c r="E70" i="10"/>
  <c r="E56" i="10"/>
  <c r="I70" i="10"/>
  <c r="L70" i="10" s="1"/>
  <c r="I56" i="10"/>
  <c r="L56" i="10" s="1"/>
  <c r="Q70" i="10"/>
  <c r="Q56" i="10"/>
  <c r="U70" i="10"/>
  <c r="Z70" i="10" s="1"/>
  <c r="U56" i="10"/>
  <c r="Z56" i="10" s="1"/>
  <c r="AD70" i="10"/>
  <c r="AD56" i="10"/>
  <c r="C65" i="10"/>
  <c r="C51" i="10"/>
  <c r="G65" i="10"/>
  <c r="G51" i="10"/>
  <c r="O65" i="10"/>
  <c r="O51" i="10"/>
  <c r="S65" i="10"/>
  <c r="X65" i="10" s="1"/>
  <c r="S51" i="10"/>
  <c r="X51" i="10" s="1"/>
  <c r="W65" i="10"/>
  <c r="AB65" i="10" s="1"/>
  <c r="W51" i="10"/>
  <c r="AB51" i="10" s="1"/>
  <c r="AF65" i="10"/>
  <c r="AF51" i="10"/>
  <c r="F49" i="10"/>
  <c r="J49" i="10"/>
  <c r="M49" i="10"/>
  <c r="X49" i="10"/>
  <c r="AB49" i="10"/>
  <c r="AH49" i="10"/>
  <c r="AJ49" i="10"/>
  <c r="E69" i="10"/>
  <c r="E55" i="10"/>
  <c r="I69" i="10"/>
  <c r="L69" i="10" s="1"/>
  <c r="I55" i="10"/>
  <c r="L55" i="10" s="1"/>
  <c r="Q69" i="10"/>
  <c r="Q55" i="10"/>
  <c r="U69" i="10"/>
  <c r="Z69" i="10" s="1"/>
  <c r="U55" i="10"/>
  <c r="Z55" i="10" s="1"/>
  <c r="AD69" i="10"/>
  <c r="AD55" i="10"/>
  <c r="C64" i="10"/>
  <c r="F64" i="10" s="1"/>
  <c r="C50" i="10"/>
  <c r="F50" i="10" s="1"/>
  <c r="G64" i="10"/>
  <c r="G50" i="10"/>
  <c r="O64" i="10"/>
  <c r="O50" i="10"/>
  <c r="S64" i="10"/>
  <c r="S50" i="10"/>
  <c r="X50" i="10" s="1"/>
  <c r="W64" i="10"/>
  <c r="W50" i="10"/>
  <c r="AB50" i="10" s="1"/>
  <c r="AF64" i="10"/>
  <c r="AF50" i="10"/>
  <c r="C76" i="10"/>
  <c r="F76" i="10" s="1"/>
  <c r="C62" i="10"/>
  <c r="G76" i="10"/>
  <c r="G62" i="10"/>
  <c r="O76" i="10"/>
  <c r="O62" i="10"/>
  <c r="S76" i="10"/>
  <c r="X76" i="10" s="1"/>
  <c r="S62" i="10"/>
  <c r="X62" i="10" s="1"/>
  <c r="W76" i="10"/>
  <c r="AB76" i="10" s="1"/>
  <c r="W62" i="10"/>
  <c r="AB62" i="10" s="1"/>
  <c r="AF76" i="10"/>
  <c r="AF62" i="10"/>
  <c r="C71" i="10"/>
  <c r="F71" i="10" s="1"/>
  <c r="C57" i="10"/>
  <c r="F57" i="10" s="1"/>
  <c r="G71" i="10"/>
  <c r="G57" i="10"/>
  <c r="O71" i="10"/>
  <c r="O57" i="10"/>
  <c r="S71" i="10"/>
  <c r="X71" i="10" s="1"/>
  <c r="S57" i="10"/>
  <c r="X57" i="10" s="1"/>
  <c r="W57" i="10"/>
  <c r="AB57" i="10" s="1"/>
  <c r="W71" i="10"/>
  <c r="AB71" i="10" s="1"/>
  <c r="AF71" i="10"/>
  <c r="AF57" i="10"/>
  <c r="AE18" i="8"/>
  <c r="F25" i="8"/>
  <c r="M47" i="8"/>
  <c r="J47" i="8"/>
  <c r="M37" i="8"/>
  <c r="J37" i="8"/>
  <c r="L31" i="8"/>
  <c r="L32" i="8"/>
  <c r="L49" i="8"/>
  <c r="K31" i="8"/>
  <c r="K32" i="8"/>
  <c r="M45" i="8"/>
  <c r="M46" i="8"/>
  <c r="J45" i="8"/>
  <c r="J46" i="8"/>
  <c r="K46" i="8"/>
  <c r="K45" i="8"/>
  <c r="L45" i="8"/>
  <c r="L46" i="8"/>
  <c r="M38" i="8"/>
  <c r="J38" i="8"/>
  <c r="M43" i="8"/>
  <c r="M31" i="8"/>
  <c r="M32" i="8"/>
  <c r="J32" i="8"/>
  <c r="J31" i="8"/>
  <c r="M41" i="8"/>
  <c r="J41" i="8"/>
  <c r="M36" i="8"/>
  <c r="J36" i="8"/>
  <c r="J49" i="8"/>
  <c r="M49" i="8"/>
  <c r="J39" i="8"/>
  <c r="M39" i="8"/>
  <c r="M33" i="8"/>
  <c r="J33" i="8"/>
  <c r="M34" i="8"/>
  <c r="J34" i="8"/>
  <c r="M44" i="8"/>
  <c r="J44" i="8"/>
  <c r="M42" i="8"/>
  <c r="J42" i="8"/>
  <c r="J35" i="8"/>
  <c r="M35" i="8"/>
  <c r="M40" i="8"/>
  <c r="AE5" i="8"/>
  <c r="AE9" i="8"/>
  <c r="AE34" i="8"/>
  <c r="F22" i="8"/>
  <c r="K49" i="8"/>
  <c r="AE43" i="8"/>
  <c r="AE35" i="8"/>
  <c r="AE41" i="8"/>
  <c r="F17" i="8"/>
  <c r="F29" i="8"/>
  <c r="F21" i="8"/>
  <c r="AE10" i="8"/>
  <c r="AE33" i="8"/>
  <c r="F4" i="8"/>
  <c r="O31" i="8"/>
  <c r="AE26" i="8"/>
  <c r="F38" i="8"/>
  <c r="AE3" i="8"/>
  <c r="F40" i="8"/>
  <c r="F13" i="8"/>
  <c r="AE13" i="8"/>
  <c r="AE28" i="8"/>
  <c r="D31" i="8"/>
  <c r="AE40" i="8"/>
  <c r="F8" i="8"/>
  <c r="F9" i="8"/>
  <c r="AE14" i="8"/>
  <c r="F18" i="8"/>
  <c r="AE22" i="8"/>
  <c r="AE36" i="8"/>
  <c r="AE7" i="8"/>
  <c r="F41" i="8"/>
  <c r="F43" i="8"/>
  <c r="AB32" i="8"/>
  <c r="AB31" i="8"/>
  <c r="E31" i="8"/>
  <c r="P31" i="8"/>
  <c r="Y31" i="8"/>
  <c r="Y32" i="8"/>
  <c r="AJ36" i="8"/>
  <c r="AH36" i="8"/>
  <c r="X32" i="8"/>
  <c r="X31" i="8"/>
  <c r="AH34" i="8"/>
  <c r="AJ34" i="8"/>
  <c r="Q31" i="8"/>
  <c r="Z31" i="8"/>
  <c r="Z32" i="8"/>
  <c r="AD31" i="8"/>
  <c r="F33" i="8"/>
  <c r="F34" i="8"/>
  <c r="AH37" i="8"/>
  <c r="AJ37" i="8"/>
  <c r="F35" i="8"/>
  <c r="AJ35" i="8"/>
  <c r="AH35" i="8"/>
  <c r="AI32" i="8"/>
  <c r="AI31" i="8"/>
  <c r="AH33" i="8"/>
  <c r="AJ33" i="8"/>
  <c r="F32" i="8"/>
  <c r="N31" i="8"/>
  <c r="R31" i="8"/>
  <c r="AA31" i="8"/>
  <c r="AA32" i="8"/>
  <c r="AJ32" i="8"/>
  <c r="AJ31" i="8"/>
  <c r="AH32" i="8"/>
  <c r="AH31" i="8"/>
  <c r="AE37" i="8"/>
  <c r="F36" i="8"/>
  <c r="E67" i="8"/>
  <c r="E53" i="8"/>
  <c r="N67" i="8"/>
  <c r="N53" i="8"/>
  <c r="C73" i="8"/>
  <c r="C59" i="8"/>
  <c r="AE2" i="8"/>
  <c r="F5" i="8"/>
  <c r="O67" i="8"/>
  <c r="O53" i="8"/>
  <c r="S67" i="8"/>
  <c r="X67" i="8" s="1"/>
  <c r="S53" i="8"/>
  <c r="X53" i="8" s="1"/>
  <c r="W67" i="8"/>
  <c r="AB67" i="8" s="1"/>
  <c r="W53" i="8"/>
  <c r="AB53" i="8" s="1"/>
  <c r="AF67" i="8"/>
  <c r="AF53" i="8"/>
  <c r="AE6" i="8"/>
  <c r="D73" i="8"/>
  <c r="D59" i="8"/>
  <c r="H73" i="8"/>
  <c r="K73" i="8" s="1"/>
  <c r="H59" i="8"/>
  <c r="K59" i="8" s="1"/>
  <c r="Q73" i="8"/>
  <c r="Q59" i="8"/>
  <c r="U73" i="8"/>
  <c r="Z73" i="8" s="1"/>
  <c r="U59" i="8"/>
  <c r="Z59" i="8" s="1"/>
  <c r="AD73" i="8"/>
  <c r="AD59" i="8"/>
  <c r="O68" i="8"/>
  <c r="O54" i="8"/>
  <c r="S68" i="8"/>
  <c r="X68" i="8" s="1"/>
  <c r="S54" i="8"/>
  <c r="X54" i="8" s="1"/>
  <c r="W68" i="8"/>
  <c r="AB68" i="8" s="1"/>
  <c r="W54" i="8"/>
  <c r="AB54" i="8" s="1"/>
  <c r="AF68" i="8"/>
  <c r="AF54" i="8"/>
  <c r="E45" i="8"/>
  <c r="N45" i="8"/>
  <c r="R45" i="8"/>
  <c r="AA46" i="8"/>
  <c r="AA45" i="8"/>
  <c r="C74" i="8"/>
  <c r="C60" i="8"/>
  <c r="G74" i="8"/>
  <c r="G60" i="8"/>
  <c r="P74" i="8"/>
  <c r="P60" i="8"/>
  <c r="T74" i="8"/>
  <c r="Y74" i="8" s="1"/>
  <c r="T60" i="8"/>
  <c r="Y60" i="8" s="1"/>
  <c r="AC74" i="8"/>
  <c r="AC60" i="8"/>
  <c r="AG74" i="8"/>
  <c r="AI74" i="8" s="1"/>
  <c r="AG60" i="8"/>
  <c r="AI60" i="8" s="1"/>
  <c r="C72" i="8"/>
  <c r="C58" i="8"/>
  <c r="G72" i="8"/>
  <c r="G58" i="8"/>
  <c r="P72" i="8"/>
  <c r="P58" i="8"/>
  <c r="T72" i="8"/>
  <c r="Y72" i="8" s="1"/>
  <c r="T58" i="8"/>
  <c r="Y58" i="8" s="1"/>
  <c r="AC72" i="8"/>
  <c r="AC58" i="8"/>
  <c r="AG72" i="8"/>
  <c r="AI72" i="8" s="1"/>
  <c r="AG58" i="8"/>
  <c r="AI58" i="8" s="1"/>
  <c r="O66" i="8"/>
  <c r="O52" i="8"/>
  <c r="S66" i="8"/>
  <c r="X66" i="8" s="1"/>
  <c r="S52" i="8"/>
  <c r="X52" i="8" s="1"/>
  <c r="W66" i="8"/>
  <c r="AB66" i="8" s="1"/>
  <c r="W52" i="8"/>
  <c r="AB52" i="8" s="1"/>
  <c r="AF66" i="8"/>
  <c r="AF52" i="8"/>
  <c r="E75" i="8"/>
  <c r="E61" i="8"/>
  <c r="I75" i="8"/>
  <c r="L75" i="8" s="1"/>
  <c r="I61" i="8"/>
  <c r="L61" i="8" s="1"/>
  <c r="N75" i="8"/>
  <c r="N61" i="8"/>
  <c r="R75" i="8"/>
  <c r="R61" i="8"/>
  <c r="V75" i="8"/>
  <c r="AA75" i="8" s="1"/>
  <c r="V61" i="8"/>
  <c r="AA61" i="8" s="1"/>
  <c r="C70" i="8"/>
  <c r="C56" i="8"/>
  <c r="G70" i="8"/>
  <c r="G56" i="8"/>
  <c r="P70" i="8"/>
  <c r="P56" i="8"/>
  <c r="T70" i="8"/>
  <c r="Y70" i="8" s="1"/>
  <c r="T56" i="8"/>
  <c r="Y56" i="8" s="1"/>
  <c r="AC70" i="8"/>
  <c r="AC56" i="8"/>
  <c r="AG70" i="8"/>
  <c r="AI70" i="8" s="1"/>
  <c r="AG56" i="8"/>
  <c r="AI56" i="8" s="1"/>
  <c r="O65" i="8"/>
  <c r="O51" i="8"/>
  <c r="S65" i="8"/>
  <c r="X65" i="8" s="1"/>
  <c r="S51" i="8"/>
  <c r="X51" i="8" s="1"/>
  <c r="W65" i="8"/>
  <c r="AB65" i="8" s="1"/>
  <c r="W51" i="8"/>
  <c r="AB51" i="8" s="1"/>
  <c r="AF65" i="8"/>
  <c r="AF51" i="8"/>
  <c r="Z49" i="8"/>
  <c r="C69" i="8"/>
  <c r="C55" i="8"/>
  <c r="G69" i="8"/>
  <c r="G55" i="8"/>
  <c r="P69" i="8"/>
  <c r="P55" i="8"/>
  <c r="T69" i="8"/>
  <c r="Y69" i="8" s="1"/>
  <c r="T55" i="8"/>
  <c r="Y55" i="8" s="1"/>
  <c r="AC69" i="8"/>
  <c r="AC55" i="8"/>
  <c r="AG69" i="8"/>
  <c r="AI69" i="8" s="1"/>
  <c r="AG55" i="8"/>
  <c r="AI55" i="8" s="1"/>
  <c r="O64" i="8"/>
  <c r="O50" i="8"/>
  <c r="S64" i="8"/>
  <c r="S50" i="8"/>
  <c r="X50" i="8" s="1"/>
  <c r="W64" i="8"/>
  <c r="W50" i="8"/>
  <c r="AB50" i="8" s="1"/>
  <c r="AF64" i="8"/>
  <c r="AF50" i="8"/>
  <c r="D76" i="8"/>
  <c r="D62" i="8"/>
  <c r="H76" i="8"/>
  <c r="K76" i="8" s="1"/>
  <c r="H62" i="8"/>
  <c r="K62" i="8" s="1"/>
  <c r="Q76" i="8"/>
  <c r="Q62" i="8"/>
  <c r="U76" i="8"/>
  <c r="Z76" i="8" s="1"/>
  <c r="U62" i="8"/>
  <c r="Z62" i="8" s="1"/>
  <c r="AD76" i="8"/>
  <c r="AD62" i="8"/>
  <c r="O71" i="8"/>
  <c r="O57" i="8"/>
  <c r="S71" i="8"/>
  <c r="X71" i="8" s="1"/>
  <c r="S57" i="8"/>
  <c r="X57" i="8" s="1"/>
  <c r="W71" i="8"/>
  <c r="AB71" i="8" s="1"/>
  <c r="W57" i="8"/>
  <c r="AB57" i="8" s="1"/>
  <c r="AF71" i="8"/>
  <c r="AF57" i="8"/>
  <c r="AE30" i="8"/>
  <c r="AC32" i="8"/>
  <c r="C37" i="8"/>
  <c r="F37" i="8" s="1"/>
  <c r="V67" i="8"/>
  <c r="AA67" i="8" s="1"/>
  <c r="V53" i="8"/>
  <c r="AA53" i="8" s="1"/>
  <c r="T73" i="8"/>
  <c r="Y73" i="8" s="1"/>
  <c r="T59" i="8"/>
  <c r="Y59" i="8" s="1"/>
  <c r="AG73" i="8"/>
  <c r="AI73" i="8" s="1"/>
  <c r="AG59" i="8"/>
  <c r="AI59" i="8" s="1"/>
  <c r="AH41" i="8"/>
  <c r="AJ41" i="8"/>
  <c r="F2" i="8"/>
  <c r="AH38" i="8"/>
  <c r="AJ38" i="8"/>
  <c r="C67" i="8"/>
  <c r="C53" i="8"/>
  <c r="G67" i="8"/>
  <c r="G53" i="8"/>
  <c r="P67" i="8"/>
  <c r="P53" i="8"/>
  <c r="T67" i="8"/>
  <c r="Y67" i="8" s="1"/>
  <c r="T53" i="8"/>
  <c r="Y53" i="8" s="1"/>
  <c r="AC67" i="8"/>
  <c r="AC53" i="8"/>
  <c r="AG67" i="8"/>
  <c r="AI67" i="8" s="1"/>
  <c r="AG53" i="8"/>
  <c r="AI53" i="8" s="1"/>
  <c r="F6" i="8"/>
  <c r="AH47" i="8"/>
  <c r="AJ47" i="8"/>
  <c r="E73" i="8"/>
  <c r="E59" i="8"/>
  <c r="I73" i="8"/>
  <c r="L73" i="8" s="1"/>
  <c r="I59" i="8"/>
  <c r="L59" i="8" s="1"/>
  <c r="N73" i="8"/>
  <c r="N59" i="8"/>
  <c r="R73" i="8"/>
  <c r="R59" i="8"/>
  <c r="V73" i="8"/>
  <c r="AA73" i="8" s="1"/>
  <c r="V59" i="8"/>
  <c r="AA59" i="8" s="1"/>
  <c r="C68" i="8"/>
  <c r="C54" i="8"/>
  <c r="G68" i="8"/>
  <c r="G54" i="8"/>
  <c r="P68" i="8"/>
  <c r="P54" i="8"/>
  <c r="T68" i="8"/>
  <c r="Y68" i="8" s="1"/>
  <c r="T54" i="8"/>
  <c r="Y54" i="8" s="1"/>
  <c r="AC68" i="8"/>
  <c r="AC54" i="8"/>
  <c r="AG68" i="8"/>
  <c r="AI68" i="8" s="1"/>
  <c r="AG54" i="8"/>
  <c r="AI54" i="8" s="1"/>
  <c r="F10" i="8"/>
  <c r="O45" i="8"/>
  <c r="X45" i="8"/>
  <c r="X46" i="8"/>
  <c r="AB45" i="8"/>
  <c r="AB46" i="8"/>
  <c r="AH46" i="8"/>
  <c r="AH45" i="8"/>
  <c r="AJ46" i="8"/>
  <c r="AE11" i="8"/>
  <c r="D74" i="8"/>
  <c r="D60" i="8"/>
  <c r="H74" i="8"/>
  <c r="K74" i="8" s="1"/>
  <c r="H60" i="8"/>
  <c r="K60" i="8" s="1"/>
  <c r="Q74" i="8"/>
  <c r="Q60" i="8"/>
  <c r="U74" i="8"/>
  <c r="Z74" i="8" s="1"/>
  <c r="U60" i="8"/>
  <c r="Z60" i="8" s="1"/>
  <c r="AD74" i="8"/>
  <c r="AD60" i="8"/>
  <c r="F14" i="8"/>
  <c r="AE15" i="8"/>
  <c r="D72" i="8"/>
  <c r="D58" i="8"/>
  <c r="H72" i="8"/>
  <c r="K72" i="8" s="1"/>
  <c r="H58" i="8"/>
  <c r="K58" i="8" s="1"/>
  <c r="Q72" i="8"/>
  <c r="Q58" i="8"/>
  <c r="U72" i="8"/>
  <c r="Z72" i="8" s="1"/>
  <c r="U58" i="8"/>
  <c r="Z58" i="8" s="1"/>
  <c r="AD72" i="8"/>
  <c r="AD58" i="8"/>
  <c r="C66" i="8"/>
  <c r="C52" i="8"/>
  <c r="G66" i="8"/>
  <c r="G52" i="8"/>
  <c r="P66" i="8"/>
  <c r="P52" i="8"/>
  <c r="T66" i="8"/>
  <c r="Y66" i="8" s="1"/>
  <c r="T52" i="8"/>
  <c r="Y52" i="8" s="1"/>
  <c r="AC66" i="8"/>
  <c r="AC52" i="8"/>
  <c r="AG66" i="8"/>
  <c r="AI66" i="8" s="1"/>
  <c r="AG52" i="8"/>
  <c r="AI52" i="8" s="1"/>
  <c r="O75" i="8"/>
  <c r="O61" i="8"/>
  <c r="S75" i="8"/>
  <c r="X75" i="8" s="1"/>
  <c r="S61" i="8"/>
  <c r="X61" i="8" s="1"/>
  <c r="W75" i="8"/>
  <c r="AB75" i="8" s="1"/>
  <c r="W61" i="8"/>
  <c r="AB61" i="8" s="1"/>
  <c r="AF75" i="8"/>
  <c r="AF61" i="8"/>
  <c r="AE19" i="8"/>
  <c r="D70" i="8"/>
  <c r="D56" i="8"/>
  <c r="H70" i="8"/>
  <c r="K70" i="8" s="1"/>
  <c r="H56" i="8"/>
  <c r="K56" i="8" s="1"/>
  <c r="Q70" i="8"/>
  <c r="Q56" i="8"/>
  <c r="U70" i="8"/>
  <c r="Z70" i="8" s="1"/>
  <c r="U56" i="8"/>
  <c r="Z56" i="8" s="1"/>
  <c r="AD70" i="8"/>
  <c r="AD56" i="8"/>
  <c r="C65" i="8"/>
  <c r="C51" i="8"/>
  <c r="G65" i="8"/>
  <c r="G51" i="8"/>
  <c r="P65" i="8"/>
  <c r="P51" i="8"/>
  <c r="T65" i="8"/>
  <c r="Y65" i="8" s="1"/>
  <c r="T51" i="8"/>
  <c r="Y51" i="8" s="1"/>
  <c r="AC65" i="8"/>
  <c r="AC51" i="8"/>
  <c r="AG65" i="8"/>
  <c r="AI65" i="8" s="1"/>
  <c r="AG51" i="8"/>
  <c r="AI51" i="8" s="1"/>
  <c r="AA49" i="8"/>
  <c r="AE23" i="8"/>
  <c r="D69" i="8"/>
  <c r="D55" i="8"/>
  <c r="H69" i="8"/>
  <c r="K69" i="8" s="1"/>
  <c r="H55" i="8"/>
  <c r="K55" i="8" s="1"/>
  <c r="Q69" i="8"/>
  <c r="Q55" i="8"/>
  <c r="U69" i="8"/>
  <c r="Z69" i="8" s="1"/>
  <c r="U55" i="8"/>
  <c r="Z55" i="8" s="1"/>
  <c r="AD69" i="8"/>
  <c r="AD55" i="8"/>
  <c r="C64" i="8"/>
  <c r="C50" i="8"/>
  <c r="G64" i="8"/>
  <c r="G50" i="8"/>
  <c r="P64" i="8"/>
  <c r="P50" i="8"/>
  <c r="T64" i="8"/>
  <c r="T50" i="8"/>
  <c r="Y50" i="8" s="1"/>
  <c r="AC64" i="8"/>
  <c r="AC50" i="8"/>
  <c r="AG64" i="8"/>
  <c r="AG50" i="8"/>
  <c r="AI50" i="8" s="1"/>
  <c r="F26" i="8"/>
  <c r="E76" i="8"/>
  <c r="E62" i="8"/>
  <c r="I76" i="8"/>
  <c r="L76" i="8" s="1"/>
  <c r="I62" i="8"/>
  <c r="L62" i="8" s="1"/>
  <c r="N76" i="8"/>
  <c r="N62" i="8"/>
  <c r="R76" i="8"/>
  <c r="R62" i="8"/>
  <c r="V76" i="8"/>
  <c r="AA76" i="8" s="1"/>
  <c r="V62" i="8"/>
  <c r="AA62" i="8" s="1"/>
  <c r="AE27" i="8"/>
  <c r="C71" i="8"/>
  <c r="C57" i="8"/>
  <c r="G71" i="8"/>
  <c r="G57" i="8"/>
  <c r="P71" i="8"/>
  <c r="P57" i="8"/>
  <c r="T71" i="8"/>
  <c r="Y71" i="8" s="1"/>
  <c r="T57" i="8"/>
  <c r="Y57" i="8" s="1"/>
  <c r="AC71" i="8"/>
  <c r="AC57" i="8"/>
  <c r="AG71" i="8"/>
  <c r="AI71" i="8" s="1"/>
  <c r="AG57" i="8"/>
  <c r="AI57" i="8" s="1"/>
  <c r="F30" i="8"/>
  <c r="AJ40" i="8"/>
  <c r="AH40" i="8"/>
  <c r="I67" i="8"/>
  <c r="L67" i="8" s="1"/>
  <c r="I53" i="8"/>
  <c r="L53" i="8" s="1"/>
  <c r="R67" i="8"/>
  <c r="R53" i="8"/>
  <c r="G73" i="8"/>
  <c r="G59" i="8"/>
  <c r="P73" i="8"/>
  <c r="P59" i="8"/>
  <c r="AC73" i="8"/>
  <c r="AC59" i="8"/>
  <c r="AE59" i="8" s="1"/>
  <c r="AE38" i="8"/>
  <c r="F3" i="8"/>
  <c r="AE4" i="8"/>
  <c r="D67" i="8"/>
  <c r="D53" i="8"/>
  <c r="H67" i="8"/>
  <c r="K67" i="8" s="1"/>
  <c r="H53" i="8"/>
  <c r="K53" i="8" s="1"/>
  <c r="Q67" i="8"/>
  <c r="Q53" i="8"/>
  <c r="U67" i="8"/>
  <c r="Z67" i="8" s="1"/>
  <c r="U53" i="8"/>
  <c r="Z53" i="8" s="1"/>
  <c r="AD67" i="8"/>
  <c r="AD53" i="8"/>
  <c r="F47" i="8"/>
  <c r="AE47" i="8"/>
  <c r="F7" i="8"/>
  <c r="O73" i="8"/>
  <c r="O59" i="8"/>
  <c r="S73" i="8"/>
  <c r="X73" i="8" s="1"/>
  <c r="S59" i="8"/>
  <c r="X59" i="8" s="1"/>
  <c r="W73" i="8"/>
  <c r="AB73" i="8" s="1"/>
  <c r="W59" i="8"/>
  <c r="AB59" i="8" s="1"/>
  <c r="AF73" i="8"/>
  <c r="AF59" i="8"/>
  <c r="AE8" i="8"/>
  <c r="D68" i="8"/>
  <c r="D54" i="8"/>
  <c r="H68" i="8"/>
  <c r="K68" i="8" s="1"/>
  <c r="H54" i="8"/>
  <c r="K54" i="8" s="1"/>
  <c r="Q68" i="8"/>
  <c r="Q54" i="8"/>
  <c r="U68" i="8"/>
  <c r="Z68" i="8" s="1"/>
  <c r="U54" i="8"/>
  <c r="Z54" i="8" s="1"/>
  <c r="AD68" i="8"/>
  <c r="AD54" i="8"/>
  <c r="F46" i="8"/>
  <c r="C45" i="8"/>
  <c r="P45" i="8"/>
  <c r="Y45" i="8"/>
  <c r="Y46" i="8"/>
  <c r="AE46" i="8"/>
  <c r="AC45" i="8"/>
  <c r="AI46" i="8"/>
  <c r="AI45" i="8"/>
  <c r="F11" i="8"/>
  <c r="AJ39" i="8"/>
  <c r="AH39" i="8"/>
  <c r="E74" i="8"/>
  <c r="E60" i="8"/>
  <c r="I74" i="8"/>
  <c r="L74" i="8" s="1"/>
  <c r="I60" i="8"/>
  <c r="L60" i="8" s="1"/>
  <c r="N74" i="8"/>
  <c r="N60" i="8"/>
  <c r="R74" i="8"/>
  <c r="R60" i="8"/>
  <c r="V74" i="8"/>
  <c r="AA74" i="8" s="1"/>
  <c r="V60" i="8"/>
  <c r="AA60" i="8" s="1"/>
  <c r="AE12" i="8"/>
  <c r="F15" i="8"/>
  <c r="AJ44" i="8"/>
  <c r="AH44" i="8"/>
  <c r="E72" i="8"/>
  <c r="E58" i="8"/>
  <c r="I72" i="8"/>
  <c r="L72" i="8" s="1"/>
  <c r="I58" i="8"/>
  <c r="L58" i="8" s="1"/>
  <c r="N72" i="8"/>
  <c r="N58" i="8"/>
  <c r="R72" i="8"/>
  <c r="R58" i="8"/>
  <c r="V72" i="8"/>
  <c r="AA72" i="8" s="1"/>
  <c r="V58" i="8"/>
  <c r="AA58" i="8" s="1"/>
  <c r="AE16" i="8"/>
  <c r="D66" i="8"/>
  <c r="D52" i="8"/>
  <c r="H66" i="8"/>
  <c r="K66" i="8" s="1"/>
  <c r="H52" i="8"/>
  <c r="K52" i="8" s="1"/>
  <c r="Q66" i="8"/>
  <c r="Q52" i="8"/>
  <c r="U66" i="8"/>
  <c r="Z66" i="8" s="1"/>
  <c r="U52" i="8"/>
  <c r="Z52" i="8" s="1"/>
  <c r="AD66" i="8"/>
  <c r="AD52" i="8"/>
  <c r="C75" i="8"/>
  <c r="C61" i="8"/>
  <c r="G75" i="8"/>
  <c r="G61" i="8"/>
  <c r="P75" i="8"/>
  <c r="P61" i="8"/>
  <c r="T75" i="8"/>
  <c r="Y75" i="8" s="1"/>
  <c r="T61" i="8"/>
  <c r="Y61" i="8" s="1"/>
  <c r="AC75" i="8"/>
  <c r="AC61" i="8"/>
  <c r="AG75" i="8"/>
  <c r="AI75" i="8" s="1"/>
  <c r="AG61" i="8"/>
  <c r="AI61" i="8" s="1"/>
  <c r="F19" i="8"/>
  <c r="AH42" i="8"/>
  <c r="AJ42" i="8"/>
  <c r="E70" i="8"/>
  <c r="E56" i="8"/>
  <c r="I70" i="8"/>
  <c r="L70" i="8" s="1"/>
  <c r="I56" i="8"/>
  <c r="L56" i="8" s="1"/>
  <c r="N70" i="8"/>
  <c r="N56" i="8"/>
  <c r="R70" i="8"/>
  <c r="R56" i="8"/>
  <c r="V70" i="8"/>
  <c r="AA70" i="8" s="1"/>
  <c r="V56" i="8"/>
  <c r="AA56" i="8" s="1"/>
  <c r="AE20" i="8"/>
  <c r="D65" i="8"/>
  <c r="D51" i="8"/>
  <c r="H65" i="8"/>
  <c r="K65" i="8" s="1"/>
  <c r="H51" i="8"/>
  <c r="K51" i="8" s="1"/>
  <c r="Q65" i="8"/>
  <c r="Q51" i="8"/>
  <c r="U65" i="8"/>
  <c r="Z65" i="8" s="1"/>
  <c r="U51" i="8"/>
  <c r="Z51" i="8" s="1"/>
  <c r="AD65" i="8"/>
  <c r="AD51" i="8"/>
  <c r="F23" i="8"/>
  <c r="X49" i="8"/>
  <c r="AB49" i="8"/>
  <c r="AJ49" i="8"/>
  <c r="AH49" i="8"/>
  <c r="E69" i="8"/>
  <c r="E55" i="8"/>
  <c r="I69" i="8"/>
  <c r="L69" i="8" s="1"/>
  <c r="I55" i="8"/>
  <c r="L55" i="8" s="1"/>
  <c r="N69" i="8"/>
  <c r="N55" i="8"/>
  <c r="R69" i="8"/>
  <c r="R55" i="8"/>
  <c r="V69" i="8"/>
  <c r="AA69" i="8" s="1"/>
  <c r="V55" i="8"/>
  <c r="AA55" i="8" s="1"/>
  <c r="AE24" i="8"/>
  <c r="D64" i="8"/>
  <c r="D50" i="8"/>
  <c r="H64" i="8"/>
  <c r="H50" i="8"/>
  <c r="K50" i="8" s="1"/>
  <c r="Q64" i="8"/>
  <c r="Q50" i="8"/>
  <c r="U64" i="8"/>
  <c r="U50" i="8"/>
  <c r="Z50" i="8" s="1"/>
  <c r="AD64" i="8"/>
  <c r="AD50" i="8"/>
  <c r="F27" i="8"/>
  <c r="O76" i="8"/>
  <c r="O62" i="8"/>
  <c r="S76" i="8"/>
  <c r="X76" i="8" s="1"/>
  <c r="S62" i="8"/>
  <c r="X62" i="8" s="1"/>
  <c r="W76" i="8"/>
  <c r="AB76" i="8" s="1"/>
  <c r="W62" i="8"/>
  <c r="AB62" i="8" s="1"/>
  <c r="AF76" i="8"/>
  <c r="AF62" i="8"/>
  <c r="D71" i="8"/>
  <c r="D57" i="8"/>
  <c r="H71" i="8"/>
  <c r="K71" i="8" s="1"/>
  <c r="H57" i="8"/>
  <c r="K57" i="8" s="1"/>
  <c r="Q71" i="8"/>
  <c r="Q57" i="8"/>
  <c r="U71" i="8"/>
  <c r="Z71" i="8" s="1"/>
  <c r="U57" i="8"/>
  <c r="Z57" i="8" s="1"/>
  <c r="AD71" i="8"/>
  <c r="AD57" i="8"/>
  <c r="E68" i="8"/>
  <c r="E54" i="8"/>
  <c r="I68" i="8"/>
  <c r="L68" i="8" s="1"/>
  <c r="I54" i="8"/>
  <c r="L54" i="8" s="1"/>
  <c r="N68" i="8"/>
  <c r="N54" i="8"/>
  <c r="R68" i="8"/>
  <c r="R54" i="8"/>
  <c r="V68" i="8"/>
  <c r="AA68" i="8" s="1"/>
  <c r="V54" i="8"/>
  <c r="AA54" i="8" s="1"/>
  <c r="D45" i="8"/>
  <c r="Q45" i="8"/>
  <c r="Z45" i="8"/>
  <c r="Z46" i="8"/>
  <c r="AD45" i="8"/>
  <c r="F39" i="8"/>
  <c r="AE39" i="8"/>
  <c r="F12" i="8"/>
  <c r="O74" i="8"/>
  <c r="O60" i="8"/>
  <c r="S74" i="8"/>
  <c r="X74" i="8" s="1"/>
  <c r="S60" i="8"/>
  <c r="X60" i="8" s="1"/>
  <c r="W74" i="8"/>
  <c r="AB74" i="8" s="1"/>
  <c r="W60" i="8"/>
  <c r="AB60" i="8" s="1"/>
  <c r="AF74" i="8"/>
  <c r="AF60" i="8"/>
  <c r="F44" i="8"/>
  <c r="AE44" i="8"/>
  <c r="F16" i="8"/>
  <c r="O72" i="8"/>
  <c r="O58" i="8"/>
  <c r="S72" i="8"/>
  <c r="X72" i="8" s="1"/>
  <c r="S58" i="8"/>
  <c r="X58" i="8" s="1"/>
  <c r="W72" i="8"/>
  <c r="AB72" i="8" s="1"/>
  <c r="W58" i="8"/>
  <c r="AB58" i="8" s="1"/>
  <c r="AF72" i="8"/>
  <c r="AF58" i="8"/>
  <c r="E66" i="8"/>
  <c r="E52" i="8"/>
  <c r="I66" i="8"/>
  <c r="L66" i="8" s="1"/>
  <c r="I52" i="8"/>
  <c r="L52" i="8" s="1"/>
  <c r="N66" i="8"/>
  <c r="N52" i="8"/>
  <c r="R66" i="8"/>
  <c r="R52" i="8"/>
  <c r="V66" i="8"/>
  <c r="AA66" i="8" s="1"/>
  <c r="V52" i="8"/>
  <c r="AA52" i="8" s="1"/>
  <c r="AE17" i="8"/>
  <c r="D75" i="8"/>
  <c r="D61" i="8"/>
  <c r="H75" i="8"/>
  <c r="K75" i="8" s="1"/>
  <c r="H61" i="8"/>
  <c r="K61" i="8" s="1"/>
  <c r="Q75" i="8"/>
  <c r="Q61" i="8"/>
  <c r="U75" i="8"/>
  <c r="Z75" i="8" s="1"/>
  <c r="U61" i="8"/>
  <c r="Z61" i="8" s="1"/>
  <c r="AD75" i="8"/>
  <c r="AD61" i="8"/>
  <c r="F42" i="8"/>
  <c r="AE42" i="8"/>
  <c r="F20" i="8"/>
  <c r="O70" i="8"/>
  <c r="O56" i="8"/>
  <c r="S70" i="8"/>
  <c r="X70" i="8" s="1"/>
  <c r="S56" i="8"/>
  <c r="X56" i="8" s="1"/>
  <c r="W70" i="8"/>
  <c r="AB70" i="8" s="1"/>
  <c r="W56" i="8"/>
  <c r="AB56" i="8" s="1"/>
  <c r="AF70" i="8"/>
  <c r="AF56" i="8"/>
  <c r="E65" i="8"/>
  <c r="E51" i="8"/>
  <c r="I65" i="8"/>
  <c r="L65" i="8" s="1"/>
  <c r="I51" i="8"/>
  <c r="L51" i="8" s="1"/>
  <c r="N65" i="8"/>
  <c r="N51" i="8"/>
  <c r="R65" i="8"/>
  <c r="R51" i="8"/>
  <c r="V65" i="8"/>
  <c r="AA65" i="8" s="1"/>
  <c r="V51" i="8"/>
  <c r="AA51" i="8" s="1"/>
  <c r="AE21" i="8"/>
  <c r="F49" i="8"/>
  <c r="Y49" i="8"/>
  <c r="AE49" i="8"/>
  <c r="AI49" i="8"/>
  <c r="F24" i="8"/>
  <c r="O69" i="8"/>
  <c r="O55" i="8"/>
  <c r="S69" i="8"/>
  <c r="X69" i="8" s="1"/>
  <c r="S55" i="8"/>
  <c r="X55" i="8" s="1"/>
  <c r="W69" i="8"/>
  <c r="AB69" i="8" s="1"/>
  <c r="W55" i="8"/>
  <c r="AB55" i="8" s="1"/>
  <c r="AF69" i="8"/>
  <c r="AF55" i="8"/>
  <c r="E64" i="8"/>
  <c r="E50" i="8"/>
  <c r="I64" i="8"/>
  <c r="I50" i="8"/>
  <c r="L50" i="8" s="1"/>
  <c r="N64" i="8"/>
  <c r="N50" i="8"/>
  <c r="R64" i="8"/>
  <c r="R50" i="8"/>
  <c r="V64" i="8"/>
  <c r="V50" i="8"/>
  <c r="AA50" i="8" s="1"/>
  <c r="AE25" i="8"/>
  <c r="C76" i="8"/>
  <c r="C62" i="8"/>
  <c r="G76" i="8"/>
  <c r="G62" i="8"/>
  <c r="P76" i="8"/>
  <c r="P62" i="8"/>
  <c r="T76" i="8"/>
  <c r="Y76" i="8" s="1"/>
  <c r="T62" i="8"/>
  <c r="Y62" i="8" s="1"/>
  <c r="AC76" i="8"/>
  <c r="AE76" i="8" s="1"/>
  <c r="AC62" i="8"/>
  <c r="AE62" i="8" s="1"/>
  <c r="AG76" i="8"/>
  <c r="AI76" i="8" s="1"/>
  <c r="AG62" i="8"/>
  <c r="AI62" i="8" s="1"/>
  <c r="F28" i="8"/>
  <c r="AJ43" i="8"/>
  <c r="AH43" i="8"/>
  <c r="E71" i="8"/>
  <c r="E57" i="8"/>
  <c r="I71" i="8"/>
  <c r="L71" i="8" s="1"/>
  <c r="I57" i="8"/>
  <c r="L57" i="8" s="1"/>
  <c r="N71" i="8"/>
  <c r="N57" i="8"/>
  <c r="R71" i="8"/>
  <c r="R57" i="8"/>
  <c r="V71" i="8"/>
  <c r="AA71" i="8" s="1"/>
  <c r="V57" i="8"/>
  <c r="AA57" i="8" s="1"/>
  <c r="AE29" i="8"/>
  <c r="AB31" i="27"/>
  <c r="AO31" i="27"/>
  <c r="Q38" i="27"/>
  <c r="Z31" i="27"/>
  <c r="F47" i="27"/>
  <c r="T67" i="27"/>
  <c r="T53" i="27"/>
  <c r="AE74" i="27"/>
  <c r="AJ74" i="27" s="1"/>
  <c r="F40" i="27"/>
  <c r="P40" i="27"/>
  <c r="F39" i="27"/>
  <c r="AT34" i="27"/>
  <c r="Q44" i="27"/>
  <c r="AE53" i="27"/>
  <c r="AD54" i="27"/>
  <c r="AE70" i="27"/>
  <c r="AJ70" i="27" s="1"/>
  <c r="AN32" i="27"/>
  <c r="F33" i="27"/>
  <c r="Q34" i="27"/>
  <c r="AD73" i="27"/>
  <c r="AD59" i="27"/>
  <c r="AH73" i="27"/>
  <c r="AH59" i="27"/>
  <c r="AH54" i="27"/>
  <c r="AE66" i="27"/>
  <c r="AD67" i="27"/>
  <c r="Q42" i="27"/>
  <c r="F37" i="27"/>
  <c r="AE73" i="27"/>
  <c r="AE59" i="27"/>
  <c r="AE68" i="27"/>
  <c r="AE54" i="27"/>
  <c r="AJ54" i="27" s="1"/>
  <c r="AE72" i="27"/>
  <c r="AE58" i="27"/>
  <c r="AE65" i="27"/>
  <c r="AE51" i="27"/>
  <c r="AE69" i="27"/>
  <c r="AE55" i="27"/>
  <c r="AE64" i="27"/>
  <c r="AE50" i="27"/>
  <c r="AJ50" i="27" s="1"/>
  <c r="AE76" i="27"/>
  <c r="AE62" i="27"/>
  <c r="AE61" i="27"/>
  <c r="I67" i="27"/>
  <c r="L67" i="27" s="1"/>
  <c r="AH67" i="27"/>
  <c r="I51" i="27"/>
  <c r="AD51" i="27"/>
  <c r="AH51" i="27"/>
  <c r="AM51" i="27" s="1"/>
  <c r="T52" i="27"/>
  <c r="AG52" i="27"/>
  <c r="AF53" i="27"/>
  <c r="I55" i="27"/>
  <c r="AD55" i="27"/>
  <c r="AH55" i="27"/>
  <c r="T56" i="27"/>
  <c r="AG56" i="27"/>
  <c r="AL56" i="27" s="1"/>
  <c r="AF57" i="27"/>
  <c r="I59" i="27"/>
  <c r="T60" i="27"/>
  <c r="AG60" i="27"/>
  <c r="AL60" i="27" s="1"/>
  <c r="AF61" i="27"/>
  <c r="AF50" i="27"/>
  <c r="I52" i="27"/>
  <c r="AD52" i="27"/>
  <c r="AI52" i="27" s="1"/>
  <c r="AH52" i="27"/>
  <c r="AG53" i="27"/>
  <c r="AF54" i="27"/>
  <c r="I56" i="27"/>
  <c r="L56" i="27" s="1"/>
  <c r="AD56" i="27"/>
  <c r="AH56" i="27"/>
  <c r="T57" i="27"/>
  <c r="AG57" i="27"/>
  <c r="AL57" i="27" s="1"/>
  <c r="AF58" i="27"/>
  <c r="I60" i="27"/>
  <c r="AD60" i="27"/>
  <c r="AH60" i="27"/>
  <c r="AM60" i="27" s="1"/>
  <c r="T61" i="27"/>
  <c r="AG61" i="27"/>
  <c r="AF62" i="27"/>
  <c r="C31" i="27"/>
  <c r="F32" i="27"/>
  <c r="J31" i="27"/>
  <c r="J32" i="27"/>
  <c r="M31" i="27"/>
  <c r="M32" i="27"/>
  <c r="W32" i="27"/>
  <c r="W31" i="27"/>
  <c r="AK31" i="27"/>
  <c r="AK32" i="27"/>
  <c r="M39" i="27"/>
  <c r="J39" i="27"/>
  <c r="AU33" i="27"/>
  <c r="AS33" i="27"/>
  <c r="AU37" i="27"/>
  <c r="AS37" i="27"/>
  <c r="X36" i="27"/>
  <c r="U36" i="27"/>
  <c r="J38" i="27"/>
  <c r="M38" i="27"/>
  <c r="D31" i="27"/>
  <c r="K31" i="27"/>
  <c r="K32" i="27"/>
  <c r="P31" i="27"/>
  <c r="Y31" i="27"/>
  <c r="AC31" i="27"/>
  <c r="AL31" i="27"/>
  <c r="AL32" i="27"/>
  <c r="U33" i="27"/>
  <c r="X33" i="27"/>
  <c r="J34" i="27"/>
  <c r="M34" i="27"/>
  <c r="U37" i="27"/>
  <c r="X37" i="27"/>
  <c r="AP36" i="27"/>
  <c r="M35" i="27"/>
  <c r="J35" i="27"/>
  <c r="F38" i="27"/>
  <c r="AS38" i="27"/>
  <c r="AU38" i="27"/>
  <c r="E31" i="27"/>
  <c r="L32" i="27"/>
  <c r="L31" i="27"/>
  <c r="X32" i="27"/>
  <c r="U31" i="27"/>
  <c r="X31" i="27"/>
  <c r="U32" i="27"/>
  <c r="AI31" i="27"/>
  <c r="AI32" i="27"/>
  <c r="AM31" i="27"/>
  <c r="AM32" i="27"/>
  <c r="AS31" i="27"/>
  <c r="AU32" i="27"/>
  <c r="AU31" i="27"/>
  <c r="AS32" i="27"/>
  <c r="Q40" i="27"/>
  <c r="U39" i="27"/>
  <c r="X39" i="27"/>
  <c r="AS39" i="27"/>
  <c r="AU39" i="27"/>
  <c r="Q33" i="27"/>
  <c r="F34" i="27"/>
  <c r="AS34" i="27"/>
  <c r="AU34" i="27"/>
  <c r="Q37" i="27"/>
  <c r="J36" i="27"/>
  <c r="M36" i="27"/>
  <c r="F35" i="27"/>
  <c r="AS35" i="27"/>
  <c r="AU35" i="27"/>
  <c r="U38" i="27"/>
  <c r="X38" i="27"/>
  <c r="Q32" i="27"/>
  <c r="V31" i="27"/>
  <c r="V32" i="27"/>
  <c r="AA31" i="27"/>
  <c r="AJ32" i="27"/>
  <c r="AJ31" i="27"/>
  <c r="AP32" i="27"/>
  <c r="AT32" i="27"/>
  <c r="AT31" i="27"/>
  <c r="J40" i="27"/>
  <c r="M40" i="27"/>
  <c r="Q39" i="27"/>
  <c r="AP39" i="27"/>
  <c r="J33" i="27"/>
  <c r="M33" i="27"/>
  <c r="U34" i="27"/>
  <c r="X34" i="27"/>
  <c r="J37" i="27"/>
  <c r="M37" i="27"/>
  <c r="F36" i="27"/>
  <c r="AU36" i="27"/>
  <c r="AS36" i="27"/>
  <c r="U35" i="27"/>
  <c r="X35" i="27"/>
  <c r="F2" i="27"/>
  <c r="Q3" i="27"/>
  <c r="C67" i="27"/>
  <c r="C53" i="27"/>
  <c r="O67" i="27"/>
  <c r="O53" i="27"/>
  <c r="V67" i="27"/>
  <c r="V53" i="27"/>
  <c r="AA67" i="27"/>
  <c r="AA53" i="27"/>
  <c r="AJ67" i="27"/>
  <c r="AJ53" i="27"/>
  <c r="AN67" i="27"/>
  <c r="AN53" i="27"/>
  <c r="AT67" i="27"/>
  <c r="AT53" i="27"/>
  <c r="F6" i="27"/>
  <c r="Q47" i="27"/>
  <c r="U47" i="27"/>
  <c r="X47" i="27"/>
  <c r="AS47" i="27"/>
  <c r="AU47" i="27"/>
  <c r="E73" i="27"/>
  <c r="E59" i="27"/>
  <c r="L73" i="27"/>
  <c r="L59" i="27"/>
  <c r="Y73" i="27"/>
  <c r="Y59" i="27"/>
  <c r="AC73" i="27"/>
  <c r="AC59" i="27"/>
  <c r="AL73" i="27"/>
  <c r="AL59" i="27"/>
  <c r="C68" i="27"/>
  <c r="C54" i="27"/>
  <c r="O68" i="27"/>
  <c r="O54" i="27"/>
  <c r="V68" i="27"/>
  <c r="V54" i="27"/>
  <c r="AA68" i="27"/>
  <c r="AA54" i="27"/>
  <c r="AJ68" i="27"/>
  <c r="AN68" i="27"/>
  <c r="AN54" i="27"/>
  <c r="AT68" i="27"/>
  <c r="AT54" i="27"/>
  <c r="F10" i="27"/>
  <c r="N45" i="27"/>
  <c r="Q46" i="27"/>
  <c r="Q45" i="27" s="1"/>
  <c r="U45" i="27"/>
  <c r="X45" i="27"/>
  <c r="U46" i="27"/>
  <c r="X46" i="27"/>
  <c r="Z45" i="27"/>
  <c r="AI46" i="27"/>
  <c r="AI45" i="27"/>
  <c r="AM46" i="27"/>
  <c r="AM45" i="27"/>
  <c r="AU46" i="27"/>
  <c r="AS46" i="27"/>
  <c r="AS45" i="27"/>
  <c r="Q11" i="27"/>
  <c r="D74" i="27"/>
  <c r="D60" i="27"/>
  <c r="K74" i="27"/>
  <c r="K60" i="27"/>
  <c r="P74" i="27"/>
  <c r="P60" i="27"/>
  <c r="W74" i="27"/>
  <c r="W60" i="27"/>
  <c r="AB74" i="27"/>
  <c r="AB60" i="27"/>
  <c r="AK74" i="27"/>
  <c r="AK60" i="27"/>
  <c r="AO74" i="27"/>
  <c r="AO60" i="27"/>
  <c r="F14" i="27"/>
  <c r="Q15" i="27"/>
  <c r="AP15" i="27"/>
  <c r="D72" i="27"/>
  <c r="D58" i="27"/>
  <c r="K72" i="27"/>
  <c r="K58" i="27"/>
  <c r="P72" i="27"/>
  <c r="P58" i="27"/>
  <c r="W72" i="27"/>
  <c r="W58" i="27"/>
  <c r="AB72" i="27"/>
  <c r="AB58" i="27"/>
  <c r="AK72" i="27"/>
  <c r="AK58" i="27"/>
  <c r="AO72" i="27"/>
  <c r="AO58" i="27"/>
  <c r="C66" i="27"/>
  <c r="C52" i="27"/>
  <c r="O66" i="27"/>
  <c r="O52" i="27"/>
  <c r="V66" i="27"/>
  <c r="V52" i="27"/>
  <c r="AA66" i="27"/>
  <c r="AA52" i="27"/>
  <c r="AJ66" i="27"/>
  <c r="AJ52" i="27"/>
  <c r="AN66" i="27"/>
  <c r="AN52" i="27"/>
  <c r="AT66" i="27"/>
  <c r="AT52" i="27"/>
  <c r="N75" i="27"/>
  <c r="N61" i="27"/>
  <c r="Z75" i="27"/>
  <c r="Z61" i="27"/>
  <c r="AI75" i="27"/>
  <c r="AI61" i="27"/>
  <c r="AM75" i="27"/>
  <c r="AM61" i="27"/>
  <c r="Q19" i="27"/>
  <c r="AP19" i="27"/>
  <c r="D70" i="27"/>
  <c r="D56" i="27"/>
  <c r="K70" i="27"/>
  <c r="K56" i="27"/>
  <c r="P70" i="27"/>
  <c r="P56" i="27"/>
  <c r="W70" i="27"/>
  <c r="W56" i="27"/>
  <c r="AB70" i="27"/>
  <c r="AB56" i="27"/>
  <c r="AK70" i="27"/>
  <c r="AK56" i="27"/>
  <c r="AO70" i="27"/>
  <c r="AO56" i="27"/>
  <c r="C65" i="27"/>
  <c r="C51" i="27"/>
  <c r="O65" i="27"/>
  <c r="O51" i="27"/>
  <c r="V65" i="27"/>
  <c r="V51" i="27"/>
  <c r="AA65" i="27"/>
  <c r="AA51" i="27"/>
  <c r="AJ65" i="27"/>
  <c r="AJ51" i="27"/>
  <c r="AN65" i="27"/>
  <c r="AN51" i="27"/>
  <c r="AT65" i="27"/>
  <c r="AT51" i="27"/>
  <c r="F22" i="27"/>
  <c r="L49" i="27"/>
  <c r="Q23" i="27"/>
  <c r="AL49" i="27"/>
  <c r="AP23" i="27"/>
  <c r="D69" i="27"/>
  <c r="D55" i="27"/>
  <c r="K69" i="27"/>
  <c r="K55" i="27"/>
  <c r="P69" i="27"/>
  <c r="P55" i="27"/>
  <c r="W69" i="27"/>
  <c r="W55" i="27"/>
  <c r="AB69" i="27"/>
  <c r="AB55" i="27"/>
  <c r="AK69" i="27"/>
  <c r="AK55" i="27"/>
  <c r="AO69" i="27"/>
  <c r="AO55" i="27"/>
  <c r="C64" i="27"/>
  <c r="C50" i="27"/>
  <c r="O64" i="27"/>
  <c r="O50" i="27"/>
  <c r="V50" i="27"/>
  <c r="AA64" i="27"/>
  <c r="AA50" i="27"/>
  <c r="AN64" i="27"/>
  <c r="AN50" i="27"/>
  <c r="AT50" i="27"/>
  <c r="F26" i="27"/>
  <c r="E76" i="27"/>
  <c r="E62" i="27"/>
  <c r="L76" i="27"/>
  <c r="L62" i="27"/>
  <c r="Y76" i="27"/>
  <c r="Y62" i="27"/>
  <c r="AC76" i="27"/>
  <c r="AC62" i="27"/>
  <c r="AL76" i="27"/>
  <c r="AL62" i="27"/>
  <c r="C71" i="27"/>
  <c r="C57" i="27"/>
  <c r="O71" i="27"/>
  <c r="O57" i="27"/>
  <c r="V71" i="27"/>
  <c r="V57" i="27"/>
  <c r="AA71" i="27"/>
  <c r="AA57" i="27"/>
  <c r="AJ71" i="27"/>
  <c r="AJ57" i="27"/>
  <c r="AN71" i="27"/>
  <c r="AN57" i="27"/>
  <c r="AT71" i="27"/>
  <c r="AT57" i="27"/>
  <c r="F30" i="27"/>
  <c r="AN33" i="27"/>
  <c r="AP33" i="27" s="1"/>
  <c r="N35" i="27"/>
  <c r="Q35" i="27" s="1"/>
  <c r="AN37" i="27"/>
  <c r="AP37" i="27" s="1"/>
  <c r="D67" i="27"/>
  <c r="D53" i="27"/>
  <c r="K67" i="27"/>
  <c r="K53" i="27"/>
  <c r="P67" i="27"/>
  <c r="P53" i="27"/>
  <c r="W67" i="27"/>
  <c r="W53" i="27"/>
  <c r="AB67" i="27"/>
  <c r="AB53" i="27"/>
  <c r="AK67" i="27"/>
  <c r="AK53" i="27"/>
  <c r="AO67" i="27"/>
  <c r="AO53" i="27"/>
  <c r="J47" i="27"/>
  <c r="M47" i="27"/>
  <c r="N73" i="27"/>
  <c r="N59" i="27"/>
  <c r="Z73" i="27"/>
  <c r="Z59" i="27"/>
  <c r="AI73" i="27"/>
  <c r="AI59" i="27"/>
  <c r="AM73" i="27"/>
  <c r="AM59" i="27"/>
  <c r="D68" i="27"/>
  <c r="D54" i="27"/>
  <c r="K68" i="27"/>
  <c r="K54" i="27"/>
  <c r="P68" i="27"/>
  <c r="P54" i="27"/>
  <c r="W68" i="27"/>
  <c r="W54" i="27"/>
  <c r="AB68" i="27"/>
  <c r="AB54" i="27"/>
  <c r="AK68" i="27"/>
  <c r="AK54" i="27"/>
  <c r="AO68" i="27"/>
  <c r="AO54" i="27"/>
  <c r="C45" i="27"/>
  <c r="F46" i="27"/>
  <c r="F45" i="27" s="1"/>
  <c r="J45" i="27"/>
  <c r="J46" i="27"/>
  <c r="M45" i="27"/>
  <c r="M46" i="27"/>
  <c r="O45" i="27"/>
  <c r="V46" i="27"/>
  <c r="V45" i="27"/>
  <c r="AA45" i="27"/>
  <c r="AJ45" i="27"/>
  <c r="AJ46" i="27"/>
  <c r="AP46" i="27"/>
  <c r="AP45" i="27" s="1"/>
  <c r="AN45" i="27"/>
  <c r="AT46" i="27"/>
  <c r="AT45" i="27"/>
  <c r="E74" i="27"/>
  <c r="E60" i="27"/>
  <c r="L74" i="27"/>
  <c r="L60" i="27"/>
  <c r="Y74" i="27"/>
  <c r="Y60" i="27"/>
  <c r="AC74" i="27"/>
  <c r="AC60" i="27"/>
  <c r="AL74" i="27"/>
  <c r="X44" i="27"/>
  <c r="U44" i="27"/>
  <c r="AU44" i="27"/>
  <c r="AS44" i="27"/>
  <c r="E72" i="27"/>
  <c r="E58" i="27"/>
  <c r="L72" i="27"/>
  <c r="L58" i="27"/>
  <c r="Y72" i="27"/>
  <c r="Y58" i="27"/>
  <c r="AC72" i="27"/>
  <c r="AC58" i="27"/>
  <c r="AL72" i="27"/>
  <c r="AL58" i="27"/>
  <c r="D66" i="27"/>
  <c r="D52" i="27"/>
  <c r="K66" i="27"/>
  <c r="K52" i="27"/>
  <c r="P66" i="27"/>
  <c r="P52" i="27"/>
  <c r="W66" i="27"/>
  <c r="W52" i="27"/>
  <c r="AB66" i="27"/>
  <c r="AB52" i="27"/>
  <c r="AK66" i="27"/>
  <c r="AK52" i="27"/>
  <c r="AO66" i="27"/>
  <c r="AO52" i="27"/>
  <c r="C75" i="27"/>
  <c r="C61" i="27"/>
  <c r="O75" i="27"/>
  <c r="O61" i="27"/>
  <c r="V75" i="27"/>
  <c r="V61" i="27"/>
  <c r="AA75" i="27"/>
  <c r="AA61" i="27"/>
  <c r="AJ75" i="27"/>
  <c r="AJ61" i="27"/>
  <c r="AN75" i="27"/>
  <c r="AN61" i="27"/>
  <c r="AT75" i="27"/>
  <c r="AT61" i="27"/>
  <c r="U42" i="27"/>
  <c r="X42" i="27"/>
  <c r="AS42" i="27"/>
  <c r="AU42" i="27"/>
  <c r="E70" i="27"/>
  <c r="E56" i="27"/>
  <c r="L70" i="27"/>
  <c r="Y70" i="27"/>
  <c r="Y56" i="27"/>
  <c r="AC70" i="27"/>
  <c r="AC56" i="27"/>
  <c r="AL70" i="27"/>
  <c r="D65" i="27"/>
  <c r="D51" i="27"/>
  <c r="K65" i="27"/>
  <c r="K51" i="27"/>
  <c r="P65" i="27"/>
  <c r="P51" i="27"/>
  <c r="W65" i="27"/>
  <c r="W51" i="27"/>
  <c r="AB65" i="27"/>
  <c r="AB51" i="27"/>
  <c r="AK65" i="27"/>
  <c r="AK51" i="27"/>
  <c r="AO65" i="27"/>
  <c r="AO51" i="27"/>
  <c r="Q49" i="27"/>
  <c r="U49" i="27"/>
  <c r="X49" i="27"/>
  <c r="AI49" i="27"/>
  <c r="AM49" i="27"/>
  <c r="AS49" i="27"/>
  <c r="AU49" i="27"/>
  <c r="E69" i="27"/>
  <c r="E55" i="27"/>
  <c r="L69" i="27"/>
  <c r="L55" i="27"/>
  <c r="Y69" i="27"/>
  <c r="Y55" i="27"/>
  <c r="AC69" i="27"/>
  <c r="AC55" i="27"/>
  <c r="AL69" i="27"/>
  <c r="AL55" i="27"/>
  <c r="D64" i="27"/>
  <c r="D50" i="27"/>
  <c r="D48" i="27" s="1"/>
  <c r="K50" i="27"/>
  <c r="P64" i="27"/>
  <c r="P50" i="27"/>
  <c r="W50" i="27"/>
  <c r="AB64" i="27"/>
  <c r="AB50" i="27"/>
  <c r="AK50" i="27"/>
  <c r="AO64" i="27"/>
  <c r="AO50" i="27"/>
  <c r="N76" i="27"/>
  <c r="N62" i="27"/>
  <c r="Z76" i="27"/>
  <c r="Z62" i="27"/>
  <c r="AI76" i="27"/>
  <c r="AI62" i="27"/>
  <c r="AM76" i="27"/>
  <c r="AM62" i="27"/>
  <c r="D71" i="27"/>
  <c r="D57" i="27"/>
  <c r="K71" i="27"/>
  <c r="K57" i="27"/>
  <c r="P71" i="27"/>
  <c r="P57" i="27"/>
  <c r="W71" i="27"/>
  <c r="W57" i="27"/>
  <c r="AB71" i="27"/>
  <c r="AB57" i="27"/>
  <c r="AK71" i="27"/>
  <c r="AK57" i="27"/>
  <c r="AO71" i="27"/>
  <c r="AO57" i="27"/>
  <c r="AN34" i="27"/>
  <c r="AP34" i="27" s="1"/>
  <c r="AN38" i="27"/>
  <c r="AP38" i="27" s="1"/>
  <c r="F4" i="27"/>
  <c r="X40" i="27"/>
  <c r="U40" i="27"/>
  <c r="AU40" i="27"/>
  <c r="AS40" i="27"/>
  <c r="E67" i="27"/>
  <c r="E53" i="27"/>
  <c r="L53" i="27"/>
  <c r="Y67" i="27"/>
  <c r="Y53" i="27"/>
  <c r="AC67" i="27"/>
  <c r="AC53" i="27"/>
  <c r="AL67" i="27"/>
  <c r="AL53" i="27"/>
  <c r="AP5" i="27"/>
  <c r="C73" i="27"/>
  <c r="C59" i="27"/>
  <c r="O73" i="27"/>
  <c r="O59" i="27"/>
  <c r="V73" i="27"/>
  <c r="V59" i="27"/>
  <c r="AA73" i="27"/>
  <c r="AA59" i="27"/>
  <c r="AJ73" i="27"/>
  <c r="AJ59" i="27"/>
  <c r="AN73" i="27"/>
  <c r="AN59" i="27"/>
  <c r="AT73" i="27"/>
  <c r="AT59" i="27"/>
  <c r="F8" i="27"/>
  <c r="Q41" i="27"/>
  <c r="U41" i="27"/>
  <c r="X41" i="27"/>
  <c r="AU41" i="27"/>
  <c r="AS41" i="27"/>
  <c r="E68" i="27"/>
  <c r="E54" i="27"/>
  <c r="L68" i="27"/>
  <c r="L54" i="27"/>
  <c r="Y68" i="27"/>
  <c r="Y54" i="27"/>
  <c r="AC68" i="27"/>
  <c r="AC54" i="27"/>
  <c r="AL68" i="27"/>
  <c r="AL54" i="27"/>
  <c r="AP9" i="27"/>
  <c r="D45" i="27"/>
  <c r="K46" i="27"/>
  <c r="K45" i="27"/>
  <c r="P45" i="27"/>
  <c r="W46" i="27"/>
  <c r="W45" i="27"/>
  <c r="AB45" i="27"/>
  <c r="AK45" i="27"/>
  <c r="AK46" i="27"/>
  <c r="AO45" i="27"/>
  <c r="N74" i="27"/>
  <c r="N60" i="27"/>
  <c r="Z74" i="27"/>
  <c r="Z60" i="27"/>
  <c r="AI74" i="27"/>
  <c r="AI60" i="27"/>
  <c r="AM74" i="27"/>
  <c r="Q13" i="27"/>
  <c r="F44" i="27"/>
  <c r="J44" i="27"/>
  <c r="M44" i="27"/>
  <c r="AP44" i="27"/>
  <c r="N72" i="27"/>
  <c r="N58" i="27"/>
  <c r="Z72" i="27"/>
  <c r="Z58" i="27"/>
  <c r="AI72" i="27"/>
  <c r="AI58" i="27"/>
  <c r="AM72" i="27"/>
  <c r="AM58" i="27"/>
  <c r="E66" i="27"/>
  <c r="E52" i="27"/>
  <c r="L66" i="27"/>
  <c r="L52" i="27"/>
  <c r="Y66" i="27"/>
  <c r="Y52" i="27"/>
  <c r="AC66" i="27"/>
  <c r="AC52" i="27"/>
  <c r="AL66" i="27"/>
  <c r="AL52" i="27"/>
  <c r="AP17" i="27"/>
  <c r="D75" i="27"/>
  <c r="D61" i="27"/>
  <c r="K75" i="27"/>
  <c r="K61" i="27"/>
  <c r="P75" i="27"/>
  <c r="P61" i="27"/>
  <c r="W75" i="27"/>
  <c r="W61" i="27"/>
  <c r="AB75" i="27"/>
  <c r="AB61" i="27"/>
  <c r="AK75" i="27"/>
  <c r="AK61" i="27"/>
  <c r="AO75" i="27"/>
  <c r="AO61" i="27"/>
  <c r="F42" i="27"/>
  <c r="J42" i="27"/>
  <c r="M42" i="27"/>
  <c r="AP42" i="27"/>
  <c r="N70" i="27"/>
  <c r="N56" i="27"/>
  <c r="Z70" i="27"/>
  <c r="Z56" i="27"/>
  <c r="AI70" i="27"/>
  <c r="AI56" i="27"/>
  <c r="AM70" i="27"/>
  <c r="AM56" i="27"/>
  <c r="E65" i="27"/>
  <c r="E51" i="27"/>
  <c r="L65" i="27"/>
  <c r="L51" i="27"/>
  <c r="Y65" i="27"/>
  <c r="Y51" i="27"/>
  <c r="AC65" i="27"/>
  <c r="AC51" i="27"/>
  <c r="AL65" i="27"/>
  <c r="AL51" i="27"/>
  <c r="AP21" i="27"/>
  <c r="F49" i="27"/>
  <c r="M49" i="27"/>
  <c r="J49" i="27"/>
  <c r="V49" i="27"/>
  <c r="AJ49" i="27"/>
  <c r="AP49" i="27"/>
  <c r="AT49" i="27"/>
  <c r="N69" i="27"/>
  <c r="N55" i="27"/>
  <c r="Z69" i="27"/>
  <c r="Z55" i="27"/>
  <c r="AI69" i="27"/>
  <c r="AI55" i="27"/>
  <c r="AM69" i="27"/>
  <c r="AM55" i="27"/>
  <c r="E64" i="27"/>
  <c r="E50" i="27"/>
  <c r="E48" i="27" s="1"/>
  <c r="L50" i="27"/>
  <c r="Y64" i="27"/>
  <c r="Y50" i="27"/>
  <c r="AC64" i="27"/>
  <c r="AC50" i="27"/>
  <c r="AL50" i="27"/>
  <c r="AP25" i="27"/>
  <c r="C76" i="27"/>
  <c r="C62" i="27"/>
  <c r="O76" i="27"/>
  <c r="O62" i="27"/>
  <c r="V76" i="27"/>
  <c r="V62" i="27"/>
  <c r="AA76" i="27"/>
  <c r="AA62" i="27"/>
  <c r="AJ76" i="27"/>
  <c r="AJ62" i="27"/>
  <c r="AN76" i="27"/>
  <c r="AN62" i="27"/>
  <c r="AT76" i="27"/>
  <c r="AT62" i="27"/>
  <c r="F28" i="27"/>
  <c r="Q43" i="27"/>
  <c r="U43" i="27"/>
  <c r="X43" i="27"/>
  <c r="AS43" i="27"/>
  <c r="AU43" i="27"/>
  <c r="E71" i="27"/>
  <c r="E57" i="27"/>
  <c r="L71" i="27"/>
  <c r="L57" i="27"/>
  <c r="Y71" i="27"/>
  <c r="Y57" i="27"/>
  <c r="AC71" i="27"/>
  <c r="AC57" i="27"/>
  <c r="AL71" i="27"/>
  <c r="AP29" i="27"/>
  <c r="AN35" i="27"/>
  <c r="AP35" i="27" s="1"/>
  <c r="O36" i="27"/>
  <c r="O31" i="27" s="1"/>
  <c r="Q2" i="27"/>
  <c r="AP40" i="27"/>
  <c r="F5" i="27"/>
  <c r="N67" i="27"/>
  <c r="Q67" i="27" s="1"/>
  <c r="N53" i="27"/>
  <c r="Q53" i="27" s="1"/>
  <c r="Z67" i="27"/>
  <c r="Z53" i="27"/>
  <c r="AI67" i="27"/>
  <c r="AI53" i="27"/>
  <c r="AM67" i="27"/>
  <c r="AM53" i="27"/>
  <c r="Q6" i="27"/>
  <c r="AP6" i="27"/>
  <c r="D73" i="27"/>
  <c r="D59" i="27"/>
  <c r="K73" i="27"/>
  <c r="K59" i="27"/>
  <c r="P73" i="27"/>
  <c r="P59" i="27"/>
  <c r="W73" i="27"/>
  <c r="W59" i="27"/>
  <c r="AB73" i="27"/>
  <c r="AB59" i="27"/>
  <c r="AK73" i="27"/>
  <c r="AK59" i="27"/>
  <c r="AO73" i="27"/>
  <c r="AO59" i="27"/>
  <c r="F41" i="27"/>
  <c r="J41" i="27"/>
  <c r="M41" i="27"/>
  <c r="AP41" i="27"/>
  <c r="F9" i="27"/>
  <c r="N68" i="27"/>
  <c r="N54" i="27"/>
  <c r="Q54" i="27" s="1"/>
  <c r="Z68" i="27"/>
  <c r="Z54" i="27"/>
  <c r="AI68" i="27"/>
  <c r="AI54" i="27"/>
  <c r="AM68" i="27"/>
  <c r="AM54" i="27"/>
  <c r="E45" i="27"/>
  <c r="L45" i="27"/>
  <c r="L46" i="27"/>
  <c r="Q10" i="27"/>
  <c r="Y45" i="27"/>
  <c r="AC45" i="27"/>
  <c r="AL45" i="27"/>
  <c r="AL46" i="27"/>
  <c r="AP10" i="27"/>
  <c r="C74" i="27"/>
  <c r="F74" i="27" s="1"/>
  <c r="C60" i="27"/>
  <c r="F60" i="27" s="1"/>
  <c r="O74" i="27"/>
  <c r="O60" i="27"/>
  <c r="V74" i="27"/>
  <c r="V60" i="27"/>
  <c r="AA74" i="27"/>
  <c r="AA60" i="27"/>
  <c r="AJ60" i="27"/>
  <c r="AN74" i="27"/>
  <c r="AP74" i="27" s="1"/>
  <c r="AN60" i="27"/>
  <c r="AP60" i="27" s="1"/>
  <c r="AT74" i="27"/>
  <c r="AT60" i="27"/>
  <c r="F13" i="27"/>
  <c r="Q14" i="27"/>
  <c r="C72" i="27"/>
  <c r="C58" i="27"/>
  <c r="O72" i="27"/>
  <c r="O58" i="27"/>
  <c r="V72" i="27"/>
  <c r="V58" i="27"/>
  <c r="AA72" i="27"/>
  <c r="AA58" i="27"/>
  <c r="AJ72" i="27"/>
  <c r="AJ58" i="27"/>
  <c r="AN72" i="27"/>
  <c r="AP72" i="27" s="1"/>
  <c r="AN58" i="27"/>
  <c r="AT72" i="27"/>
  <c r="AT58" i="27"/>
  <c r="F17" i="27"/>
  <c r="N66" i="27"/>
  <c r="N52" i="27"/>
  <c r="Z66" i="27"/>
  <c r="Z52" i="27"/>
  <c r="AI66" i="27"/>
  <c r="AM66" i="27"/>
  <c r="AM52" i="27"/>
  <c r="E75" i="27"/>
  <c r="E61" i="27"/>
  <c r="L75" i="27"/>
  <c r="L61" i="27"/>
  <c r="Q18" i="27"/>
  <c r="Y75" i="27"/>
  <c r="Y61" i="27"/>
  <c r="AC75" i="27"/>
  <c r="AC61" i="27"/>
  <c r="AL75" i="27"/>
  <c r="AL61" i="27"/>
  <c r="AP18" i="27"/>
  <c r="C70" i="27"/>
  <c r="F70" i="27" s="1"/>
  <c r="C56" i="27"/>
  <c r="F56" i="27" s="1"/>
  <c r="O70" i="27"/>
  <c r="O56" i="27"/>
  <c r="V70" i="27"/>
  <c r="V56" i="27"/>
  <c r="AA70" i="27"/>
  <c r="AA56" i="27"/>
  <c r="AJ56" i="27"/>
  <c r="AN70" i="27"/>
  <c r="AP70" i="27" s="1"/>
  <c r="AN56" i="27"/>
  <c r="AP56" i="27" s="1"/>
  <c r="AT70" i="27"/>
  <c r="AT56" i="27"/>
  <c r="F21" i="27"/>
  <c r="N65" i="27"/>
  <c r="Q65" i="27" s="1"/>
  <c r="N51" i="27"/>
  <c r="Q51" i="27" s="1"/>
  <c r="Z65" i="27"/>
  <c r="Z51" i="27"/>
  <c r="AI65" i="27"/>
  <c r="AI51" i="27"/>
  <c r="AM65" i="27"/>
  <c r="Q22" i="27"/>
  <c r="K49" i="27"/>
  <c r="W49" i="27"/>
  <c r="AB48" i="27"/>
  <c r="AK49" i="27"/>
  <c r="C69" i="27"/>
  <c r="F69" i="27" s="1"/>
  <c r="C55" i="27"/>
  <c r="F55" i="27" s="1"/>
  <c r="J48" i="27"/>
  <c r="O69" i="27"/>
  <c r="O55" i="27"/>
  <c r="V69" i="27"/>
  <c r="V55" i="27"/>
  <c r="AA69" i="27"/>
  <c r="AA55" i="27"/>
  <c r="AJ69" i="27"/>
  <c r="AJ55" i="27"/>
  <c r="AN69" i="27"/>
  <c r="AP69" i="27" s="1"/>
  <c r="AN55" i="27"/>
  <c r="AP55" i="27" s="1"/>
  <c r="AT69" i="27"/>
  <c r="AT55" i="27"/>
  <c r="F25" i="27"/>
  <c r="N64" i="27"/>
  <c r="Q64" i="27" s="1"/>
  <c r="N50" i="27"/>
  <c r="Q50" i="27" s="1"/>
  <c r="Z64" i="27"/>
  <c r="Z50" i="27"/>
  <c r="AI50" i="27"/>
  <c r="AM50" i="27"/>
  <c r="AU48" i="27"/>
  <c r="AP26" i="27"/>
  <c r="D76" i="27"/>
  <c r="D62" i="27"/>
  <c r="K76" i="27"/>
  <c r="K62" i="27"/>
  <c r="P76" i="27"/>
  <c r="P62" i="27"/>
  <c r="W76" i="27"/>
  <c r="W62" i="27"/>
  <c r="AB76" i="27"/>
  <c r="AB62" i="27"/>
  <c r="AK76" i="27"/>
  <c r="AK62" i="27"/>
  <c r="AO76" i="27"/>
  <c r="AO62" i="27"/>
  <c r="F43" i="27"/>
  <c r="M43" i="27"/>
  <c r="J43" i="27"/>
  <c r="F29" i="27"/>
  <c r="N71" i="27"/>
  <c r="Q71" i="27" s="1"/>
  <c r="N57" i="27"/>
  <c r="Q57" i="27" s="1"/>
  <c r="Z71" i="27"/>
  <c r="Z57" i="27"/>
  <c r="AI71" i="27"/>
  <c r="AI57" i="27"/>
  <c r="AM71" i="27"/>
  <c r="AM57" i="27"/>
  <c r="Y31" i="14"/>
  <c r="AA31" i="14"/>
  <c r="AB31" i="14"/>
  <c r="Z31" i="14"/>
  <c r="AH58" i="14"/>
  <c r="AH67" i="14"/>
  <c r="AH68" i="14"/>
  <c r="AH75" i="14"/>
  <c r="AM75" i="14" s="1"/>
  <c r="AD61" i="14"/>
  <c r="I61" i="14"/>
  <c r="G54" i="14"/>
  <c r="R56" i="14"/>
  <c r="R73" i="14"/>
  <c r="R50" i="14"/>
  <c r="R51" i="14"/>
  <c r="R52" i="14"/>
  <c r="R60" i="14"/>
  <c r="G61" i="14"/>
  <c r="R67" i="14"/>
  <c r="R71" i="14"/>
  <c r="R72" i="14"/>
  <c r="G74" i="14"/>
  <c r="R75" i="14"/>
  <c r="G53" i="14"/>
  <c r="R55" i="14"/>
  <c r="G62" i="14"/>
  <c r="G73" i="14"/>
  <c r="G58" i="14"/>
  <c r="AT43" i="14"/>
  <c r="AU43" i="14"/>
  <c r="AR60" i="14"/>
  <c r="AR72" i="14"/>
  <c r="AR69" i="14"/>
  <c r="AR61" i="14"/>
  <c r="AO32" i="14"/>
  <c r="AO31" i="14" s="1"/>
  <c r="I53" i="14"/>
  <c r="L53" i="14" s="1"/>
  <c r="AD53" i="14"/>
  <c r="AI53" i="14" s="1"/>
  <c r="I50" i="14"/>
  <c r="L50" i="14" s="1"/>
  <c r="AE74" i="14"/>
  <c r="AE53" i="14"/>
  <c r="AJ53" i="14" s="1"/>
  <c r="AE70" i="14"/>
  <c r="AJ70" i="14" s="1"/>
  <c r="AE73" i="14"/>
  <c r="AE59" i="14"/>
  <c r="AE66" i="14"/>
  <c r="AJ66" i="14" s="1"/>
  <c r="AE68" i="14"/>
  <c r="AJ68" i="14" s="1"/>
  <c r="AE54" i="14"/>
  <c r="AE72" i="14"/>
  <c r="AJ72" i="14" s="1"/>
  <c r="AE58" i="14"/>
  <c r="AE65" i="14"/>
  <c r="AJ65" i="14" s="1"/>
  <c r="AE51" i="14"/>
  <c r="AE69" i="14"/>
  <c r="AJ69" i="14" s="1"/>
  <c r="AE55" i="14"/>
  <c r="AJ55" i="14" s="1"/>
  <c r="AE64" i="14"/>
  <c r="AE50" i="14"/>
  <c r="AE76" i="14"/>
  <c r="AE62" i="14"/>
  <c r="AJ62" i="14" s="1"/>
  <c r="AE61" i="14"/>
  <c r="AJ61" i="14" s="1"/>
  <c r="I51" i="14"/>
  <c r="L51" i="14" s="1"/>
  <c r="AD51" i="14"/>
  <c r="AI51" i="14" s="1"/>
  <c r="AH51" i="14"/>
  <c r="AM51" i="14" s="1"/>
  <c r="T52" i="14"/>
  <c r="W52" i="14" s="1"/>
  <c r="AG52" i="14"/>
  <c r="AF53" i="14"/>
  <c r="I55" i="14"/>
  <c r="L55" i="14" s="1"/>
  <c r="AD55" i="14"/>
  <c r="AI55" i="14" s="1"/>
  <c r="AH55" i="14"/>
  <c r="T56" i="14"/>
  <c r="AG56" i="14"/>
  <c r="AL56" i="14" s="1"/>
  <c r="AF57" i="14"/>
  <c r="AK57" i="14" s="1"/>
  <c r="I59" i="14"/>
  <c r="AD59" i="14"/>
  <c r="AI59" i="14" s="1"/>
  <c r="AH59" i="14"/>
  <c r="T60" i="14"/>
  <c r="W60" i="14" s="1"/>
  <c r="AG60" i="14"/>
  <c r="AF61" i="14"/>
  <c r="AK61" i="14" s="1"/>
  <c r="AF50" i="14"/>
  <c r="AK50" i="14" s="1"/>
  <c r="I52" i="14"/>
  <c r="L52" i="14" s="1"/>
  <c r="AD52" i="14"/>
  <c r="AH52" i="14"/>
  <c r="T53" i="14"/>
  <c r="W53" i="14" s="1"/>
  <c r="AG53" i="14"/>
  <c r="AL53" i="14" s="1"/>
  <c r="AF54" i="14"/>
  <c r="I56" i="14"/>
  <c r="L56" i="14" s="1"/>
  <c r="AD56" i="14"/>
  <c r="AH56" i="14"/>
  <c r="AM56" i="14" s="1"/>
  <c r="T57" i="14"/>
  <c r="AG57" i="14"/>
  <c r="AL57" i="14" s="1"/>
  <c r="AF58" i="14"/>
  <c r="AK58" i="14" s="1"/>
  <c r="I60" i="14"/>
  <c r="L60" i="14" s="1"/>
  <c r="AD60" i="14"/>
  <c r="AH60" i="14"/>
  <c r="AM60" i="14" s="1"/>
  <c r="T61" i="14"/>
  <c r="W61" i="14" s="1"/>
  <c r="AG61" i="14"/>
  <c r="AL61" i="14" s="1"/>
  <c r="AF62" i="14"/>
  <c r="D41" i="14"/>
  <c r="AN33" i="14"/>
  <c r="AP33" i="14" s="1"/>
  <c r="O43" i="14"/>
  <c r="Q35" i="14"/>
  <c r="F42" i="14"/>
  <c r="C44" i="14"/>
  <c r="Q8" i="14"/>
  <c r="AP41" i="14"/>
  <c r="AP42" i="14"/>
  <c r="Q4" i="14"/>
  <c r="AP44" i="14"/>
  <c r="AN40" i="14"/>
  <c r="AP40" i="14" s="1"/>
  <c r="E41" i="14"/>
  <c r="E31" i="14" s="1"/>
  <c r="AP8" i="14"/>
  <c r="Y45" i="14"/>
  <c r="AC45" i="14"/>
  <c r="Q33" i="14"/>
  <c r="P73" i="14"/>
  <c r="U45" i="14"/>
  <c r="C49" i="14"/>
  <c r="F49" i="14" s="1"/>
  <c r="N43" i="14"/>
  <c r="Q43" i="14" s="1"/>
  <c r="AN43" i="14"/>
  <c r="AL31" i="14"/>
  <c r="U32" i="14"/>
  <c r="X32" i="14"/>
  <c r="U31" i="14"/>
  <c r="X31" i="14"/>
  <c r="AI31" i="14"/>
  <c r="AI32" i="14"/>
  <c r="AM31" i="14"/>
  <c r="AM32" i="14"/>
  <c r="J35" i="14"/>
  <c r="M35" i="14"/>
  <c r="O38" i="14"/>
  <c r="Q2" i="14"/>
  <c r="AS32" i="14"/>
  <c r="AS31" i="14"/>
  <c r="AU32" i="14"/>
  <c r="AM73" i="14"/>
  <c r="AM59" i="14"/>
  <c r="AB68" i="14"/>
  <c r="AB54" i="14"/>
  <c r="Y72" i="14"/>
  <c r="Y58" i="14"/>
  <c r="D66" i="14"/>
  <c r="D52" i="14"/>
  <c r="AS42" i="14"/>
  <c r="AU42" i="14"/>
  <c r="C37" i="14"/>
  <c r="F37" i="14" s="1"/>
  <c r="AS37" i="14"/>
  <c r="AU37" i="14"/>
  <c r="AI49" i="14"/>
  <c r="K71" i="14"/>
  <c r="K57" i="14"/>
  <c r="F32" i="14"/>
  <c r="AL32" i="14"/>
  <c r="C38" i="14"/>
  <c r="F38" i="14" s="1"/>
  <c r="F2" i="14"/>
  <c r="L31" i="14"/>
  <c r="L32" i="14"/>
  <c r="AT31" i="14"/>
  <c r="W67" i="14"/>
  <c r="AB67" i="14"/>
  <c r="AB53" i="14"/>
  <c r="AK67" i="14"/>
  <c r="AK53" i="14"/>
  <c r="AO67" i="14"/>
  <c r="AO53" i="14"/>
  <c r="AP5" i="14"/>
  <c r="N73" i="14"/>
  <c r="N59" i="14"/>
  <c r="Q7" i="14"/>
  <c r="K68" i="14"/>
  <c r="K54" i="14"/>
  <c r="P68" i="14"/>
  <c r="P54" i="14"/>
  <c r="V46" i="14"/>
  <c r="V45" i="14"/>
  <c r="AA45" i="14"/>
  <c r="AJ45" i="14"/>
  <c r="AJ46" i="14"/>
  <c r="AN46" i="14"/>
  <c r="AP10" i="14"/>
  <c r="L74" i="14"/>
  <c r="Y74" i="14"/>
  <c r="Y60" i="14"/>
  <c r="AC74" i="14"/>
  <c r="AC60" i="14"/>
  <c r="AL74" i="14"/>
  <c r="AL60" i="14"/>
  <c r="D33" i="14"/>
  <c r="D31" i="14" s="1"/>
  <c r="X33" i="14"/>
  <c r="J34" i="14"/>
  <c r="M34" i="14"/>
  <c r="O34" i="14"/>
  <c r="Q34" i="14" s="1"/>
  <c r="Q14" i="14"/>
  <c r="AU44" i="14"/>
  <c r="AS44" i="14"/>
  <c r="E72" i="14"/>
  <c r="E58" i="14"/>
  <c r="C75" i="14"/>
  <c r="C61" i="14"/>
  <c r="U42" i="14"/>
  <c r="X42" i="14"/>
  <c r="W65" i="14"/>
  <c r="W51" i="14"/>
  <c r="AB65" i="14"/>
  <c r="AB51" i="14"/>
  <c r="AK65" i="14"/>
  <c r="AK51" i="14"/>
  <c r="AO65" i="14"/>
  <c r="AP65" i="14" s="1"/>
  <c r="AO51" i="14"/>
  <c r="N49" i="14"/>
  <c r="Q23" i="14"/>
  <c r="K50" i="14"/>
  <c r="P64" i="14"/>
  <c r="P50" i="14"/>
  <c r="AP26" i="14"/>
  <c r="AN36" i="14"/>
  <c r="AP36" i="14" s="1"/>
  <c r="D71" i="14"/>
  <c r="D57" i="14"/>
  <c r="M31" i="14"/>
  <c r="AK31" i="14"/>
  <c r="M33" i="14"/>
  <c r="AS33" i="14"/>
  <c r="C35" i="14"/>
  <c r="F35" i="14" s="1"/>
  <c r="M38" i="14"/>
  <c r="J38" i="14"/>
  <c r="K31" i="14"/>
  <c r="K32" i="14"/>
  <c r="AI73" i="14"/>
  <c r="AK68" i="14"/>
  <c r="AK54" i="14"/>
  <c r="AT46" i="14"/>
  <c r="AT45" i="14"/>
  <c r="L72" i="14"/>
  <c r="L58" i="14"/>
  <c r="AC72" i="14"/>
  <c r="AC58" i="14"/>
  <c r="W50" i="14"/>
  <c r="AO64" i="14"/>
  <c r="AO50" i="14"/>
  <c r="AP30" i="14"/>
  <c r="AN35" i="14"/>
  <c r="AP35" i="14" s="1"/>
  <c r="U38" i="14"/>
  <c r="X38" i="14"/>
  <c r="V31" i="14"/>
  <c r="AJ31" i="14"/>
  <c r="AJ32" i="14"/>
  <c r="K67" i="14"/>
  <c r="K53" i="14"/>
  <c r="P67" i="14"/>
  <c r="P53" i="14"/>
  <c r="AN47" i="14"/>
  <c r="AP47" i="14" s="1"/>
  <c r="AP6" i="14"/>
  <c r="D68" i="14"/>
  <c r="D54" i="14"/>
  <c r="J46" i="14"/>
  <c r="M45" i="14"/>
  <c r="M46" i="14"/>
  <c r="J45" i="14"/>
  <c r="Q10" i="14"/>
  <c r="O46" i="14"/>
  <c r="AU39" i="14"/>
  <c r="AS39" i="14"/>
  <c r="E74" i="14"/>
  <c r="E60" i="14"/>
  <c r="C34" i="14"/>
  <c r="F34" i="14" s="1"/>
  <c r="AU34" i="14"/>
  <c r="AS34" i="14"/>
  <c r="U44" i="14"/>
  <c r="X44" i="14"/>
  <c r="W66" i="14"/>
  <c r="AB66" i="14"/>
  <c r="AB52" i="14"/>
  <c r="AK66" i="14"/>
  <c r="AK52" i="14"/>
  <c r="AO66" i="14"/>
  <c r="AO52" i="14"/>
  <c r="AP17" i="14"/>
  <c r="AT75" i="14"/>
  <c r="AT61" i="14"/>
  <c r="Q19" i="14"/>
  <c r="N42" i="14"/>
  <c r="Q42" i="14" s="1"/>
  <c r="K65" i="14"/>
  <c r="K51" i="14"/>
  <c r="P65" i="14"/>
  <c r="P51" i="14"/>
  <c r="AN37" i="14"/>
  <c r="AP37" i="14" s="1"/>
  <c r="AP22" i="14"/>
  <c r="L69" i="14"/>
  <c r="Y69" i="14"/>
  <c r="Y55" i="14"/>
  <c r="AC69" i="14"/>
  <c r="AC55" i="14"/>
  <c r="AL69" i="14"/>
  <c r="AL55" i="14"/>
  <c r="D64" i="14"/>
  <c r="D50" i="14"/>
  <c r="M36" i="14"/>
  <c r="J36" i="14"/>
  <c r="Q26" i="14"/>
  <c r="O36" i="14"/>
  <c r="Q36" i="14" s="1"/>
  <c r="Q29" i="14"/>
  <c r="N32" i="14"/>
  <c r="AT32" i="14"/>
  <c r="C47" i="14"/>
  <c r="F47" i="14" s="1"/>
  <c r="Z73" i="14"/>
  <c r="Z59" i="14"/>
  <c r="J41" i="14"/>
  <c r="M41" i="14"/>
  <c r="W68" i="14"/>
  <c r="W54" i="14"/>
  <c r="AO68" i="14"/>
  <c r="AO54" i="14"/>
  <c r="AP9" i="14"/>
  <c r="N39" i="14"/>
  <c r="Q39" i="14" s="1"/>
  <c r="Q11" i="14"/>
  <c r="AL72" i="14"/>
  <c r="AL58" i="14"/>
  <c r="O75" i="14"/>
  <c r="O61" i="14"/>
  <c r="Q18" i="14"/>
  <c r="E70" i="14"/>
  <c r="E56" i="14"/>
  <c r="U49" i="14"/>
  <c r="X49" i="14"/>
  <c r="AM49" i="14"/>
  <c r="AB64" i="14"/>
  <c r="AB50" i="14"/>
  <c r="AB48" i="14" s="1"/>
  <c r="N76" i="14"/>
  <c r="N62" i="14"/>
  <c r="Q27" i="14"/>
  <c r="P71" i="14"/>
  <c r="P57" i="14"/>
  <c r="Q38" i="14"/>
  <c r="AN38" i="14"/>
  <c r="AP38" i="14" s="1"/>
  <c r="AP2" i="14"/>
  <c r="M32" i="14"/>
  <c r="J31" i="14"/>
  <c r="W31" i="14"/>
  <c r="W32" i="14"/>
  <c r="D67" i="14"/>
  <c r="D53" i="14"/>
  <c r="M47" i="14"/>
  <c r="J47" i="14"/>
  <c r="O47" i="14"/>
  <c r="Q47" i="14" s="1"/>
  <c r="Q6" i="14"/>
  <c r="AS41" i="14"/>
  <c r="AU41" i="14"/>
  <c r="Q9" i="14"/>
  <c r="C46" i="14"/>
  <c r="AS46" i="14"/>
  <c r="AS45" i="14"/>
  <c r="AU46" i="14"/>
  <c r="L39" i="14"/>
  <c r="M39" i="14"/>
  <c r="X39" i="14"/>
  <c r="U39" i="14"/>
  <c r="N44" i="14"/>
  <c r="Q44" i="14" s="1"/>
  <c r="Q15" i="14"/>
  <c r="K66" i="14"/>
  <c r="K52" i="14"/>
  <c r="P66" i="14"/>
  <c r="P52" i="14"/>
  <c r="V75" i="14"/>
  <c r="V61" i="14"/>
  <c r="AA75" i="14"/>
  <c r="AA61" i="14"/>
  <c r="AJ75" i="14"/>
  <c r="AN75" i="14"/>
  <c r="AN61" i="14"/>
  <c r="AP18" i="14"/>
  <c r="L70" i="14"/>
  <c r="Y70" i="14"/>
  <c r="Y56" i="14"/>
  <c r="AC70" i="14"/>
  <c r="AC56" i="14"/>
  <c r="AL70" i="14"/>
  <c r="D65" i="14"/>
  <c r="D51" i="14"/>
  <c r="J37" i="14"/>
  <c r="M37" i="14"/>
  <c r="O37" i="14"/>
  <c r="Q22" i="14"/>
  <c r="AS49" i="14"/>
  <c r="AU49" i="14"/>
  <c r="E69" i="14"/>
  <c r="E55" i="14"/>
  <c r="Q25" i="14"/>
  <c r="AP25" i="14"/>
  <c r="C36" i="14"/>
  <c r="F36" i="14" s="1"/>
  <c r="Z76" i="14"/>
  <c r="Z62" i="14"/>
  <c r="AI76" i="14"/>
  <c r="AI62" i="14"/>
  <c r="AM76" i="14"/>
  <c r="AM62" i="14"/>
  <c r="W71" i="14"/>
  <c r="W57" i="14"/>
  <c r="AB71" i="14"/>
  <c r="AB57" i="14"/>
  <c r="AK71" i="14"/>
  <c r="AO71" i="14"/>
  <c r="AO57" i="14"/>
  <c r="U35" i="14"/>
  <c r="X35" i="14"/>
  <c r="AU31" i="14"/>
  <c r="U33" i="14"/>
  <c r="X34" i="14"/>
  <c r="AN34" i="14"/>
  <c r="AP34" i="14" s="1"/>
  <c r="Q40" i="14"/>
  <c r="AU40" i="14"/>
  <c r="AS40" i="14"/>
  <c r="E67" i="14"/>
  <c r="E53" i="14"/>
  <c r="L67" i="14"/>
  <c r="Q5" i="14"/>
  <c r="Y67" i="14"/>
  <c r="Y53" i="14"/>
  <c r="AC67" i="14"/>
  <c r="AC53" i="14"/>
  <c r="AL67" i="14"/>
  <c r="C73" i="14"/>
  <c r="C59" i="14"/>
  <c r="O73" i="14"/>
  <c r="O59" i="14"/>
  <c r="V73" i="14"/>
  <c r="V59" i="14"/>
  <c r="AA73" i="14"/>
  <c r="AA59" i="14"/>
  <c r="AJ73" i="14"/>
  <c r="AJ59" i="14"/>
  <c r="AN73" i="14"/>
  <c r="AN59" i="14"/>
  <c r="AT73" i="14"/>
  <c r="AT59" i="14"/>
  <c r="Q41" i="14"/>
  <c r="U41" i="14"/>
  <c r="X41" i="14"/>
  <c r="E68" i="14"/>
  <c r="E54" i="14"/>
  <c r="L68" i="14"/>
  <c r="L54" i="14"/>
  <c r="Y68" i="14"/>
  <c r="Y54" i="14"/>
  <c r="AC68" i="14"/>
  <c r="AC54" i="14"/>
  <c r="D45" i="14"/>
  <c r="K45" i="14"/>
  <c r="P45" i="14"/>
  <c r="W45" i="14"/>
  <c r="AB45" i="14"/>
  <c r="AK45" i="14"/>
  <c r="AK46" i="14"/>
  <c r="AO45" i="14"/>
  <c r="F39" i="14"/>
  <c r="AP39" i="14"/>
  <c r="N74" i="14"/>
  <c r="N60" i="14"/>
  <c r="Z74" i="14"/>
  <c r="Z60" i="14"/>
  <c r="AI74" i="14"/>
  <c r="AI60" i="14"/>
  <c r="AM74" i="14"/>
  <c r="Q13" i="14"/>
  <c r="F44" i="14"/>
  <c r="J44" i="14"/>
  <c r="M44" i="14"/>
  <c r="N72" i="14"/>
  <c r="N58" i="14"/>
  <c r="Z72" i="14"/>
  <c r="Z58" i="14"/>
  <c r="AI72" i="14"/>
  <c r="AI58" i="14"/>
  <c r="AM72" i="14"/>
  <c r="AM58" i="14"/>
  <c r="E66" i="14"/>
  <c r="E63" i="14" s="1"/>
  <c r="E52" i="14"/>
  <c r="L66" i="14"/>
  <c r="Y66" i="14"/>
  <c r="Y52" i="14"/>
  <c r="AC66" i="14"/>
  <c r="AC52" i="14"/>
  <c r="AL66" i="14"/>
  <c r="AL52" i="14"/>
  <c r="D75" i="14"/>
  <c r="D61" i="14"/>
  <c r="K75" i="14"/>
  <c r="K61" i="14"/>
  <c r="P75" i="14"/>
  <c r="P61" i="14"/>
  <c r="W75" i="14"/>
  <c r="AB75" i="14"/>
  <c r="AB61" i="14"/>
  <c r="AK75" i="14"/>
  <c r="AO75" i="14"/>
  <c r="AO61" i="14"/>
  <c r="M42" i="14"/>
  <c r="N70" i="14"/>
  <c r="N56" i="14"/>
  <c r="Z70" i="14"/>
  <c r="Z56" i="14"/>
  <c r="AI70" i="14"/>
  <c r="AI56" i="14"/>
  <c r="AM70" i="14"/>
  <c r="E65" i="14"/>
  <c r="E51" i="14"/>
  <c r="L65" i="14"/>
  <c r="Y65" i="14"/>
  <c r="Y51" i="14"/>
  <c r="AC65" i="14"/>
  <c r="AC51" i="14"/>
  <c r="AL65" i="14"/>
  <c r="AL51" i="14"/>
  <c r="AP21" i="14"/>
  <c r="M49" i="14"/>
  <c r="J49" i="14"/>
  <c r="V49" i="14"/>
  <c r="AJ49" i="14"/>
  <c r="AP49" i="14"/>
  <c r="AT49" i="14"/>
  <c r="N69" i="14"/>
  <c r="N55" i="14"/>
  <c r="Z69" i="14"/>
  <c r="Z55" i="14"/>
  <c r="AI69" i="14"/>
  <c r="AM69" i="14"/>
  <c r="AM55" i="14"/>
  <c r="Y64" i="14"/>
  <c r="Y50" i="14"/>
  <c r="AC64" i="14"/>
  <c r="AC50" i="14"/>
  <c r="AC48" i="14" s="1"/>
  <c r="AL50" i="14"/>
  <c r="C76" i="14"/>
  <c r="C62" i="14"/>
  <c r="O76" i="14"/>
  <c r="O62" i="14"/>
  <c r="V76" i="14"/>
  <c r="V62" i="14"/>
  <c r="AA76" i="14"/>
  <c r="AA62" i="14"/>
  <c r="AJ76" i="14"/>
  <c r="AN76" i="14"/>
  <c r="AN62" i="14"/>
  <c r="AT76" i="14"/>
  <c r="AT62" i="14"/>
  <c r="X43" i="14"/>
  <c r="E71" i="14"/>
  <c r="E57" i="14"/>
  <c r="L71" i="14"/>
  <c r="L57" i="14"/>
  <c r="Y71" i="14"/>
  <c r="Y57" i="14"/>
  <c r="AC71" i="14"/>
  <c r="AC57" i="14"/>
  <c r="AL71" i="14"/>
  <c r="J42" i="14"/>
  <c r="M43" i="14"/>
  <c r="AS43" i="14"/>
  <c r="AA52" i="14"/>
  <c r="W55" i="14"/>
  <c r="AK59" i="14"/>
  <c r="AU35" i="14"/>
  <c r="U47" i="14"/>
  <c r="X47" i="14"/>
  <c r="F40" i="14"/>
  <c r="J40" i="14"/>
  <c r="M40" i="14"/>
  <c r="Z67" i="14"/>
  <c r="Z53" i="14"/>
  <c r="AM67" i="14"/>
  <c r="AM53" i="14"/>
  <c r="D73" i="14"/>
  <c r="D59" i="14"/>
  <c r="K73" i="14"/>
  <c r="K59" i="14"/>
  <c r="W73" i="14"/>
  <c r="W59" i="14"/>
  <c r="AB73" i="14"/>
  <c r="AB59" i="14"/>
  <c r="AO73" i="14"/>
  <c r="AO59" i="14"/>
  <c r="N68" i="14"/>
  <c r="N54" i="14"/>
  <c r="Z68" i="14"/>
  <c r="Z54" i="14"/>
  <c r="AI68" i="14"/>
  <c r="AI54" i="14"/>
  <c r="AM68" i="14"/>
  <c r="AM54" i="14"/>
  <c r="E45" i="14"/>
  <c r="L45" i="14"/>
  <c r="L46" i="14"/>
  <c r="O74" i="14"/>
  <c r="O60" i="14"/>
  <c r="AA74" i="14"/>
  <c r="AA60" i="14"/>
  <c r="AJ74" i="14"/>
  <c r="AJ60" i="14"/>
  <c r="AN74" i="14"/>
  <c r="AN60" i="14"/>
  <c r="AT74" i="14"/>
  <c r="AT60" i="14"/>
  <c r="C72" i="14"/>
  <c r="C58" i="14"/>
  <c r="O72" i="14"/>
  <c r="O58" i="14"/>
  <c r="V72" i="14"/>
  <c r="V58" i="14"/>
  <c r="AA72" i="14"/>
  <c r="AA58" i="14"/>
  <c r="AJ58" i="14"/>
  <c r="AN72" i="14"/>
  <c r="AN58" i="14"/>
  <c r="AT72" i="14"/>
  <c r="AT58" i="14"/>
  <c r="N66" i="14"/>
  <c r="N52" i="14"/>
  <c r="Z66" i="14"/>
  <c r="Z52" i="14"/>
  <c r="AI66" i="14"/>
  <c r="AI52" i="14"/>
  <c r="AM66" i="14"/>
  <c r="AM52" i="14"/>
  <c r="AS66" i="14"/>
  <c r="E75" i="14"/>
  <c r="E61" i="14"/>
  <c r="L75" i="14"/>
  <c r="L61" i="14"/>
  <c r="Y75" i="14"/>
  <c r="Y61" i="14"/>
  <c r="AC61" i="14"/>
  <c r="AC75" i="14"/>
  <c r="AL75" i="14"/>
  <c r="C70" i="14"/>
  <c r="C56" i="14"/>
  <c r="J70" i="14"/>
  <c r="O70" i="14"/>
  <c r="O56" i="14"/>
  <c r="V70" i="14"/>
  <c r="V56" i="14"/>
  <c r="AA70" i="14"/>
  <c r="AA56" i="14"/>
  <c r="AJ56" i="14"/>
  <c r="AN70" i="14"/>
  <c r="AN56" i="14"/>
  <c r="AT70" i="14"/>
  <c r="AT56" i="14"/>
  <c r="N65" i="14"/>
  <c r="N51" i="14"/>
  <c r="Z65" i="14"/>
  <c r="Z51" i="14"/>
  <c r="AI65" i="14"/>
  <c r="AM65" i="14"/>
  <c r="K49" i="14"/>
  <c r="W49" i="14"/>
  <c r="AK49" i="14"/>
  <c r="C69" i="14"/>
  <c r="C55" i="14"/>
  <c r="O69" i="14"/>
  <c r="O55" i="14"/>
  <c r="V69" i="14"/>
  <c r="V55" i="14"/>
  <c r="AA69" i="14"/>
  <c r="AA55" i="14"/>
  <c r="AN69" i="14"/>
  <c r="AN55" i="14"/>
  <c r="AT69" i="14"/>
  <c r="AT55" i="14"/>
  <c r="N64" i="14"/>
  <c r="N50" i="14"/>
  <c r="Z64" i="14"/>
  <c r="Z50" i="14"/>
  <c r="AI50" i="14"/>
  <c r="AM50" i="14"/>
  <c r="D76" i="14"/>
  <c r="D62" i="14"/>
  <c r="K76" i="14"/>
  <c r="K62" i="14"/>
  <c r="P76" i="14"/>
  <c r="P62" i="14"/>
  <c r="W76" i="14"/>
  <c r="W62" i="14"/>
  <c r="AB76" i="14"/>
  <c r="AB62" i="14"/>
  <c r="AK62" i="14"/>
  <c r="AK76" i="14"/>
  <c r="AO76" i="14"/>
  <c r="AO62" i="14"/>
  <c r="F43" i="14"/>
  <c r="AP43" i="14"/>
  <c r="N71" i="14"/>
  <c r="N57" i="14"/>
  <c r="AI71" i="14"/>
  <c r="AI57" i="14"/>
  <c r="AM71" i="14"/>
  <c r="AM57" i="14"/>
  <c r="Q30" i="14"/>
  <c r="AN32" i="14"/>
  <c r="X36" i="14"/>
  <c r="X40" i="14"/>
  <c r="W46" i="14"/>
  <c r="E50" i="14"/>
  <c r="E48" i="14" s="1"/>
  <c r="C60" i="14"/>
  <c r="AS38" i="14"/>
  <c r="AU38" i="14"/>
  <c r="C67" i="14"/>
  <c r="C53" i="14"/>
  <c r="O67" i="14"/>
  <c r="Q67" i="14" s="1"/>
  <c r="O53" i="14"/>
  <c r="V67" i="14"/>
  <c r="V53" i="14"/>
  <c r="AA67" i="14"/>
  <c r="AA53" i="14"/>
  <c r="AJ67" i="14"/>
  <c r="AN67" i="14"/>
  <c r="AN53" i="14"/>
  <c r="AT67" i="14"/>
  <c r="AT53" i="14"/>
  <c r="AS47" i="14"/>
  <c r="AU47" i="14"/>
  <c r="E73" i="14"/>
  <c r="E59" i="14"/>
  <c r="L73" i="14"/>
  <c r="L59" i="14"/>
  <c r="Y73" i="14"/>
  <c r="Y59" i="14"/>
  <c r="AC73" i="14"/>
  <c r="AC59" i="14"/>
  <c r="AL73" i="14"/>
  <c r="AL59" i="14"/>
  <c r="AP7" i="14"/>
  <c r="C54" i="14"/>
  <c r="C68" i="14"/>
  <c r="O68" i="14"/>
  <c r="O54" i="14"/>
  <c r="V54" i="14"/>
  <c r="V68" i="14"/>
  <c r="AA68" i="14"/>
  <c r="AA54" i="14"/>
  <c r="AJ54" i="14"/>
  <c r="AN68" i="14"/>
  <c r="AN54" i="14"/>
  <c r="AT68" i="14"/>
  <c r="AT54" i="14"/>
  <c r="Q46" i="14"/>
  <c r="X45" i="14"/>
  <c r="U46" i="14"/>
  <c r="X46" i="14"/>
  <c r="Z45" i="14"/>
  <c r="AI45" i="14"/>
  <c r="AM45" i="14"/>
  <c r="AP11" i="14"/>
  <c r="D74" i="14"/>
  <c r="D60" i="14"/>
  <c r="K74" i="14"/>
  <c r="K60" i="14"/>
  <c r="P74" i="14"/>
  <c r="P60" i="14"/>
  <c r="W74" i="14"/>
  <c r="AB74" i="14"/>
  <c r="AB60" i="14"/>
  <c r="AK74" i="14"/>
  <c r="AK60" i="14"/>
  <c r="AO74" i="14"/>
  <c r="AO60" i="14"/>
  <c r="AP15" i="14"/>
  <c r="D72" i="14"/>
  <c r="D58" i="14"/>
  <c r="K72" i="14"/>
  <c r="K58" i="14"/>
  <c r="P72" i="14"/>
  <c r="P58" i="14"/>
  <c r="W72" i="14"/>
  <c r="W58" i="14"/>
  <c r="AB72" i="14"/>
  <c r="AB58" i="14"/>
  <c r="AK72" i="14"/>
  <c r="AO72" i="14"/>
  <c r="AO58" i="14"/>
  <c r="C66" i="14"/>
  <c r="C52" i="14"/>
  <c r="O66" i="14"/>
  <c r="O52" i="14"/>
  <c r="V66" i="14"/>
  <c r="V52" i="14"/>
  <c r="AN66" i="14"/>
  <c r="AN52" i="14"/>
  <c r="AT66" i="14"/>
  <c r="AT52" i="14"/>
  <c r="N75" i="14"/>
  <c r="N61" i="14"/>
  <c r="Z75" i="14"/>
  <c r="Z61" i="14"/>
  <c r="AI75" i="14"/>
  <c r="AI61" i="14"/>
  <c r="AM61" i="14"/>
  <c r="AP19" i="14"/>
  <c r="D70" i="14"/>
  <c r="D56" i="14"/>
  <c r="K70" i="14"/>
  <c r="K56" i="14"/>
  <c r="P70" i="14"/>
  <c r="P56" i="14"/>
  <c r="W70" i="14"/>
  <c r="W56" i="14"/>
  <c r="AB70" i="14"/>
  <c r="AB56" i="14"/>
  <c r="AK70" i="14"/>
  <c r="AK56" i="14"/>
  <c r="AO70" i="14"/>
  <c r="AO56" i="14"/>
  <c r="C65" i="14"/>
  <c r="C51" i="14"/>
  <c r="O65" i="14"/>
  <c r="O51" i="14"/>
  <c r="V65" i="14"/>
  <c r="V51" i="14"/>
  <c r="AA65" i="14"/>
  <c r="AA51" i="14"/>
  <c r="AJ51" i="14"/>
  <c r="AT65" i="14"/>
  <c r="AT51" i="14"/>
  <c r="U37" i="14"/>
  <c r="X37" i="14"/>
  <c r="AL49" i="14"/>
  <c r="AP23" i="14"/>
  <c r="K69" i="14"/>
  <c r="K55" i="14"/>
  <c r="P69" i="14"/>
  <c r="P55" i="14"/>
  <c r="AB69" i="14"/>
  <c r="AB55" i="14"/>
  <c r="AK69" i="14"/>
  <c r="AK55" i="14"/>
  <c r="AO69" i="14"/>
  <c r="AO55" i="14"/>
  <c r="C64" i="14"/>
  <c r="C50" i="14"/>
  <c r="O64" i="14"/>
  <c r="O50" i="14"/>
  <c r="V50" i="14"/>
  <c r="AA64" i="14"/>
  <c r="AA50" i="14"/>
  <c r="AA48" i="14" s="1"/>
  <c r="AJ50" i="14"/>
  <c r="AN64" i="14"/>
  <c r="AN50" i="14"/>
  <c r="AT50" i="14"/>
  <c r="AU36" i="14"/>
  <c r="AS36" i="14"/>
  <c r="E62" i="14"/>
  <c r="E76" i="14"/>
  <c r="L76" i="14"/>
  <c r="L62" i="14"/>
  <c r="Y76" i="14"/>
  <c r="Y62" i="14"/>
  <c r="AC76" i="14"/>
  <c r="AC62" i="14"/>
  <c r="AL76" i="14"/>
  <c r="AL62" i="14"/>
  <c r="AP27" i="14"/>
  <c r="C71" i="14"/>
  <c r="C57" i="14"/>
  <c r="O71" i="14"/>
  <c r="O57" i="14"/>
  <c r="V71" i="14"/>
  <c r="V57" i="14"/>
  <c r="AA71" i="14"/>
  <c r="AA57" i="14"/>
  <c r="AJ71" i="14"/>
  <c r="AJ57" i="14"/>
  <c r="AN71" i="14"/>
  <c r="AN57" i="14"/>
  <c r="AT71" i="14"/>
  <c r="AT57" i="14"/>
  <c r="U43" i="14"/>
  <c r="N45" i="14"/>
  <c r="AL45" i="14"/>
  <c r="K46" i="14"/>
  <c r="AN51" i="14"/>
  <c r="N53" i="14"/>
  <c r="AL54" i="14"/>
  <c r="Z57" i="14"/>
  <c r="V60" i="14"/>
  <c r="AT48" i="13"/>
  <c r="AT56" i="13"/>
  <c r="AU60" i="13"/>
  <c r="AU57" i="13"/>
  <c r="AU52" i="13"/>
  <c r="AU69" i="13"/>
  <c r="AU39" i="13"/>
  <c r="AU51" i="13"/>
  <c r="AU55" i="13"/>
  <c r="AU59" i="13"/>
  <c r="AS34" i="13"/>
  <c r="AS38" i="13"/>
  <c r="AS42" i="13"/>
  <c r="AU48" i="13"/>
  <c r="AS50" i="13"/>
  <c r="AS54" i="13"/>
  <c r="AS58" i="13"/>
  <c r="AS62" i="13"/>
  <c r="AT63" i="13"/>
  <c r="AS64" i="13"/>
  <c r="AS68" i="13"/>
  <c r="AS72" i="13"/>
  <c r="AS76" i="13"/>
  <c r="AU43" i="13"/>
  <c r="AS31" i="13"/>
  <c r="AT34" i="13"/>
  <c r="AS35" i="13"/>
  <c r="AS51" i="13"/>
  <c r="AU63" i="13"/>
  <c r="AS65" i="13"/>
  <c r="AS69" i="13"/>
  <c r="AS73" i="13"/>
  <c r="AK31" i="13"/>
  <c r="AI45" i="13"/>
  <c r="AK50" i="13"/>
  <c r="AM34" i="13"/>
  <c r="AL63" i="13"/>
  <c r="AJ38" i="13"/>
  <c r="AI71" i="13"/>
  <c r="AI65" i="13"/>
  <c r="AI67" i="13"/>
  <c r="L65" i="13"/>
  <c r="L47" i="13"/>
  <c r="X76" i="13"/>
  <c r="K47" i="13"/>
  <c r="W72" i="13"/>
  <c r="M63" i="13"/>
  <c r="K31" i="13"/>
  <c r="W55" i="13"/>
  <c r="V55" i="13"/>
  <c r="W59" i="13"/>
  <c r="V59" i="13"/>
  <c r="K55" i="13"/>
  <c r="V51" i="13"/>
  <c r="K46" i="13"/>
  <c r="M45" i="13"/>
  <c r="M46" i="13"/>
  <c r="L46" i="13"/>
  <c r="W41" i="13"/>
  <c r="V41" i="13"/>
  <c r="W33" i="13"/>
  <c r="V33" i="13"/>
  <c r="W34" i="13"/>
  <c r="V34" i="13"/>
  <c r="W37" i="13"/>
  <c r="V37" i="13"/>
  <c r="V36" i="13"/>
  <c r="X36" i="13"/>
  <c r="K37" i="13"/>
  <c r="K33" i="13"/>
  <c r="U51" i="13"/>
  <c r="AJ72" i="13"/>
  <c r="AJ63" i="13"/>
  <c r="U55" i="13"/>
  <c r="U41" i="13"/>
  <c r="X64" i="13"/>
  <c r="U64" i="13"/>
  <c r="X68" i="13"/>
  <c r="U68" i="13"/>
  <c r="AI48" i="13"/>
  <c r="AJ61" i="13"/>
  <c r="R56" i="13"/>
  <c r="U56" i="13" s="1"/>
  <c r="R69" i="13"/>
  <c r="U69" i="13" s="1"/>
  <c r="R54" i="13"/>
  <c r="U54" i="13" s="1"/>
  <c r="R57" i="13"/>
  <c r="U57" i="13" s="1"/>
  <c r="R60" i="13"/>
  <c r="U60" i="13" s="1"/>
  <c r="U33" i="13"/>
  <c r="U46" i="13"/>
  <c r="U59" i="13"/>
  <c r="R61" i="13"/>
  <c r="U61" i="13" s="1"/>
  <c r="U72" i="13"/>
  <c r="U45" i="13"/>
  <c r="U63" i="13"/>
  <c r="AJ31" i="13"/>
  <c r="AL32" i="13"/>
  <c r="AK45" i="13"/>
  <c r="AI46" i="13"/>
  <c r="AM46" i="13"/>
  <c r="AJ48" i="13"/>
  <c r="AL49" i="13"/>
  <c r="AI63" i="13"/>
  <c r="AM63" i="13"/>
  <c r="AK64" i="13"/>
  <c r="J47" i="13"/>
  <c r="J48" i="13"/>
  <c r="L67" i="13"/>
  <c r="L48" i="13"/>
  <c r="K63" i="13"/>
  <c r="M32" i="13"/>
  <c r="M36" i="13"/>
  <c r="M40" i="13"/>
  <c r="K48" i="13"/>
  <c r="M50" i="13"/>
  <c r="M58" i="13"/>
  <c r="M67" i="13"/>
  <c r="M71" i="13"/>
  <c r="M75" i="13"/>
  <c r="M31" i="13"/>
  <c r="M43" i="13"/>
  <c r="J45" i="13"/>
  <c r="M49" i="13"/>
  <c r="J63" i="13"/>
  <c r="M66" i="13"/>
  <c r="M70" i="13"/>
  <c r="M38" i="13"/>
  <c r="M47" i="13"/>
  <c r="M52" i="13"/>
  <c r="M44" i="13"/>
  <c r="M54" i="13"/>
  <c r="M62" i="13"/>
  <c r="M35" i="13"/>
  <c r="M39" i="13"/>
  <c r="M53" i="13"/>
  <c r="M57" i="13"/>
  <c r="M61" i="13"/>
  <c r="M74" i="13"/>
  <c r="M34" i="13"/>
  <c r="M42" i="13"/>
  <c r="M48" i="13"/>
  <c r="M56" i="13"/>
  <c r="M60" i="13"/>
  <c r="M65" i="13"/>
  <c r="M69" i="13"/>
  <c r="M73" i="13"/>
  <c r="N48" i="26" l="1"/>
  <c r="F59" i="26"/>
  <c r="AE56" i="26"/>
  <c r="D48" i="26"/>
  <c r="F71" i="26"/>
  <c r="F76" i="26"/>
  <c r="Q48" i="26"/>
  <c r="F31" i="26"/>
  <c r="P48" i="26"/>
  <c r="R48" i="26"/>
  <c r="F64" i="26"/>
  <c r="E48" i="26"/>
  <c r="F61" i="26"/>
  <c r="O48" i="26"/>
  <c r="N63" i="26"/>
  <c r="AE60" i="26"/>
  <c r="R63" i="26"/>
  <c r="AI48" i="26"/>
  <c r="AH71" i="26"/>
  <c r="AJ71" i="26"/>
  <c r="J56" i="26"/>
  <c r="M56" i="26"/>
  <c r="Z48" i="26"/>
  <c r="AJ74" i="26"/>
  <c r="AH74" i="26"/>
  <c r="X48" i="26"/>
  <c r="Y64" i="26"/>
  <c r="Y63" i="26"/>
  <c r="K63" i="26"/>
  <c r="K64" i="26"/>
  <c r="AH55" i="26"/>
  <c r="AJ55" i="26"/>
  <c r="AH75" i="26"/>
  <c r="AJ75" i="26"/>
  <c r="J57" i="26"/>
  <c r="M57" i="26"/>
  <c r="AH62" i="26"/>
  <c r="AJ62" i="26"/>
  <c r="J62" i="26"/>
  <c r="M62" i="26"/>
  <c r="AJ50" i="26"/>
  <c r="AH50" i="26"/>
  <c r="M50" i="26"/>
  <c r="J50" i="26"/>
  <c r="AJ65" i="26"/>
  <c r="J51" i="26"/>
  <c r="M51" i="26"/>
  <c r="AJ66" i="26"/>
  <c r="AH66" i="26"/>
  <c r="J66" i="26"/>
  <c r="M66" i="26"/>
  <c r="F68" i="26"/>
  <c r="F63" i="26" s="1"/>
  <c r="F73" i="26"/>
  <c r="E63" i="26"/>
  <c r="J70" i="26"/>
  <c r="M70" i="26"/>
  <c r="F75" i="26"/>
  <c r="AJ72" i="26"/>
  <c r="AH72" i="26"/>
  <c r="AE55" i="26"/>
  <c r="AE70" i="26"/>
  <c r="Z64" i="26"/>
  <c r="Z63" i="26"/>
  <c r="J75" i="26"/>
  <c r="M75" i="26"/>
  <c r="F58" i="26"/>
  <c r="C31" i="26"/>
  <c r="AH48" i="26"/>
  <c r="AI64" i="26"/>
  <c r="AI63" i="26"/>
  <c r="AB64" i="26"/>
  <c r="AB63" i="26"/>
  <c r="M48" i="26"/>
  <c r="AJ52" i="26"/>
  <c r="AH52" i="26"/>
  <c r="AJ58" i="26"/>
  <c r="AH58" i="26"/>
  <c r="AE58" i="26"/>
  <c r="AE57" i="26"/>
  <c r="AC48" i="26"/>
  <c r="AH69" i="26"/>
  <c r="AJ69" i="26"/>
  <c r="AJ56" i="26"/>
  <c r="AH56" i="26"/>
  <c r="F56" i="26"/>
  <c r="J58" i="26"/>
  <c r="M58" i="26"/>
  <c r="J60" i="26"/>
  <c r="M60" i="26"/>
  <c r="J71" i="26"/>
  <c r="M71" i="26"/>
  <c r="AJ76" i="26"/>
  <c r="AH76" i="26"/>
  <c r="J76" i="26"/>
  <c r="M76" i="26"/>
  <c r="AJ64" i="26"/>
  <c r="AH63" i="26"/>
  <c r="AH64" i="26"/>
  <c r="AJ63" i="26"/>
  <c r="X64" i="26"/>
  <c r="X63" i="26"/>
  <c r="J63" i="26"/>
  <c r="J64" i="26"/>
  <c r="M63" i="26"/>
  <c r="M64" i="26"/>
  <c r="J48" i="26"/>
  <c r="J65" i="26"/>
  <c r="M65" i="26"/>
  <c r="AJ54" i="26"/>
  <c r="AH54" i="26"/>
  <c r="J54" i="26"/>
  <c r="M54" i="26"/>
  <c r="AJ59" i="26"/>
  <c r="AH59" i="26"/>
  <c r="J59" i="26"/>
  <c r="M59" i="26"/>
  <c r="AH53" i="26"/>
  <c r="AJ53" i="26"/>
  <c r="F53" i="26"/>
  <c r="Q63" i="26"/>
  <c r="F60" i="26"/>
  <c r="F55" i="26"/>
  <c r="AE69" i="26"/>
  <c r="J55" i="26"/>
  <c r="M55" i="26"/>
  <c r="J61" i="26"/>
  <c r="M61" i="26"/>
  <c r="F72" i="26"/>
  <c r="AE31" i="26"/>
  <c r="K48" i="26"/>
  <c r="AJ61" i="26"/>
  <c r="AH61" i="26"/>
  <c r="O63" i="26"/>
  <c r="J52" i="26"/>
  <c r="M52" i="26"/>
  <c r="F54" i="26"/>
  <c r="AH51" i="26"/>
  <c r="AJ51" i="26"/>
  <c r="AA48" i="26"/>
  <c r="AE64" i="26"/>
  <c r="AC63" i="26"/>
  <c r="P63" i="26"/>
  <c r="D63" i="26"/>
  <c r="AE52" i="26"/>
  <c r="AE48" i="26" s="1"/>
  <c r="AJ70" i="26"/>
  <c r="AH70" i="26"/>
  <c r="F70" i="26"/>
  <c r="J72" i="26"/>
  <c r="M72" i="26"/>
  <c r="J74" i="26"/>
  <c r="M74" i="26"/>
  <c r="F52" i="26"/>
  <c r="AH57" i="26"/>
  <c r="AJ57" i="26"/>
  <c r="F57" i="26"/>
  <c r="F62" i="26"/>
  <c r="AB50" i="26"/>
  <c r="AB48" i="26"/>
  <c r="F50" i="26"/>
  <c r="F51" i="26"/>
  <c r="AJ68" i="26"/>
  <c r="AH68" i="26"/>
  <c r="J68" i="26"/>
  <c r="M68" i="26"/>
  <c r="AH73" i="26"/>
  <c r="AJ73" i="26"/>
  <c r="J73" i="26"/>
  <c r="M73" i="26"/>
  <c r="AH67" i="26"/>
  <c r="AJ67" i="26"/>
  <c r="F67" i="26"/>
  <c r="L48" i="26"/>
  <c r="F74" i="26"/>
  <c r="J53" i="26"/>
  <c r="M53" i="26"/>
  <c r="AA63" i="26"/>
  <c r="AE74" i="26"/>
  <c r="L64" i="26"/>
  <c r="L63" i="26"/>
  <c r="J69" i="26"/>
  <c r="M69" i="26"/>
  <c r="AH60" i="26"/>
  <c r="AJ60" i="26"/>
  <c r="Y48" i="26"/>
  <c r="AJ48" i="26"/>
  <c r="AE50" i="25"/>
  <c r="F54" i="25"/>
  <c r="F71" i="25"/>
  <c r="F76" i="25"/>
  <c r="N48" i="25"/>
  <c r="AE53" i="25"/>
  <c r="F56" i="25"/>
  <c r="AD63" i="25"/>
  <c r="Q48" i="25"/>
  <c r="AE76" i="25"/>
  <c r="D48" i="25"/>
  <c r="P48" i="25"/>
  <c r="AD48" i="25"/>
  <c r="AE58" i="25"/>
  <c r="Z64" i="25"/>
  <c r="Z63" i="25"/>
  <c r="M69" i="25"/>
  <c r="J69" i="25"/>
  <c r="AH70" i="25"/>
  <c r="AJ70" i="25"/>
  <c r="AI48" i="25"/>
  <c r="AB64" i="25"/>
  <c r="AB63" i="25"/>
  <c r="J70" i="25"/>
  <c r="M70" i="25"/>
  <c r="C45" i="25"/>
  <c r="F46" i="25"/>
  <c r="F45" i="25" s="1"/>
  <c r="AJ67" i="25"/>
  <c r="AH67" i="25"/>
  <c r="M67" i="25"/>
  <c r="J67" i="25"/>
  <c r="C31" i="25"/>
  <c r="X48" i="25"/>
  <c r="F55" i="25"/>
  <c r="AE57" i="25"/>
  <c r="AI63" i="25"/>
  <c r="AI64" i="25"/>
  <c r="Y64" i="25"/>
  <c r="Y63" i="25"/>
  <c r="K63" i="25"/>
  <c r="K64" i="25"/>
  <c r="AE51" i="25"/>
  <c r="AH57" i="25"/>
  <c r="AJ57" i="25"/>
  <c r="J57" i="25"/>
  <c r="M57" i="25"/>
  <c r="AH76" i="25"/>
  <c r="AJ76" i="25"/>
  <c r="J62" i="25"/>
  <c r="M62" i="25"/>
  <c r="AJ50" i="25"/>
  <c r="AH50" i="25"/>
  <c r="M50" i="25"/>
  <c r="AJ65" i="25"/>
  <c r="AH65" i="25"/>
  <c r="J65" i="25"/>
  <c r="M65" i="25"/>
  <c r="F68" i="25"/>
  <c r="R63" i="25"/>
  <c r="K48" i="25"/>
  <c r="J72" i="25"/>
  <c r="M72" i="25"/>
  <c r="AC31" i="25"/>
  <c r="AE56" i="25"/>
  <c r="F70" i="25"/>
  <c r="AE61" i="25"/>
  <c r="AH74" i="25"/>
  <c r="AJ74" i="25"/>
  <c r="F59" i="25"/>
  <c r="F53" i="25"/>
  <c r="F74" i="25"/>
  <c r="J61" i="25"/>
  <c r="M61" i="25"/>
  <c r="AE72" i="25"/>
  <c r="AE74" i="25"/>
  <c r="O63" i="25"/>
  <c r="AH51" i="25"/>
  <c r="AJ51" i="25"/>
  <c r="AE31" i="25"/>
  <c r="AJ48" i="25"/>
  <c r="AJ73" i="25"/>
  <c r="AH73" i="25"/>
  <c r="M73" i="25"/>
  <c r="J73" i="25"/>
  <c r="F72" i="25"/>
  <c r="AH55" i="25"/>
  <c r="AJ55" i="25"/>
  <c r="Q63" i="25"/>
  <c r="E63" i="25"/>
  <c r="AE71" i="25"/>
  <c r="AE62" i="25"/>
  <c r="AC48" i="25"/>
  <c r="AJ71" i="25"/>
  <c r="AH71" i="25"/>
  <c r="M71" i="25"/>
  <c r="J71" i="25"/>
  <c r="AJ62" i="25"/>
  <c r="AH62" i="25"/>
  <c r="J76" i="25"/>
  <c r="M76" i="25"/>
  <c r="AH64" i="25"/>
  <c r="AJ63" i="25"/>
  <c r="AJ64" i="25"/>
  <c r="AH63" i="25"/>
  <c r="X64" i="25"/>
  <c r="X63" i="25"/>
  <c r="F50" i="25"/>
  <c r="F51" i="25"/>
  <c r="AJ52" i="25"/>
  <c r="AH52" i="25"/>
  <c r="M52" i="25"/>
  <c r="J52" i="25"/>
  <c r="AJ54" i="25"/>
  <c r="AH54" i="25"/>
  <c r="M54" i="25"/>
  <c r="J54" i="25"/>
  <c r="Y48" i="25"/>
  <c r="J60" i="25"/>
  <c r="M60" i="25"/>
  <c r="AE55" i="25"/>
  <c r="AH48" i="25"/>
  <c r="AE75" i="25"/>
  <c r="F61" i="25"/>
  <c r="AJ58" i="25"/>
  <c r="AH58" i="25"/>
  <c r="AJ60" i="25"/>
  <c r="AH60" i="25"/>
  <c r="F73" i="25"/>
  <c r="F67" i="25"/>
  <c r="F31" i="25"/>
  <c r="M75" i="25"/>
  <c r="J75" i="25"/>
  <c r="L63" i="25"/>
  <c r="L64" i="25"/>
  <c r="Z48" i="25"/>
  <c r="J51" i="25"/>
  <c r="M51" i="25"/>
  <c r="M58" i="25"/>
  <c r="J58" i="25"/>
  <c r="AJ75" i="25"/>
  <c r="AH75" i="25"/>
  <c r="AE60" i="25"/>
  <c r="J55" i="25"/>
  <c r="M55" i="25"/>
  <c r="L48" i="25"/>
  <c r="AJ56" i="25"/>
  <c r="AH56" i="25"/>
  <c r="F66" i="25"/>
  <c r="C63" i="25"/>
  <c r="AC63" i="25"/>
  <c r="AE64" i="25"/>
  <c r="P63" i="25"/>
  <c r="D63" i="25"/>
  <c r="J64" i="25"/>
  <c r="M63" i="25"/>
  <c r="M64" i="25"/>
  <c r="J63" i="25"/>
  <c r="F57" i="25"/>
  <c r="F62" i="25"/>
  <c r="AB50" i="25"/>
  <c r="AB48" i="25"/>
  <c r="F64" i="25"/>
  <c r="M48" i="25"/>
  <c r="C48" i="25"/>
  <c r="F65" i="25"/>
  <c r="AH66" i="25"/>
  <c r="AJ66" i="25"/>
  <c r="J66" i="25"/>
  <c r="M66" i="25"/>
  <c r="AH68" i="25"/>
  <c r="AJ68" i="25"/>
  <c r="J68" i="25"/>
  <c r="M68" i="25"/>
  <c r="AA64" i="25"/>
  <c r="AA63" i="25"/>
  <c r="N63" i="25"/>
  <c r="M56" i="25"/>
  <c r="J56" i="25"/>
  <c r="J74" i="25"/>
  <c r="M74" i="25"/>
  <c r="AE69" i="25"/>
  <c r="F75" i="25"/>
  <c r="AH72" i="25"/>
  <c r="AJ72" i="25"/>
  <c r="AE46" i="25"/>
  <c r="AE45" i="25" s="1"/>
  <c r="AC45" i="25"/>
  <c r="AH59" i="25"/>
  <c r="AJ59" i="25"/>
  <c r="J59" i="25"/>
  <c r="M59" i="25"/>
  <c r="AH53" i="25"/>
  <c r="AJ53" i="25"/>
  <c r="J53" i="25"/>
  <c r="M53" i="25"/>
  <c r="AH61" i="25"/>
  <c r="AJ61" i="25"/>
  <c r="AA48" i="25"/>
  <c r="F58" i="25"/>
  <c r="O48" i="24"/>
  <c r="F59" i="24"/>
  <c r="Q48" i="24"/>
  <c r="F57" i="24"/>
  <c r="F55" i="24"/>
  <c r="F56" i="24"/>
  <c r="N48" i="24"/>
  <c r="R48" i="24"/>
  <c r="K48" i="24"/>
  <c r="M59" i="24"/>
  <c r="J59" i="24"/>
  <c r="AJ53" i="24"/>
  <c r="AH53" i="24"/>
  <c r="N63" i="24"/>
  <c r="AH50" i="24"/>
  <c r="AJ50" i="24"/>
  <c r="Z64" i="24"/>
  <c r="Z63" i="24"/>
  <c r="Z48" i="24"/>
  <c r="AE50" i="24"/>
  <c r="AC48" i="24"/>
  <c r="K64" i="24"/>
  <c r="K63" i="24"/>
  <c r="Y48" i="24"/>
  <c r="D48" i="24"/>
  <c r="AH73" i="24"/>
  <c r="AJ73" i="24"/>
  <c r="J73" i="24"/>
  <c r="M73" i="24"/>
  <c r="AH67" i="24"/>
  <c r="AJ67" i="24"/>
  <c r="AE61" i="24"/>
  <c r="AE72" i="24"/>
  <c r="AE45" i="24"/>
  <c r="D63" i="24"/>
  <c r="AJ57" i="24"/>
  <c r="AH57" i="24"/>
  <c r="F71" i="24"/>
  <c r="J76" i="24"/>
  <c r="M76" i="24"/>
  <c r="AH64" i="24"/>
  <c r="AJ63" i="24"/>
  <c r="AH63" i="24"/>
  <c r="AJ64" i="24"/>
  <c r="J63" i="24"/>
  <c r="J64" i="24"/>
  <c r="M63" i="24"/>
  <c r="M64" i="24"/>
  <c r="J48" i="24"/>
  <c r="M51" i="24"/>
  <c r="J51" i="24"/>
  <c r="J75" i="24"/>
  <c r="M75" i="24"/>
  <c r="L63" i="24"/>
  <c r="L64" i="24"/>
  <c r="AC31" i="24"/>
  <c r="F70" i="24"/>
  <c r="F58" i="24"/>
  <c r="F74" i="24"/>
  <c r="E63" i="24"/>
  <c r="M52" i="24"/>
  <c r="AD31" i="24"/>
  <c r="AJ55" i="24"/>
  <c r="AH55" i="24"/>
  <c r="E31" i="24"/>
  <c r="AE64" i="24"/>
  <c r="AC63" i="24"/>
  <c r="AH71" i="24"/>
  <c r="AJ71" i="24"/>
  <c r="J53" i="24"/>
  <c r="M53" i="24"/>
  <c r="F75" i="24"/>
  <c r="AC45" i="24"/>
  <c r="J72" i="24"/>
  <c r="M72" i="24"/>
  <c r="P48" i="24"/>
  <c r="J54" i="24"/>
  <c r="M54" i="24"/>
  <c r="F53" i="24"/>
  <c r="AA64" i="24"/>
  <c r="AA63" i="24"/>
  <c r="AE69" i="24"/>
  <c r="AJ48" i="24"/>
  <c r="J57" i="24"/>
  <c r="M57" i="24"/>
  <c r="AJ62" i="24"/>
  <c r="AH62" i="24"/>
  <c r="F62" i="24"/>
  <c r="AH48" i="24"/>
  <c r="X48" i="24"/>
  <c r="C48" i="24"/>
  <c r="M65" i="24"/>
  <c r="J65" i="24"/>
  <c r="F52" i="24"/>
  <c r="AH54" i="24"/>
  <c r="AJ54" i="24"/>
  <c r="R63" i="24"/>
  <c r="C31" i="24"/>
  <c r="E48" i="24"/>
  <c r="F49" i="24"/>
  <c r="J60" i="24"/>
  <c r="M60" i="24"/>
  <c r="M74" i="24"/>
  <c r="AH69" i="24"/>
  <c r="AJ69" i="24"/>
  <c r="AH61" i="24"/>
  <c r="AJ61" i="24"/>
  <c r="AH58" i="24"/>
  <c r="AJ58" i="24"/>
  <c r="AH60" i="24"/>
  <c r="AJ60" i="24"/>
  <c r="AJ59" i="24"/>
  <c r="AH59" i="24"/>
  <c r="AH66" i="24"/>
  <c r="AJ66" i="24"/>
  <c r="M62" i="24"/>
  <c r="J62" i="24"/>
  <c r="J50" i="24"/>
  <c r="M50" i="24"/>
  <c r="AB48" i="24"/>
  <c r="AJ65" i="24"/>
  <c r="AH65" i="24"/>
  <c r="Y63" i="24"/>
  <c r="AE31" i="24"/>
  <c r="F60" i="24"/>
  <c r="J69" i="24"/>
  <c r="M69" i="24"/>
  <c r="M70" i="24"/>
  <c r="J70" i="24"/>
  <c r="AJ70" i="24"/>
  <c r="AH70" i="24"/>
  <c r="AI64" i="24"/>
  <c r="AI63" i="24"/>
  <c r="P63" i="24"/>
  <c r="AI48" i="24"/>
  <c r="J68" i="24"/>
  <c r="M68" i="24"/>
  <c r="F73" i="24"/>
  <c r="F67" i="24"/>
  <c r="AE56" i="24"/>
  <c r="J71" i="24"/>
  <c r="M71" i="24"/>
  <c r="AJ76" i="24"/>
  <c r="AH76" i="24"/>
  <c r="F76" i="24"/>
  <c r="AB64" i="24"/>
  <c r="AB63" i="24"/>
  <c r="O63" i="24"/>
  <c r="AJ51" i="24"/>
  <c r="AH51" i="24"/>
  <c r="C63" i="24"/>
  <c r="F66" i="24"/>
  <c r="AJ68" i="24"/>
  <c r="AH68" i="24"/>
  <c r="J67" i="24"/>
  <c r="M67" i="24"/>
  <c r="AD63" i="24"/>
  <c r="Q63" i="24"/>
  <c r="AD48" i="24"/>
  <c r="L48" i="24"/>
  <c r="F31" i="24"/>
  <c r="AA48" i="24"/>
  <c r="F69" i="24"/>
  <c r="F61" i="24"/>
  <c r="F72" i="24"/>
  <c r="C45" i="24"/>
  <c r="F46" i="24"/>
  <c r="F45" i="24" s="1"/>
  <c r="M55" i="24"/>
  <c r="J55" i="24"/>
  <c r="J56" i="24"/>
  <c r="M56" i="24"/>
  <c r="M61" i="24"/>
  <c r="J58" i="24"/>
  <c r="M58" i="24"/>
  <c r="AH56" i="24"/>
  <c r="AJ56" i="24"/>
  <c r="AH75" i="24"/>
  <c r="AJ75" i="24"/>
  <c r="AJ72" i="24"/>
  <c r="AH72" i="24"/>
  <c r="AJ74" i="24"/>
  <c r="AH74" i="24"/>
  <c r="F76" i="8"/>
  <c r="D48" i="12"/>
  <c r="F59" i="12"/>
  <c r="F58" i="12"/>
  <c r="AE74" i="12"/>
  <c r="F60" i="12"/>
  <c r="N48" i="12"/>
  <c r="F57" i="12"/>
  <c r="O48" i="12"/>
  <c r="F67" i="12"/>
  <c r="AE58" i="12"/>
  <c r="AE60" i="12"/>
  <c r="AD48" i="12"/>
  <c r="Q48" i="12"/>
  <c r="E48" i="12"/>
  <c r="F55" i="12"/>
  <c r="AC31" i="12"/>
  <c r="F71" i="12"/>
  <c r="F76" i="12"/>
  <c r="F69" i="12"/>
  <c r="R48" i="12"/>
  <c r="P48" i="12"/>
  <c r="AE53" i="12"/>
  <c r="AE69" i="12"/>
  <c r="F65" i="12"/>
  <c r="AE75" i="12"/>
  <c r="AE62" i="12"/>
  <c r="F65" i="10"/>
  <c r="F59" i="10"/>
  <c r="F67" i="10"/>
  <c r="C48" i="10"/>
  <c r="N48" i="10"/>
  <c r="P48" i="10"/>
  <c r="F62" i="10"/>
  <c r="O48" i="10"/>
  <c r="F68" i="10"/>
  <c r="F73" i="10"/>
  <c r="AD48" i="10"/>
  <c r="Q48" i="10"/>
  <c r="E48" i="10"/>
  <c r="AH48" i="10"/>
  <c r="J48" i="10"/>
  <c r="F51" i="10"/>
  <c r="R48" i="10"/>
  <c r="AC48" i="10"/>
  <c r="D48" i="10"/>
  <c r="F45" i="10"/>
  <c r="AB64" i="12"/>
  <c r="AB63" i="12"/>
  <c r="O63" i="12"/>
  <c r="AH66" i="12"/>
  <c r="AJ66" i="12"/>
  <c r="J66" i="12"/>
  <c r="M66" i="12"/>
  <c r="AJ54" i="12"/>
  <c r="AH54" i="12"/>
  <c r="M54" i="12"/>
  <c r="J54" i="12"/>
  <c r="AH59" i="12"/>
  <c r="AJ59" i="12"/>
  <c r="J59" i="12"/>
  <c r="M59" i="12"/>
  <c r="AH53" i="12"/>
  <c r="AJ53" i="12"/>
  <c r="J53" i="12"/>
  <c r="M53" i="12"/>
  <c r="AJ56" i="12"/>
  <c r="AH56" i="12"/>
  <c r="M56" i="12"/>
  <c r="J56" i="12"/>
  <c r="AH61" i="12"/>
  <c r="AJ61" i="12"/>
  <c r="J61" i="12"/>
  <c r="M61" i="12"/>
  <c r="AE54" i="12"/>
  <c r="F31" i="12"/>
  <c r="AH57" i="12"/>
  <c r="AJ57" i="12"/>
  <c r="J57" i="12"/>
  <c r="M57" i="12"/>
  <c r="AJ62" i="12"/>
  <c r="AH62" i="12"/>
  <c r="J62" i="12"/>
  <c r="M62" i="12"/>
  <c r="AJ50" i="12"/>
  <c r="AH50" i="12"/>
  <c r="M50" i="12"/>
  <c r="J50" i="12"/>
  <c r="AJ48" i="12"/>
  <c r="X48" i="12"/>
  <c r="M48" i="12"/>
  <c r="C48" i="12"/>
  <c r="F52" i="12"/>
  <c r="AJ68" i="12"/>
  <c r="AH68" i="12"/>
  <c r="J68" i="12"/>
  <c r="M68" i="12"/>
  <c r="AH73" i="12"/>
  <c r="AJ73" i="12"/>
  <c r="J73" i="12"/>
  <c r="M73" i="12"/>
  <c r="AH67" i="12"/>
  <c r="AJ67" i="12"/>
  <c r="J67" i="12"/>
  <c r="M67" i="12"/>
  <c r="AE72" i="12"/>
  <c r="AD63" i="12"/>
  <c r="Q63" i="12"/>
  <c r="E63" i="12"/>
  <c r="AJ70" i="12"/>
  <c r="AH70" i="12"/>
  <c r="J70" i="12"/>
  <c r="M70" i="12"/>
  <c r="AH75" i="12"/>
  <c r="AJ75" i="12"/>
  <c r="J75" i="12"/>
  <c r="M75" i="12"/>
  <c r="F72" i="12"/>
  <c r="F74" i="12"/>
  <c r="AE76" i="12"/>
  <c r="AI63" i="12"/>
  <c r="AI64" i="12"/>
  <c r="Y64" i="12"/>
  <c r="Y63" i="12"/>
  <c r="K63" i="12"/>
  <c r="K64" i="12"/>
  <c r="AC48" i="12"/>
  <c r="AE51" i="12"/>
  <c r="AE68" i="12"/>
  <c r="AE67" i="12"/>
  <c r="AE31" i="12"/>
  <c r="AH71" i="12"/>
  <c r="AJ71" i="12"/>
  <c r="J71" i="12"/>
  <c r="M71" i="12"/>
  <c r="AJ76" i="12"/>
  <c r="AH76" i="12"/>
  <c r="J76" i="12"/>
  <c r="M76" i="12"/>
  <c r="AH64" i="12"/>
  <c r="AJ63" i="12"/>
  <c r="AJ64" i="12"/>
  <c r="AH63" i="12"/>
  <c r="X64" i="12"/>
  <c r="X63" i="12"/>
  <c r="J64" i="12"/>
  <c r="M63" i="12"/>
  <c r="M64" i="12"/>
  <c r="J63" i="12"/>
  <c r="AH51" i="12"/>
  <c r="AJ51" i="12"/>
  <c r="J51" i="12"/>
  <c r="M51" i="12"/>
  <c r="F66" i="12"/>
  <c r="C63" i="12"/>
  <c r="F54" i="12"/>
  <c r="F53" i="12"/>
  <c r="AA48" i="12"/>
  <c r="AE56" i="12"/>
  <c r="AH55" i="12"/>
  <c r="AJ55" i="12"/>
  <c r="J55" i="12"/>
  <c r="M55" i="12"/>
  <c r="F56" i="12"/>
  <c r="F61" i="12"/>
  <c r="AJ58" i="12"/>
  <c r="AH58" i="12"/>
  <c r="J58" i="12"/>
  <c r="M58" i="12"/>
  <c r="AJ60" i="12"/>
  <c r="AH60" i="12"/>
  <c r="J60" i="12"/>
  <c r="M60" i="12"/>
  <c r="F45" i="12"/>
  <c r="AE57" i="12"/>
  <c r="AE50" i="12"/>
  <c r="K48" i="12"/>
  <c r="AE65" i="12"/>
  <c r="AE52" i="12"/>
  <c r="AE59" i="12"/>
  <c r="N63" i="12"/>
  <c r="F62" i="12"/>
  <c r="F50" i="12"/>
  <c r="AH48" i="12"/>
  <c r="AB48" i="12"/>
  <c r="J48" i="12"/>
  <c r="AJ65" i="12"/>
  <c r="AH65" i="12"/>
  <c r="J65" i="12"/>
  <c r="M65" i="12"/>
  <c r="AJ52" i="12"/>
  <c r="AH52" i="12"/>
  <c r="M52" i="12"/>
  <c r="J52" i="12"/>
  <c r="F73" i="12"/>
  <c r="AA64" i="12"/>
  <c r="AA63" i="12"/>
  <c r="AE70" i="12"/>
  <c r="Z64" i="12"/>
  <c r="Z63" i="12"/>
  <c r="L63" i="12"/>
  <c r="L64" i="12"/>
  <c r="AH69" i="12"/>
  <c r="AJ69" i="12"/>
  <c r="J69" i="12"/>
  <c r="M69" i="12"/>
  <c r="Z48" i="12"/>
  <c r="L48" i="12"/>
  <c r="F70" i="12"/>
  <c r="F75" i="12"/>
  <c r="AJ72" i="12"/>
  <c r="AH72" i="12"/>
  <c r="J72" i="12"/>
  <c r="M72" i="12"/>
  <c r="AJ74" i="12"/>
  <c r="AH74" i="12"/>
  <c r="J74" i="12"/>
  <c r="M74" i="12"/>
  <c r="R63" i="12"/>
  <c r="AE61" i="12"/>
  <c r="AE71" i="12"/>
  <c r="AC63" i="12"/>
  <c r="AE64" i="12"/>
  <c r="P63" i="12"/>
  <c r="D63" i="12"/>
  <c r="AI48" i="12"/>
  <c r="Y48" i="12"/>
  <c r="AE66" i="12"/>
  <c r="AE73" i="12"/>
  <c r="AE55" i="12"/>
  <c r="AH71" i="10"/>
  <c r="AJ71" i="10"/>
  <c r="J71" i="10"/>
  <c r="M71" i="10"/>
  <c r="AJ76" i="10"/>
  <c r="AH76" i="10"/>
  <c r="J76" i="10"/>
  <c r="M76" i="10"/>
  <c r="AJ64" i="10"/>
  <c r="AH63" i="10"/>
  <c r="AH64" i="10"/>
  <c r="AJ63" i="10"/>
  <c r="X64" i="10"/>
  <c r="X63" i="10"/>
  <c r="M64" i="10"/>
  <c r="J63" i="10"/>
  <c r="J64" i="10"/>
  <c r="M63" i="10"/>
  <c r="M48" i="10"/>
  <c r="AH51" i="10"/>
  <c r="AJ51" i="10"/>
  <c r="J51" i="10"/>
  <c r="M51" i="10"/>
  <c r="AJ52" i="10"/>
  <c r="AH52" i="10"/>
  <c r="J52" i="10"/>
  <c r="M52" i="10"/>
  <c r="R63" i="10"/>
  <c r="AE70" i="10"/>
  <c r="AE75" i="10"/>
  <c r="AJ55" i="10"/>
  <c r="AH55" i="10"/>
  <c r="M55" i="10"/>
  <c r="J55" i="10"/>
  <c r="F56" i="10"/>
  <c r="F61" i="10"/>
  <c r="AH58" i="10"/>
  <c r="AJ58" i="10"/>
  <c r="J58" i="10"/>
  <c r="M58" i="10"/>
  <c r="F74" i="10"/>
  <c r="AE76" i="10"/>
  <c r="AI63" i="10"/>
  <c r="AI64" i="10"/>
  <c r="Y64" i="10"/>
  <c r="Y63" i="10"/>
  <c r="K63" i="10"/>
  <c r="K64" i="10"/>
  <c r="AE65" i="10"/>
  <c r="AE52" i="10"/>
  <c r="AE54" i="10"/>
  <c r="AE67" i="10"/>
  <c r="AE31" i="10"/>
  <c r="AB48" i="10"/>
  <c r="AH65" i="10"/>
  <c r="AJ65" i="10"/>
  <c r="J65" i="10"/>
  <c r="M65" i="10"/>
  <c r="AJ66" i="10"/>
  <c r="AH66" i="10"/>
  <c r="M66" i="10"/>
  <c r="J66" i="10"/>
  <c r="AH54" i="10"/>
  <c r="AJ54" i="10"/>
  <c r="M54" i="10"/>
  <c r="J54" i="10"/>
  <c r="AJ59" i="10"/>
  <c r="AH59" i="10"/>
  <c r="M59" i="10"/>
  <c r="J59" i="10"/>
  <c r="AH53" i="10"/>
  <c r="AJ53" i="10"/>
  <c r="J53" i="10"/>
  <c r="M53" i="10"/>
  <c r="AE55" i="10"/>
  <c r="AE58" i="10"/>
  <c r="AE60" i="10"/>
  <c r="Z64" i="10"/>
  <c r="Z63" i="10"/>
  <c r="L63" i="10"/>
  <c r="L64" i="10"/>
  <c r="AH69" i="10"/>
  <c r="AJ69" i="10"/>
  <c r="J69" i="10"/>
  <c r="M69" i="10"/>
  <c r="Z48" i="10"/>
  <c r="L48" i="10"/>
  <c r="F70" i="10"/>
  <c r="F75" i="10"/>
  <c r="AJ72" i="10"/>
  <c r="AH72" i="10"/>
  <c r="J72" i="10"/>
  <c r="M72" i="10"/>
  <c r="AH60" i="10"/>
  <c r="AJ60" i="10"/>
  <c r="J60" i="10"/>
  <c r="M60" i="10"/>
  <c r="AE57" i="10"/>
  <c r="AE50" i="10"/>
  <c r="Y48" i="10"/>
  <c r="K48" i="10"/>
  <c r="AE66" i="10"/>
  <c r="AE59" i="10"/>
  <c r="AB64" i="10"/>
  <c r="AB63" i="10"/>
  <c r="O63" i="10"/>
  <c r="AJ68" i="10"/>
  <c r="AH68" i="10"/>
  <c r="J68" i="10"/>
  <c r="M68" i="10"/>
  <c r="AH73" i="10"/>
  <c r="AJ73" i="10"/>
  <c r="J73" i="10"/>
  <c r="M73" i="10"/>
  <c r="AH67" i="10"/>
  <c r="AJ67" i="10"/>
  <c r="J67" i="10"/>
  <c r="M67" i="10"/>
  <c r="AA64" i="10"/>
  <c r="AA63" i="10"/>
  <c r="N63" i="10"/>
  <c r="AE69" i="10"/>
  <c r="AE72" i="10"/>
  <c r="AE74" i="10"/>
  <c r="F55" i="10"/>
  <c r="AH56" i="10"/>
  <c r="AJ56" i="10"/>
  <c r="J56" i="10"/>
  <c r="M56" i="10"/>
  <c r="AJ61" i="10"/>
  <c r="AH61" i="10"/>
  <c r="M61" i="10"/>
  <c r="J61" i="10"/>
  <c r="F58" i="10"/>
  <c r="AJ74" i="10"/>
  <c r="AH74" i="10"/>
  <c r="J74" i="10"/>
  <c r="M74" i="10"/>
  <c r="AE71" i="10"/>
  <c r="AC63" i="10"/>
  <c r="AE64" i="10"/>
  <c r="P63" i="10"/>
  <c r="AI48" i="10"/>
  <c r="AE73" i="10"/>
  <c r="F31" i="10"/>
  <c r="AJ57" i="10"/>
  <c r="AH57" i="10"/>
  <c r="M57" i="10"/>
  <c r="J57" i="10"/>
  <c r="AH62" i="10"/>
  <c r="AJ62" i="10"/>
  <c r="J62" i="10"/>
  <c r="M62" i="10"/>
  <c r="AJ50" i="10"/>
  <c r="AH50" i="10"/>
  <c r="J50" i="10"/>
  <c r="M50" i="10"/>
  <c r="AJ48" i="10"/>
  <c r="X48" i="10"/>
  <c r="C63" i="10"/>
  <c r="F66" i="10"/>
  <c r="AA48" i="10"/>
  <c r="AE56" i="10"/>
  <c r="AE61" i="10"/>
  <c r="AD63" i="10"/>
  <c r="Q63" i="10"/>
  <c r="E63" i="10"/>
  <c r="F69" i="10"/>
  <c r="AJ70" i="10"/>
  <c r="AH70" i="10"/>
  <c r="J70" i="10"/>
  <c r="M70" i="10"/>
  <c r="AH75" i="10"/>
  <c r="AJ75" i="10"/>
  <c r="J75" i="10"/>
  <c r="M75" i="10"/>
  <c r="F72" i="10"/>
  <c r="F60" i="10"/>
  <c r="F48" i="10" s="1"/>
  <c r="AE62" i="10"/>
  <c r="AE51" i="10"/>
  <c r="AE68" i="10"/>
  <c r="AE53" i="10"/>
  <c r="M52" i="8"/>
  <c r="J52" i="8"/>
  <c r="M54" i="8"/>
  <c r="J54" i="8"/>
  <c r="M62" i="8"/>
  <c r="J62" i="8"/>
  <c r="L63" i="8"/>
  <c r="L64" i="8"/>
  <c r="J73" i="8"/>
  <c r="M73" i="8"/>
  <c r="J57" i="8"/>
  <c r="M57" i="8"/>
  <c r="M50" i="8"/>
  <c r="J50" i="8"/>
  <c r="M51" i="8"/>
  <c r="J51" i="8"/>
  <c r="M66" i="8"/>
  <c r="J66" i="8"/>
  <c r="M68" i="8"/>
  <c r="J68" i="8"/>
  <c r="J53" i="8"/>
  <c r="M53" i="8"/>
  <c r="M55" i="8"/>
  <c r="J55" i="8"/>
  <c r="M72" i="8"/>
  <c r="J72" i="8"/>
  <c r="M74" i="8"/>
  <c r="J74" i="8"/>
  <c r="K48" i="8"/>
  <c r="J48" i="8"/>
  <c r="M59" i="8"/>
  <c r="J59" i="8"/>
  <c r="M76" i="8"/>
  <c r="J76" i="8"/>
  <c r="J61" i="8"/>
  <c r="M61" i="8"/>
  <c r="M71" i="8"/>
  <c r="J71" i="8"/>
  <c r="M63" i="8"/>
  <c r="M64" i="8"/>
  <c r="J63" i="8"/>
  <c r="J64" i="8"/>
  <c r="J65" i="8"/>
  <c r="M65" i="8"/>
  <c r="M67" i="8"/>
  <c r="J67" i="8"/>
  <c r="J69" i="8"/>
  <c r="M69" i="8"/>
  <c r="M56" i="8"/>
  <c r="J56" i="8"/>
  <c r="M48" i="8"/>
  <c r="J58" i="8"/>
  <c r="M58" i="8"/>
  <c r="M60" i="8"/>
  <c r="J60" i="8"/>
  <c r="K63" i="8"/>
  <c r="K64" i="8"/>
  <c r="M75" i="8"/>
  <c r="J75" i="8"/>
  <c r="M70" i="8"/>
  <c r="J70" i="8"/>
  <c r="L48" i="8"/>
  <c r="AC48" i="8"/>
  <c r="C48" i="8"/>
  <c r="N48" i="8"/>
  <c r="E48" i="8"/>
  <c r="O48" i="8"/>
  <c r="P48" i="8"/>
  <c r="F62" i="8"/>
  <c r="E63" i="8"/>
  <c r="AE73" i="8"/>
  <c r="R48" i="8"/>
  <c r="Q48" i="8"/>
  <c r="AE72" i="8"/>
  <c r="F72" i="8"/>
  <c r="AE74" i="8"/>
  <c r="AD48" i="8"/>
  <c r="D48" i="8"/>
  <c r="AE71" i="8"/>
  <c r="F71" i="8"/>
  <c r="AE67" i="8"/>
  <c r="F67" i="8"/>
  <c r="AE69" i="8"/>
  <c r="F69" i="8"/>
  <c r="Z63" i="8"/>
  <c r="Z64" i="8"/>
  <c r="AH73" i="8"/>
  <c r="AJ73" i="8"/>
  <c r="AE64" i="8"/>
  <c r="AC63" i="8"/>
  <c r="F64" i="8"/>
  <c r="AB63" i="8"/>
  <c r="AB64" i="8"/>
  <c r="R63" i="8"/>
  <c r="AJ55" i="8"/>
  <c r="AH55" i="8"/>
  <c r="AH58" i="8"/>
  <c r="AJ58" i="8"/>
  <c r="AJ76" i="8"/>
  <c r="AH76" i="8"/>
  <c r="AE61" i="8"/>
  <c r="F61" i="8"/>
  <c r="AA48" i="8"/>
  <c r="AJ75" i="8"/>
  <c r="AH75" i="8"/>
  <c r="AH57" i="8"/>
  <c r="AJ57" i="8"/>
  <c r="AJ50" i="8"/>
  <c r="AH50" i="8"/>
  <c r="AE56" i="8"/>
  <c r="F56" i="8"/>
  <c r="AH52" i="8"/>
  <c r="AJ52" i="8"/>
  <c r="AJ68" i="8"/>
  <c r="AH68" i="8"/>
  <c r="F59" i="8"/>
  <c r="O63" i="8"/>
  <c r="AJ65" i="8"/>
  <c r="AH65" i="8"/>
  <c r="F74" i="8"/>
  <c r="AH54" i="8"/>
  <c r="AJ54" i="8"/>
  <c r="AH69" i="8"/>
  <c r="AJ69" i="8"/>
  <c r="AI48" i="8"/>
  <c r="Y48" i="8"/>
  <c r="AJ56" i="8"/>
  <c r="AH56" i="8"/>
  <c r="AJ72" i="8"/>
  <c r="AH72" i="8"/>
  <c r="AD63" i="8"/>
  <c r="Q63" i="8"/>
  <c r="D63" i="8"/>
  <c r="AH48" i="8"/>
  <c r="X48" i="8"/>
  <c r="AE75" i="8"/>
  <c r="F75" i="8"/>
  <c r="AE45" i="8"/>
  <c r="F45" i="8"/>
  <c r="AI64" i="8"/>
  <c r="AI63" i="8"/>
  <c r="Y64" i="8"/>
  <c r="Y63" i="8"/>
  <c r="AE51" i="8"/>
  <c r="F51" i="8"/>
  <c r="AE52" i="8"/>
  <c r="F52" i="8"/>
  <c r="AE54" i="8"/>
  <c r="F54" i="8"/>
  <c r="AE32" i="8"/>
  <c r="AE31" i="8" s="1"/>
  <c r="AC31" i="8"/>
  <c r="AJ71" i="8"/>
  <c r="AH71" i="8"/>
  <c r="AH63" i="8"/>
  <c r="AJ64" i="8"/>
  <c r="AJ63" i="8"/>
  <c r="AH64" i="8"/>
  <c r="X63" i="8"/>
  <c r="X64" i="8"/>
  <c r="AE70" i="8"/>
  <c r="F70" i="8"/>
  <c r="AH66" i="8"/>
  <c r="AJ66" i="8"/>
  <c r="AJ53" i="8"/>
  <c r="AH53" i="8"/>
  <c r="F73" i="8"/>
  <c r="F31" i="8"/>
  <c r="AH74" i="8"/>
  <c r="AJ74" i="8"/>
  <c r="AH62" i="8"/>
  <c r="AJ62" i="8"/>
  <c r="AB48" i="8"/>
  <c r="P63" i="8"/>
  <c r="AH61" i="8"/>
  <c r="AJ61" i="8"/>
  <c r="AA63" i="8"/>
  <c r="AA64" i="8"/>
  <c r="N63" i="8"/>
  <c r="AH70" i="8"/>
  <c r="AJ70" i="8"/>
  <c r="AJ60" i="8"/>
  <c r="AH60" i="8"/>
  <c r="AJ59" i="8"/>
  <c r="AH59" i="8"/>
  <c r="AE57" i="8"/>
  <c r="F57" i="8"/>
  <c r="AE50" i="8"/>
  <c r="F50" i="8"/>
  <c r="AE65" i="8"/>
  <c r="F65" i="8"/>
  <c r="AE66" i="8"/>
  <c r="F66" i="8"/>
  <c r="C63" i="8"/>
  <c r="AE68" i="8"/>
  <c r="F68" i="8"/>
  <c r="AE53" i="8"/>
  <c r="F53" i="8"/>
  <c r="AE55" i="8"/>
  <c r="F55" i="8"/>
  <c r="Z48" i="8"/>
  <c r="AH51" i="8"/>
  <c r="AJ51" i="8"/>
  <c r="AE58" i="8"/>
  <c r="F58" i="8"/>
  <c r="AE60" i="8"/>
  <c r="F60" i="8"/>
  <c r="AH67" i="8"/>
  <c r="AJ67" i="8"/>
  <c r="C31" i="8"/>
  <c r="AO48" i="27"/>
  <c r="P48" i="27"/>
  <c r="F58" i="27"/>
  <c r="Y48" i="27"/>
  <c r="AA48" i="27"/>
  <c r="Q52" i="27"/>
  <c r="F72" i="27"/>
  <c r="Z48" i="27"/>
  <c r="AP58" i="27"/>
  <c r="O48" i="27"/>
  <c r="Q68" i="27"/>
  <c r="AC48" i="27"/>
  <c r="AU71" i="27"/>
  <c r="AS71" i="27"/>
  <c r="X71" i="27"/>
  <c r="U71" i="27"/>
  <c r="J69" i="27"/>
  <c r="M69" i="27"/>
  <c r="AK48" i="27"/>
  <c r="W48" i="27"/>
  <c r="M70" i="27"/>
  <c r="J70" i="27"/>
  <c r="AS66" i="27"/>
  <c r="AU66" i="27"/>
  <c r="U66" i="27"/>
  <c r="X66" i="27"/>
  <c r="J58" i="27"/>
  <c r="M58" i="27"/>
  <c r="AU68" i="27"/>
  <c r="AS68" i="27"/>
  <c r="X68" i="27"/>
  <c r="U68" i="27"/>
  <c r="AS53" i="27"/>
  <c r="AU53" i="27"/>
  <c r="U53" i="27"/>
  <c r="X53" i="27"/>
  <c r="AP62" i="27"/>
  <c r="F62" i="27"/>
  <c r="AL64" i="27"/>
  <c r="AL63" i="27"/>
  <c r="Y63" i="27"/>
  <c r="E63" i="27"/>
  <c r="Q69" i="27"/>
  <c r="AN48" i="27"/>
  <c r="C48" i="27"/>
  <c r="AS56" i="27"/>
  <c r="AU56" i="27"/>
  <c r="U56" i="27"/>
  <c r="X56" i="27"/>
  <c r="Q72" i="27"/>
  <c r="Q60" i="27"/>
  <c r="AP73" i="27"/>
  <c r="F73" i="27"/>
  <c r="Q76" i="27"/>
  <c r="AK64" i="27"/>
  <c r="AK63" i="27"/>
  <c r="W64" i="27"/>
  <c r="W63" i="27"/>
  <c r="K64" i="27"/>
  <c r="K63" i="27"/>
  <c r="AI48" i="27"/>
  <c r="J61" i="27"/>
  <c r="M61" i="27"/>
  <c r="AS59" i="27"/>
  <c r="AU59" i="27"/>
  <c r="U59" i="27"/>
  <c r="X59" i="27"/>
  <c r="J57" i="27"/>
  <c r="M57" i="27"/>
  <c r="AT64" i="27"/>
  <c r="AT63" i="27"/>
  <c r="AJ64" i="27"/>
  <c r="AJ63" i="27"/>
  <c r="V64" i="27"/>
  <c r="V63" i="27"/>
  <c r="J64" i="27"/>
  <c r="M63" i="27"/>
  <c r="M64" i="27"/>
  <c r="J63" i="27"/>
  <c r="L48" i="27"/>
  <c r="J65" i="27"/>
  <c r="M65" i="27"/>
  <c r="AU75" i="27"/>
  <c r="AS75" i="27"/>
  <c r="X75" i="27"/>
  <c r="U75" i="27"/>
  <c r="J66" i="27"/>
  <c r="M66" i="27"/>
  <c r="AP54" i="27"/>
  <c r="F54" i="27"/>
  <c r="AP53" i="27"/>
  <c r="F53" i="27"/>
  <c r="Q31" i="27"/>
  <c r="Q36" i="27"/>
  <c r="AM64" i="27"/>
  <c r="AM63" i="27"/>
  <c r="Z63" i="27"/>
  <c r="J72" i="27"/>
  <c r="M72" i="27"/>
  <c r="AS67" i="27"/>
  <c r="AU67" i="27"/>
  <c r="U67" i="27"/>
  <c r="X67" i="27"/>
  <c r="AP76" i="27"/>
  <c r="F76" i="27"/>
  <c r="AS55" i="27"/>
  <c r="AU55" i="27"/>
  <c r="U55" i="27"/>
  <c r="X55" i="27"/>
  <c r="V48" i="27"/>
  <c r="AS70" i="27"/>
  <c r="AU70" i="27"/>
  <c r="U70" i="27"/>
  <c r="X70" i="27"/>
  <c r="AU58" i="27"/>
  <c r="AS58" i="27"/>
  <c r="U58" i="27"/>
  <c r="X58" i="27"/>
  <c r="Q74" i="27"/>
  <c r="J59" i="27"/>
  <c r="M59" i="27"/>
  <c r="AU62" i="27"/>
  <c r="AS62" i="27"/>
  <c r="U62" i="27"/>
  <c r="X62" i="27"/>
  <c r="M75" i="27"/>
  <c r="J75" i="27"/>
  <c r="AS73" i="27"/>
  <c r="AU73" i="27"/>
  <c r="U73" i="27"/>
  <c r="X73" i="27"/>
  <c r="M71" i="27"/>
  <c r="J71" i="27"/>
  <c r="AP50" i="27"/>
  <c r="F50" i="27"/>
  <c r="AP51" i="27"/>
  <c r="F51" i="27"/>
  <c r="Q61" i="27"/>
  <c r="AP52" i="27"/>
  <c r="F52" i="27"/>
  <c r="AP68" i="27"/>
  <c r="F68" i="27"/>
  <c r="AP67" i="27"/>
  <c r="F67" i="27"/>
  <c r="AN31" i="27"/>
  <c r="N31" i="27"/>
  <c r="AU50" i="27"/>
  <c r="AS50" i="27"/>
  <c r="X50" i="27"/>
  <c r="U50" i="27"/>
  <c r="AU51" i="27"/>
  <c r="AS51" i="27"/>
  <c r="U51" i="27"/>
  <c r="X51" i="27"/>
  <c r="Q66" i="27"/>
  <c r="N63" i="27"/>
  <c r="M60" i="27"/>
  <c r="J60" i="27"/>
  <c r="J62" i="27"/>
  <c r="M62" i="27"/>
  <c r="AC63" i="27"/>
  <c r="L64" i="27"/>
  <c r="L63" i="27"/>
  <c r="AS69" i="27"/>
  <c r="AU69" i="27"/>
  <c r="U69" i="27"/>
  <c r="X69" i="27"/>
  <c r="AT48" i="27"/>
  <c r="AJ48" i="27"/>
  <c r="Q56" i="27"/>
  <c r="AU72" i="27"/>
  <c r="AS72" i="27"/>
  <c r="X72" i="27"/>
  <c r="U72" i="27"/>
  <c r="AS60" i="27"/>
  <c r="AU60" i="27"/>
  <c r="U60" i="27"/>
  <c r="X60" i="27"/>
  <c r="J73" i="27"/>
  <c r="M73" i="27"/>
  <c r="AU76" i="27"/>
  <c r="AS76" i="27"/>
  <c r="X76" i="27"/>
  <c r="U76" i="27"/>
  <c r="AO63" i="27"/>
  <c r="AB63" i="27"/>
  <c r="P63" i="27"/>
  <c r="D63" i="27"/>
  <c r="AM48" i="27"/>
  <c r="X48" i="27"/>
  <c r="N48" i="27"/>
  <c r="AP61" i="27"/>
  <c r="F61" i="27"/>
  <c r="Q59" i="27"/>
  <c r="AP57" i="27"/>
  <c r="F57" i="27"/>
  <c r="AP64" i="27"/>
  <c r="AN63" i="27"/>
  <c r="AA63" i="27"/>
  <c r="O63" i="27"/>
  <c r="F64" i="27"/>
  <c r="AP65" i="27"/>
  <c r="F65" i="27"/>
  <c r="Q75" i="27"/>
  <c r="AP66" i="27"/>
  <c r="F66" i="27"/>
  <c r="C63" i="27"/>
  <c r="J54" i="27"/>
  <c r="M54" i="27"/>
  <c r="M53" i="27"/>
  <c r="J53" i="27"/>
  <c r="AP31" i="27"/>
  <c r="F31" i="27"/>
  <c r="AU57" i="27"/>
  <c r="AS57" i="27"/>
  <c r="X57" i="27"/>
  <c r="U57" i="27"/>
  <c r="AU64" i="27"/>
  <c r="AS64" i="27"/>
  <c r="AU63" i="27"/>
  <c r="AS63" i="27"/>
  <c r="AI64" i="27"/>
  <c r="AI63" i="27"/>
  <c r="X64" i="27"/>
  <c r="U64" i="27"/>
  <c r="X63" i="27"/>
  <c r="U63" i="27"/>
  <c r="J55" i="27"/>
  <c r="M55" i="27"/>
  <c r="K48" i="27"/>
  <c r="AU65" i="27"/>
  <c r="AS65" i="27"/>
  <c r="U65" i="27"/>
  <c r="X65" i="27"/>
  <c r="M56" i="27"/>
  <c r="J56" i="27"/>
  <c r="AS52" i="27"/>
  <c r="AU52" i="27"/>
  <c r="U52" i="27"/>
  <c r="X52" i="27"/>
  <c r="M74" i="27"/>
  <c r="J74" i="27"/>
  <c r="AU54" i="27"/>
  <c r="AS54" i="27"/>
  <c r="X54" i="27"/>
  <c r="U54" i="27"/>
  <c r="J76" i="27"/>
  <c r="M76" i="27"/>
  <c r="Q55" i="27"/>
  <c r="Q48" i="27" s="1"/>
  <c r="M48" i="27"/>
  <c r="Q70" i="27"/>
  <c r="Q58" i="27"/>
  <c r="AS74" i="27"/>
  <c r="AU74" i="27"/>
  <c r="U74" i="27"/>
  <c r="X74" i="27"/>
  <c r="AP59" i="27"/>
  <c r="AP48" i="27" s="1"/>
  <c r="F59" i="27"/>
  <c r="F48" i="27" s="1"/>
  <c r="Q62" i="27"/>
  <c r="AS48" i="27"/>
  <c r="U48" i="27"/>
  <c r="AP75" i="27"/>
  <c r="F75" i="27"/>
  <c r="Q73" i="27"/>
  <c r="AP71" i="27"/>
  <c r="F71" i="27"/>
  <c r="J50" i="27"/>
  <c r="M50" i="27"/>
  <c r="AL48" i="27"/>
  <c r="J51" i="27"/>
  <c r="M51" i="27"/>
  <c r="AU61" i="27"/>
  <c r="AS61" i="27"/>
  <c r="X61" i="27"/>
  <c r="U61" i="27"/>
  <c r="J52" i="27"/>
  <c r="M52" i="27"/>
  <c r="J68" i="27"/>
  <c r="M68" i="27"/>
  <c r="M67" i="27"/>
  <c r="J67" i="27"/>
  <c r="Y48" i="14"/>
  <c r="Y63" i="14"/>
  <c r="AB63" i="14"/>
  <c r="AA63" i="14"/>
  <c r="AC63" i="14"/>
  <c r="Z48" i="14"/>
  <c r="Z63" i="14"/>
  <c r="C31" i="14"/>
  <c r="AP66" i="14"/>
  <c r="AP68" i="14"/>
  <c r="F53" i="14"/>
  <c r="Q75" i="14"/>
  <c r="F41" i="14"/>
  <c r="O31" i="14"/>
  <c r="AP54" i="14"/>
  <c r="AS48" i="14"/>
  <c r="F65" i="14"/>
  <c r="F74" i="14"/>
  <c r="AP53" i="14"/>
  <c r="Q76" i="14"/>
  <c r="AP71" i="14"/>
  <c r="AP52" i="14"/>
  <c r="F69" i="14"/>
  <c r="AO48" i="14"/>
  <c r="F75" i="14"/>
  <c r="D48" i="14"/>
  <c r="F54" i="14"/>
  <c r="F70" i="14"/>
  <c r="AP75" i="14"/>
  <c r="O45" i="14"/>
  <c r="AP57" i="14"/>
  <c r="F57" i="14"/>
  <c r="F55" i="14"/>
  <c r="AP70" i="14"/>
  <c r="O48" i="14"/>
  <c r="F50" i="14"/>
  <c r="AP59" i="14"/>
  <c r="F59" i="14"/>
  <c r="U48" i="14"/>
  <c r="AM48" i="14"/>
  <c r="W48" i="14"/>
  <c r="J50" i="14"/>
  <c r="M50" i="14"/>
  <c r="AL48" i="14"/>
  <c r="AI63" i="14"/>
  <c r="AI64" i="14"/>
  <c r="Q65" i="14"/>
  <c r="U55" i="14"/>
  <c r="X55" i="14"/>
  <c r="V48" i="14"/>
  <c r="U70" i="14"/>
  <c r="X70" i="14"/>
  <c r="Q59" i="14"/>
  <c r="Q53" i="14"/>
  <c r="AT64" i="14"/>
  <c r="AT63" i="14"/>
  <c r="AJ64" i="14"/>
  <c r="AJ63" i="14"/>
  <c r="V63" i="14"/>
  <c r="V64" i="14"/>
  <c r="J63" i="14"/>
  <c r="J64" i="14"/>
  <c r="M63" i="14"/>
  <c r="M64" i="14"/>
  <c r="Q37" i="14"/>
  <c r="J51" i="14"/>
  <c r="M51" i="14"/>
  <c r="AU75" i="14"/>
  <c r="AS75" i="14"/>
  <c r="X75" i="14"/>
  <c r="U75" i="14"/>
  <c r="J66" i="14"/>
  <c r="M66" i="14"/>
  <c r="J54" i="14"/>
  <c r="M54" i="14"/>
  <c r="AP67" i="14"/>
  <c r="F67" i="14"/>
  <c r="F60" i="14"/>
  <c r="AS57" i="14"/>
  <c r="AU57" i="14"/>
  <c r="Q57" i="14"/>
  <c r="Q50" i="14"/>
  <c r="AP55" i="14"/>
  <c r="AU51" i="14"/>
  <c r="AS51" i="14"/>
  <c r="U51" i="14"/>
  <c r="X51" i="14"/>
  <c r="Q52" i="14"/>
  <c r="AP58" i="14"/>
  <c r="F58" i="14"/>
  <c r="AP60" i="14"/>
  <c r="J60" i="14"/>
  <c r="M60" i="14"/>
  <c r="Q54" i="14"/>
  <c r="AS53" i="14"/>
  <c r="AU53" i="14"/>
  <c r="AP62" i="14"/>
  <c r="F62" i="14"/>
  <c r="AU55" i="14"/>
  <c r="AS55" i="14"/>
  <c r="U69" i="14"/>
  <c r="X69" i="14"/>
  <c r="AT48" i="14"/>
  <c r="AJ48" i="14"/>
  <c r="Q56" i="14"/>
  <c r="AU72" i="14"/>
  <c r="AS72" i="14"/>
  <c r="X72" i="14"/>
  <c r="U72" i="14"/>
  <c r="AS74" i="14"/>
  <c r="AU74" i="14"/>
  <c r="U74" i="14"/>
  <c r="X74" i="14"/>
  <c r="AP73" i="14"/>
  <c r="F73" i="14"/>
  <c r="F46" i="14"/>
  <c r="F45" i="14" s="1"/>
  <c r="C45" i="14"/>
  <c r="X48" i="14"/>
  <c r="AU76" i="14"/>
  <c r="AS76" i="14"/>
  <c r="AO63" i="14"/>
  <c r="J75" i="14"/>
  <c r="M75" i="14"/>
  <c r="K63" i="14"/>
  <c r="K64" i="14"/>
  <c r="AP46" i="14"/>
  <c r="AP45" i="14" s="1"/>
  <c r="AN45" i="14"/>
  <c r="Q73" i="14"/>
  <c r="F33" i="14"/>
  <c r="M72" i="14"/>
  <c r="J72" i="14"/>
  <c r="AS68" i="14"/>
  <c r="AU68" i="14"/>
  <c r="M76" i="14"/>
  <c r="J76" i="14"/>
  <c r="AU69" i="14"/>
  <c r="AS69" i="14"/>
  <c r="AU58" i="14"/>
  <c r="AS58" i="14"/>
  <c r="X58" i="14"/>
  <c r="U58" i="14"/>
  <c r="AS60" i="14"/>
  <c r="AU60" i="14"/>
  <c r="AS62" i="14"/>
  <c r="AU62" i="14"/>
  <c r="AI48" i="14"/>
  <c r="AP51" i="14"/>
  <c r="F71" i="14"/>
  <c r="AP50" i="14"/>
  <c r="J65" i="14"/>
  <c r="M65" i="14"/>
  <c r="Q61" i="14"/>
  <c r="F52" i="14"/>
  <c r="J68" i="14"/>
  <c r="M68" i="14"/>
  <c r="M53" i="14"/>
  <c r="J53" i="14"/>
  <c r="AS52" i="14"/>
  <c r="AU52" i="14"/>
  <c r="AU71" i="14"/>
  <c r="AS71" i="14"/>
  <c r="Q71" i="14"/>
  <c r="AM63" i="14"/>
  <c r="AM64" i="14"/>
  <c r="Q64" i="14"/>
  <c r="AP69" i="14"/>
  <c r="K48" i="14"/>
  <c r="AU65" i="14"/>
  <c r="AS65" i="14"/>
  <c r="U65" i="14"/>
  <c r="X65" i="14"/>
  <c r="M70" i="14"/>
  <c r="Q66" i="14"/>
  <c r="N63" i="14"/>
  <c r="AP72" i="14"/>
  <c r="F72" i="14"/>
  <c r="AP74" i="14"/>
  <c r="M74" i="14"/>
  <c r="J74" i="14"/>
  <c r="Q68" i="14"/>
  <c r="AU67" i="14"/>
  <c r="AS67" i="14"/>
  <c r="AP76" i="14"/>
  <c r="F76" i="14"/>
  <c r="L64" i="14"/>
  <c r="L63" i="14"/>
  <c r="Q55" i="14"/>
  <c r="M48" i="14"/>
  <c r="Q70" i="14"/>
  <c r="Q58" i="14"/>
  <c r="Q60" i="14"/>
  <c r="J59" i="14"/>
  <c r="M59" i="14"/>
  <c r="AU59" i="14"/>
  <c r="AS59" i="14"/>
  <c r="Q32" i="14"/>
  <c r="Q31" i="14" s="1"/>
  <c r="N31" i="14"/>
  <c r="M61" i="14"/>
  <c r="J61" i="14"/>
  <c r="F31" i="14"/>
  <c r="AK63" i="14"/>
  <c r="AK64" i="14"/>
  <c r="U59" i="14"/>
  <c r="X59" i="14"/>
  <c r="J71" i="14"/>
  <c r="M71" i="14"/>
  <c r="AS61" i="14"/>
  <c r="AU61" i="14"/>
  <c r="U61" i="14"/>
  <c r="X61" i="14"/>
  <c r="J52" i="14"/>
  <c r="M52" i="14"/>
  <c r="Q45" i="14"/>
  <c r="X71" i="14"/>
  <c r="U71" i="14"/>
  <c r="AS63" i="14"/>
  <c r="AU64" i="14"/>
  <c r="AU63" i="14"/>
  <c r="AS64" i="14"/>
  <c r="X64" i="14"/>
  <c r="U63" i="14"/>
  <c r="X63" i="14"/>
  <c r="U64" i="14"/>
  <c r="M69" i="14"/>
  <c r="J69" i="14"/>
  <c r="AK48" i="14"/>
  <c r="U66" i="14"/>
  <c r="X66" i="14"/>
  <c r="U68" i="14"/>
  <c r="X68" i="14"/>
  <c r="U67" i="14"/>
  <c r="X67" i="14"/>
  <c r="AL63" i="14"/>
  <c r="AL64" i="14"/>
  <c r="AS70" i="14"/>
  <c r="AU70" i="14"/>
  <c r="U60" i="14"/>
  <c r="X60" i="14"/>
  <c r="X76" i="14"/>
  <c r="U76" i="14"/>
  <c r="D63" i="14"/>
  <c r="J56" i="14"/>
  <c r="M56" i="14"/>
  <c r="M57" i="14"/>
  <c r="J57" i="14"/>
  <c r="AP64" i="14"/>
  <c r="AN63" i="14"/>
  <c r="O63" i="14"/>
  <c r="F64" i="14"/>
  <c r="F51" i="14"/>
  <c r="F66" i="14"/>
  <c r="C63" i="14"/>
  <c r="F68" i="14"/>
  <c r="M67" i="14"/>
  <c r="J67" i="14"/>
  <c r="AN31" i="14"/>
  <c r="AP32" i="14"/>
  <c r="AP31" i="14" s="1"/>
  <c r="U57" i="14"/>
  <c r="X57" i="14"/>
  <c r="AU50" i="14"/>
  <c r="AS50" i="14"/>
  <c r="X50" i="14"/>
  <c r="U50" i="14"/>
  <c r="J55" i="14"/>
  <c r="M55" i="14"/>
  <c r="Q51" i="14"/>
  <c r="AP56" i="14"/>
  <c r="F56" i="14"/>
  <c r="AU66" i="14"/>
  <c r="U52" i="14"/>
  <c r="X52" i="14"/>
  <c r="J58" i="14"/>
  <c r="M58" i="14"/>
  <c r="AU54" i="14"/>
  <c r="AS54" i="14"/>
  <c r="X54" i="14"/>
  <c r="U54" i="14"/>
  <c r="U53" i="14"/>
  <c r="X53" i="14"/>
  <c r="L48" i="14"/>
  <c r="M62" i="14"/>
  <c r="J62" i="14"/>
  <c r="Q69" i="14"/>
  <c r="AN48" i="14"/>
  <c r="J48" i="14"/>
  <c r="C48" i="14"/>
  <c r="AS56" i="14"/>
  <c r="AU56" i="14"/>
  <c r="U56" i="14"/>
  <c r="X56" i="14"/>
  <c r="Q72" i="14"/>
  <c r="Q74" i="14"/>
  <c r="J73" i="14"/>
  <c r="M73" i="14"/>
  <c r="U62" i="14"/>
  <c r="X62" i="14"/>
  <c r="AU48" i="14"/>
  <c r="AP61" i="14"/>
  <c r="AU73" i="14"/>
  <c r="AS73" i="14"/>
  <c r="Q62" i="14"/>
  <c r="W64" i="14"/>
  <c r="W63" i="14"/>
  <c r="Q49" i="14"/>
  <c r="Q48" i="14" s="1"/>
  <c r="N48" i="14"/>
  <c r="F61" i="14"/>
  <c r="U73" i="14"/>
  <c r="X73" i="14"/>
  <c r="W75" i="13"/>
  <c r="W73" i="13"/>
  <c r="W74" i="13"/>
  <c r="W70" i="13"/>
  <c r="W71" i="13"/>
  <c r="W69" i="13"/>
  <c r="W66" i="13"/>
  <c r="W67" i="13"/>
  <c r="W36" i="13"/>
  <c r="X72" i="13"/>
  <c r="X55" i="13"/>
  <c r="X34" i="13"/>
  <c r="X41" i="13"/>
  <c r="W54" i="13"/>
  <c r="W56" i="13"/>
  <c r="V56" i="13"/>
  <c r="W60" i="13"/>
  <c r="V60" i="13"/>
  <c r="W61" i="13"/>
  <c r="W52" i="13"/>
  <c r="X59" i="13"/>
  <c r="W53" i="13"/>
  <c r="W50" i="13"/>
  <c r="W57" i="13"/>
  <c r="W62" i="13"/>
  <c r="W58" i="13"/>
  <c r="X51" i="13"/>
  <c r="W47" i="13"/>
  <c r="W44" i="13"/>
  <c r="W35" i="13"/>
  <c r="V43" i="13"/>
  <c r="W40" i="13"/>
  <c r="X37" i="13"/>
  <c r="W42" i="13"/>
  <c r="X33" i="13"/>
  <c r="W39" i="13"/>
  <c r="W38" i="13"/>
  <c r="W32" i="13"/>
  <c r="U48" i="13"/>
  <c r="X56" i="13"/>
  <c r="F48" i="26" l="1"/>
  <c r="AE63" i="26"/>
  <c r="F48" i="25"/>
  <c r="AE48" i="25"/>
  <c r="F63" i="25"/>
  <c r="AE63" i="25"/>
  <c r="F63" i="24"/>
  <c r="AE48" i="24"/>
  <c r="AE63" i="24"/>
  <c r="F48" i="24"/>
  <c r="F48" i="12"/>
  <c r="AE48" i="12"/>
  <c r="F63" i="12"/>
  <c r="F63" i="10"/>
  <c r="AE48" i="10"/>
  <c r="AE63" i="12"/>
  <c r="AE63" i="10"/>
  <c r="F48" i="8"/>
  <c r="AE48" i="8"/>
  <c r="AE63" i="8"/>
  <c r="F63" i="8"/>
  <c r="Q63" i="27"/>
  <c r="F63" i="27"/>
  <c r="AP63" i="27"/>
  <c r="Q63" i="14"/>
  <c r="F48" i="14"/>
  <c r="F63" i="14"/>
  <c r="AP48" i="14"/>
  <c r="AP63" i="14"/>
  <c r="V63" i="13"/>
  <c r="X63" i="13"/>
  <c r="X65" i="13"/>
  <c r="V65" i="13"/>
  <c r="V67" i="13"/>
  <c r="X67" i="13"/>
  <c r="V69" i="13"/>
  <c r="X69" i="13"/>
  <c r="V73" i="13"/>
  <c r="X73" i="13"/>
  <c r="W65" i="13"/>
  <c r="W63" i="13"/>
  <c r="V70" i="13"/>
  <c r="X70" i="13"/>
  <c r="V71" i="13"/>
  <c r="X71" i="13"/>
  <c r="V75" i="13"/>
  <c r="X75" i="13"/>
  <c r="V66" i="13"/>
  <c r="X66" i="13"/>
  <c r="V74" i="13"/>
  <c r="X74" i="13"/>
  <c r="V62" i="13"/>
  <c r="X62" i="13"/>
  <c r="V50" i="13"/>
  <c r="X50" i="13"/>
  <c r="V49" i="13"/>
  <c r="X49" i="13"/>
  <c r="V48" i="13"/>
  <c r="X48" i="13"/>
  <c r="V57" i="13"/>
  <c r="X57" i="13"/>
  <c r="V53" i="13"/>
  <c r="X53" i="13"/>
  <c r="V52" i="13"/>
  <c r="X52" i="13"/>
  <c r="W48" i="13"/>
  <c r="W49" i="13"/>
  <c r="X60" i="13"/>
  <c r="V58" i="13"/>
  <c r="X58" i="13"/>
  <c r="V61" i="13"/>
  <c r="X61" i="13"/>
  <c r="V54" i="13"/>
  <c r="X54" i="13"/>
  <c r="V46" i="13"/>
  <c r="X45" i="13"/>
  <c r="X46" i="13"/>
  <c r="V45" i="13"/>
  <c r="W46" i="13"/>
  <c r="W45" i="13"/>
  <c r="V47" i="13"/>
  <c r="X47" i="13"/>
  <c r="V42" i="13"/>
  <c r="X42" i="13"/>
  <c r="V35" i="13"/>
  <c r="X35" i="13"/>
  <c r="V31" i="13"/>
  <c r="V39" i="13"/>
  <c r="X39" i="13"/>
  <c r="X44" i="13"/>
  <c r="V44" i="13"/>
  <c r="V38" i="13"/>
  <c r="X38" i="13"/>
  <c r="V40" i="13"/>
  <c r="X40" i="13"/>
  <c r="X32" i="13"/>
  <c r="V32" i="13"/>
  <c r="W43" i="13"/>
  <c r="W31" i="13"/>
  <c r="X31" i="13"/>
  <c r="X43" i="13"/>
  <c r="W12" i="3" l="1"/>
  <c r="W11" i="3"/>
  <c r="W10" i="3"/>
  <c r="T10" i="3"/>
  <c r="T11" i="3" s="1"/>
  <c r="T7" i="3" s="1"/>
  <c r="W9" i="3"/>
  <c r="W4" i="3" s="1"/>
  <c r="T9" i="3"/>
  <c r="T8" i="3" s="1"/>
  <c r="W2" i="3" s="1"/>
  <c r="W8" i="3"/>
  <c r="W7" i="3"/>
  <c r="Q7" i="3"/>
  <c r="W6" i="3"/>
  <c r="T6" i="3"/>
  <c r="N6" i="3"/>
  <c r="W5" i="3"/>
  <c r="T5" i="3"/>
  <c r="T4" i="3"/>
  <c r="W3" i="3"/>
  <c r="T3" i="3"/>
  <c r="N3" i="3"/>
  <c r="K3" i="3"/>
  <c r="H3" i="3"/>
  <c r="E3" i="3"/>
  <c r="Q2" i="3"/>
  <c r="T2" i="3" l="1"/>
  <c r="N3" i="30" l="1"/>
  <c r="K3" i="30"/>
  <c r="H3" i="30"/>
  <c r="E3" i="30"/>
  <c r="C2" i="7"/>
  <c r="W12" i="30"/>
  <c r="W8" i="30" s="1"/>
  <c r="W11" i="30"/>
  <c r="W10" i="30"/>
  <c r="T10" i="30"/>
  <c r="T11" i="30" s="1"/>
  <c r="T7" i="30" s="1"/>
  <c r="W9" i="30"/>
  <c r="T9" i="30"/>
  <c r="T8" i="30" s="1"/>
  <c r="W7" i="30"/>
  <c r="Q7" i="30"/>
  <c r="Q2" i="30" s="1"/>
  <c r="W6" i="30"/>
  <c r="T6" i="30"/>
  <c r="N6" i="30"/>
  <c r="W5" i="30"/>
  <c r="T4" i="30"/>
  <c r="W3" i="30"/>
  <c r="T3" i="30"/>
  <c r="T5" i="30" l="1"/>
  <c r="W4" i="30"/>
  <c r="W2" i="30" s="1"/>
  <c r="T2" i="30"/>
  <c r="AA9" i="1" l="1"/>
  <c r="AD30" i="6" l="1"/>
  <c r="AC30" i="6"/>
  <c r="AB30" i="6"/>
  <c r="AA30" i="6"/>
  <c r="Z30" i="6"/>
  <c r="AD29" i="6"/>
  <c r="AC29" i="6"/>
  <c r="AB29" i="6"/>
  <c r="AA29" i="6"/>
  <c r="Z29" i="6"/>
  <c r="AD28" i="6"/>
  <c r="AC28" i="6"/>
  <c r="AB28" i="6"/>
  <c r="AA28" i="6"/>
  <c r="Z28" i="6"/>
  <c r="AD27" i="6"/>
  <c r="AC27" i="6"/>
  <c r="AB27" i="6"/>
  <c r="AA27" i="6"/>
  <c r="Z27" i="6"/>
  <c r="AD26" i="6"/>
  <c r="AC26" i="6"/>
  <c r="AB26" i="6"/>
  <c r="AA26" i="6"/>
  <c r="Z26" i="6"/>
  <c r="AD25" i="6"/>
  <c r="AC25" i="6"/>
  <c r="AB25" i="6"/>
  <c r="AA25" i="6"/>
  <c r="Z25" i="6"/>
  <c r="AD24" i="6"/>
  <c r="AC24" i="6"/>
  <c r="AB24" i="6"/>
  <c r="AA24" i="6"/>
  <c r="Z24" i="6"/>
  <c r="AD23" i="6"/>
  <c r="AC23" i="6"/>
  <c r="AB23" i="6"/>
  <c r="AA23" i="6"/>
  <c r="Z23" i="6"/>
  <c r="AD22" i="6"/>
  <c r="AC22" i="6"/>
  <c r="AB22" i="6"/>
  <c r="AA22" i="6"/>
  <c r="Z22" i="6"/>
  <c r="AD21" i="6"/>
  <c r="AC21" i="6"/>
  <c r="AB21" i="6"/>
  <c r="AA21" i="6"/>
  <c r="Z21" i="6"/>
  <c r="AD20" i="6"/>
  <c r="AC20" i="6"/>
  <c r="AB20" i="6"/>
  <c r="AA20" i="6"/>
  <c r="Z20" i="6"/>
  <c r="AD19" i="6"/>
  <c r="AC19" i="6"/>
  <c r="AB19" i="6"/>
  <c r="AA19" i="6"/>
  <c r="Z19" i="6"/>
  <c r="AD18" i="6"/>
  <c r="AC18" i="6"/>
  <c r="AB18" i="6"/>
  <c r="AA18" i="6"/>
  <c r="Z18" i="6"/>
  <c r="AD17" i="6"/>
  <c r="AC17" i="6"/>
  <c r="AB17" i="6"/>
  <c r="AA17" i="6"/>
  <c r="Z17" i="6"/>
  <c r="AD16" i="6"/>
  <c r="AC16" i="6"/>
  <c r="AB16" i="6"/>
  <c r="AA16" i="6"/>
  <c r="Z16" i="6"/>
  <c r="AD15" i="6"/>
  <c r="AC15" i="6"/>
  <c r="AB15" i="6"/>
  <c r="AA15" i="6"/>
  <c r="Z15" i="6"/>
  <c r="AD14" i="6"/>
  <c r="AC14" i="6"/>
  <c r="AB14" i="6"/>
  <c r="AA14" i="6"/>
  <c r="Z14" i="6"/>
  <c r="AD13" i="6"/>
  <c r="AC13" i="6"/>
  <c r="AB13" i="6"/>
  <c r="AA13" i="6"/>
  <c r="Z13" i="6"/>
  <c r="AD12" i="6"/>
  <c r="AC12" i="6"/>
  <c r="AB12" i="6"/>
  <c r="AA12" i="6"/>
  <c r="Z12" i="6"/>
  <c r="AD11" i="6"/>
  <c r="AC11" i="6"/>
  <c r="AB11" i="6"/>
  <c r="AA11" i="6"/>
  <c r="Z11" i="6"/>
  <c r="AD10" i="6"/>
  <c r="AC10" i="6"/>
  <c r="AB10" i="6"/>
  <c r="AA10" i="6"/>
  <c r="Z10" i="6"/>
  <c r="AD9" i="6"/>
  <c r="AC9" i="6"/>
  <c r="AB9" i="6"/>
  <c r="AA9" i="6"/>
  <c r="Z9" i="6"/>
  <c r="AD8" i="6"/>
  <c r="AC8" i="6"/>
  <c r="AB8" i="6"/>
  <c r="AA8" i="6"/>
  <c r="Z8" i="6"/>
  <c r="AD7" i="6"/>
  <c r="AC7" i="6"/>
  <c r="AB7" i="6"/>
  <c r="AA7" i="6"/>
  <c r="Z7" i="6"/>
  <c r="AD6" i="6"/>
  <c r="AC6" i="6"/>
  <c r="AB6" i="6"/>
  <c r="AA6" i="6"/>
  <c r="Z6" i="6"/>
  <c r="AD5" i="6"/>
  <c r="AC5" i="6"/>
  <c r="AB5" i="6"/>
  <c r="AA5" i="6"/>
  <c r="Z5" i="6"/>
  <c r="AD4" i="6"/>
  <c r="AC4" i="6"/>
  <c r="AB4" i="6"/>
  <c r="AA4" i="6"/>
  <c r="Z4" i="6"/>
  <c r="AD3" i="6"/>
  <c r="AC3" i="6"/>
  <c r="AB3" i="6"/>
  <c r="AA3" i="6"/>
  <c r="Z3" i="6"/>
  <c r="AD2" i="6"/>
  <c r="AC2" i="6"/>
  <c r="AB2" i="6"/>
  <c r="AA2" i="6"/>
  <c r="Z2" i="6"/>
  <c r="E6" i="11" l="1"/>
  <c r="E47" i="11" s="1"/>
  <c r="E10" i="11"/>
  <c r="E46" i="11" s="1"/>
  <c r="E45" i="11" s="1"/>
  <c r="M30" i="11" l="1"/>
  <c r="M35" i="11" s="1"/>
  <c r="L30" i="11"/>
  <c r="L35" i="11" s="1"/>
  <c r="N35" i="11" s="1"/>
  <c r="K30" i="11"/>
  <c r="K35" i="11" s="1"/>
  <c r="J30" i="11"/>
  <c r="J35" i="11" s="1"/>
  <c r="I30" i="11"/>
  <c r="I35" i="11" s="1"/>
  <c r="H30" i="11"/>
  <c r="H35" i="11" s="1"/>
  <c r="G30" i="11"/>
  <c r="G35" i="11" s="1"/>
  <c r="E30" i="11"/>
  <c r="E35" i="11" s="1"/>
  <c r="C30" i="11"/>
  <c r="C35" i="11" s="1"/>
  <c r="M29" i="11"/>
  <c r="L29" i="11"/>
  <c r="K29" i="11"/>
  <c r="J29" i="11"/>
  <c r="I29" i="11"/>
  <c r="H29" i="11"/>
  <c r="G29" i="11"/>
  <c r="E29" i="11"/>
  <c r="C29" i="11"/>
  <c r="M28" i="11"/>
  <c r="M43" i="11" s="1"/>
  <c r="L28" i="11"/>
  <c r="L43" i="11" s="1"/>
  <c r="N43" i="11" s="1"/>
  <c r="K28" i="11"/>
  <c r="K43" i="11" s="1"/>
  <c r="J28" i="11"/>
  <c r="J43" i="11" s="1"/>
  <c r="I28" i="11"/>
  <c r="I43" i="11" s="1"/>
  <c r="H28" i="11"/>
  <c r="H43" i="11" s="1"/>
  <c r="G28" i="11"/>
  <c r="G43" i="11" s="1"/>
  <c r="E28" i="11"/>
  <c r="E43" i="11" s="1"/>
  <c r="C28" i="11"/>
  <c r="C43" i="11" s="1"/>
  <c r="M27" i="11"/>
  <c r="L27" i="11"/>
  <c r="K27" i="11"/>
  <c r="J27" i="11"/>
  <c r="I27" i="11"/>
  <c r="H27" i="11"/>
  <c r="G27" i="11"/>
  <c r="E27" i="11"/>
  <c r="C27" i="11"/>
  <c r="M26" i="11"/>
  <c r="M36" i="11" s="1"/>
  <c r="L26" i="11"/>
  <c r="L36" i="11" s="1"/>
  <c r="N36" i="11" s="1"/>
  <c r="K26" i="11"/>
  <c r="K36" i="11" s="1"/>
  <c r="J26" i="11"/>
  <c r="J36" i="11" s="1"/>
  <c r="I26" i="11"/>
  <c r="I36" i="11" s="1"/>
  <c r="H26" i="11"/>
  <c r="H36" i="11" s="1"/>
  <c r="G26" i="11"/>
  <c r="G36" i="11" s="1"/>
  <c r="E26" i="11"/>
  <c r="E36" i="11" s="1"/>
  <c r="C26" i="11"/>
  <c r="C36" i="11" s="1"/>
  <c r="M25" i="11"/>
  <c r="L25" i="11"/>
  <c r="K25" i="11"/>
  <c r="J25" i="11"/>
  <c r="I25" i="11"/>
  <c r="H25" i="11"/>
  <c r="G25" i="11"/>
  <c r="E25" i="11"/>
  <c r="C25" i="11"/>
  <c r="M24" i="11"/>
  <c r="L24" i="11"/>
  <c r="K24" i="11"/>
  <c r="J24" i="11"/>
  <c r="I24" i="11"/>
  <c r="H24" i="11"/>
  <c r="G24" i="11"/>
  <c r="E24" i="11"/>
  <c r="C24" i="11"/>
  <c r="M23" i="11"/>
  <c r="M49" i="11" s="1"/>
  <c r="L23" i="11"/>
  <c r="L49" i="11" s="1"/>
  <c r="K23" i="11"/>
  <c r="K49" i="11" s="1"/>
  <c r="J23" i="11"/>
  <c r="J49" i="11" s="1"/>
  <c r="I23" i="11"/>
  <c r="I49" i="11" s="1"/>
  <c r="H23" i="11"/>
  <c r="H49" i="11" s="1"/>
  <c r="G23" i="11"/>
  <c r="G49" i="11" s="1"/>
  <c r="E23" i="11"/>
  <c r="E49" i="11" s="1"/>
  <c r="C23" i="11"/>
  <c r="C49" i="11" s="1"/>
  <c r="M22" i="11"/>
  <c r="M37" i="11" s="1"/>
  <c r="L22" i="11"/>
  <c r="L37" i="11" s="1"/>
  <c r="N37" i="11" s="1"/>
  <c r="K22" i="11"/>
  <c r="K37" i="11" s="1"/>
  <c r="J22" i="11"/>
  <c r="J37" i="11" s="1"/>
  <c r="I22" i="11"/>
  <c r="I37" i="11" s="1"/>
  <c r="H22" i="11"/>
  <c r="H37" i="11" s="1"/>
  <c r="G22" i="11"/>
  <c r="G37" i="11" s="1"/>
  <c r="E22" i="11"/>
  <c r="E37" i="11" s="1"/>
  <c r="C22" i="11"/>
  <c r="C37" i="11" s="1"/>
  <c r="M21" i="11"/>
  <c r="L21" i="11"/>
  <c r="K21" i="11"/>
  <c r="J21" i="11"/>
  <c r="I21" i="11"/>
  <c r="H21" i="11"/>
  <c r="G21" i="11"/>
  <c r="E21" i="11"/>
  <c r="C21" i="11"/>
  <c r="M20" i="11"/>
  <c r="L20" i="11"/>
  <c r="K20" i="11"/>
  <c r="J20" i="11"/>
  <c r="I20" i="11"/>
  <c r="H20" i="11"/>
  <c r="G20" i="11"/>
  <c r="E20" i="11"/>
  <c r="C20" i="11"/>
  <c r="M19" i="11"/>
  <c r="M42" i="11" s="1"/>
  <c r="L19" i="11"/>
  <c r="L42" i="11" s="1"/>
  <c r="K19" i="11"/>
  <c r="K42" i="11" s="1"/>
  <c r="J19" i="11"/>
  <c r="J42" i="11" s="1"/>
  <c r="I19" i="11"/>
  <c r="I42" i="11" s="1"/>
  <c r="H19" i="11"/>
  <c r="H42" i="11" s="1"/>
  <c r="G19" i="11"/>
  <c r="G42" i="11" s="1"/>
  <c r="E19" i="11"/>
  <c r="E42" i="11" s="1"/>
  <c r="C19" i="11"/>
  <c r="C42" i="11" s="1"/>
  <c r="M18" i="11"/>
  <c r="L18" i="11"/>
  <c r="K18" i="11"/>
  <c r="J18" i="11"/>
  <c r="I18" i="11"/>
  <c r="H18" i="11"/>
  <c r="G18" i="11"/>
  <c r="E18" i="11"/>
  <c r="C18" i="11"/>
  <c r="M17" i="11"/>
  <c r="L17" i="11"/>
  <c r="K17" i="11"/>
  <c r="J17" i="11"/>
  <c r="I17" i="11"/>
  <c r="H17" i="11"/>
  <c r="G17" i="11"/>
  <c r="E17" i="11"/>
  <c r="C17" i="11"/>
  <c r="M16" i="11"/>
  <c r="L16" i="11"/>
  <c r="K16" i="11"/>
  <c r="J16" i="11"/>
  <c r="I16" i="11"/>
  <c r="H16" i="11"/>
  <c r="G16" i="11"/>
  <c r="E16" i="11"/>
  <c r="C16" i="11"/>
  <c r="M15" i="11"/>
  <c r="M44" i="11" s="1"/>
  <c r="L15" i="11"/>
  <c r="L44" i="11" s="1"/>
  <c r="K15" i="11"/>
  <c r="K44" i="11" s="1"/>
  <c r="J15" i="11"/>
  <c r="J44" i="11" s="1"/>
  <c r="I15" i="11"/>
  <c r="I44" i="11" s="1"/>
  <c r="H15" i="11"/>
  <c r="H44" i="11" s="1"/>
  <c r="G15" i="11"/>
  <c r="G44" i="11" s="1"/>
  <c r="E15" i="11"/>
  <c r="E44" i="11" s="1"/>
  <c r="C15" i="11"/>
  <c r="C44" i="11" s="1"/>
  <c r="M14" i="11"/>
  <c r="M34" i="11" s="1"/>
  <c r="L14" i="11"/>
  <c r="L34" i="11" s="1"/>
  <c r="K14" i="11"/>
  <c r="K34" i="11" s="1"/>
  <c r="J14" i="11"/>
  <c r="J34" i="11" s="1"/>
  <c r="I14" i="11"/>
  <c r="I34" i="11" s="1"/>
  <c r="H14" i="11"/>
  <c r="H34" i="11" s="1"/>
  <c r="G14" i="11"/>
  <c r="G34" i="11" s="1"/>
  <c r="E14" i="11"/>
  <c r="E34" i="11" s="1"/>
  <c r="C14" i="11"/>
  <c r="C34" i="11" s="1"/>
  <c r="M13" i="11"/>
  <c r="M33" i="11" s="1"/>
  <c r="L13" i="11"/>
  <c r="L33" i="11" s="1"/>
  <c r="N33" i="11" s="1"/>
  <c r="K13" i="11"/>
  <c r="K33" i="11" s="1"/>
  <c r="J13" i="11"/>
  <c r="J33" i="11" s="1"/>
  <c r="I13" i="11"/>
  <c r="I33" i="11" s="1"/>
  <c r="H13" i="11"/>
  <c r="H33" i="11" s="1"/>
  <c r="G13" i="11"/>
  <c r="G33" i="11" s="1"/>
  <c r="E13" i="11"/>
  <c r="E33" i="11" s="1"/>
  <c r="C13" i="11"/>
  <c r="C33" i="11" s="1"/>
  <c r="M12" i="11"/>
  <c r="L12" i="11"/>
  <c r="K12" i="11"/>
  <c r="J12" i="11"/>
  <c r="I12" i="11"/>
  <c r="H12" i="11"/>
  <c r="G12" i="11"/>
  <c r="E12" i="11"/>
  <c r="C12" i="11"/>
  <c r="M11" i="11"/>
  <c r="M39" i="11" s="1"/>
  <c r="L11" i="11"/>
  <c r="L39" i="11" s="1"/>
  <c r="K11" i="11"/>
  <c r="K39" i="11" s="1"/>
  <c r="J11" i="11"/>
  <c r="J39" i="11" s="1"/>
  <c r="I11" i="11"/>
  <c r="I39" i="11" s="1"/>
  <c r="H11" i="11"/>
  <c r="H39" i="11" s="1"/>
  <c r="G11" i="11"/>
  <c r="G39" i="11" s="1"/>
  <c r="E11" i="11"/>
  <c r="E39" i="11" s="1"/>
  <c r="C11" i="11"/>
  <c r="C39" i="11" s="1"/>
  <c r="M10" i="11"/>
  <c r="M46" i="11" s="1"/>
  <c r="L10" i="11"/>
  <c r="L46" i="11" s="1"/>
  <c r="K10" i="11"/>
  <c r="K46" i="11" s="1"/>
  <c r="J10" i="11"/>
  <c r="J46" i="11" s="1"/>
  <c r="I10" i="11"/>
  <c r="I46" i="11" s="1"/>
  <c r="H10" i="11"/>
  <c r="H46" i="11" s="1"/>
  <c r="G10" i="11"/>
  <c r="G46" i="11" s="1"/>
  <c r="C10" i="11"/>
  <c r="C46" i="11" s="1"/>
  <c r="M9" i="11"/>
  <c r="L9" i="11"/>
  <c r="K9" i="11"/>
  <c r="J9" i="11"/>
  <c r="I9" i="11"/>
  <c r="H9" i="11"/>
  <c r="G9" i="11"/>
  <c r="E9" i="11"/>
  <c r="C9" i="11"/>
  <c r="M8" i="11"/>
  <c r="M41" i="11" s="1"/>
  <c r="L8" i="11"/>
  <c r="L41" i="11" s="1"/>
  <c r="N41" i="11" s="1"/>
  <c r="K8" i="11"/>
  <c r="K41" i="11" s="1"/>
  <c r="J8" i="11"/>
  <c r="J41" i="11" s="1"/>
  <c r="I8" i="11"/>
  <c r="I41" i="11" s="1"/>
  <c r="H8" i="11"/>
  <c r="H41" i="11" s="1"/>
  <c r="G8" i="11"/>
  <c r="G41" i="11" s="1"/>
  <c r="E8" i="11"/>
  <c r="E41" i="11" s="1"/>
  <c r="C8" i="11"/>
  <c r="C41" i="11" s="1"/>
  <c r="M7" i="11"/>
  <c r="L7" i="11"/>
  <c r="K7" i="11"/>
  <c r="J7" i="11"/>
  <c r="I7" i="11"/>
  <c r="H7" i="11"/>
  <c r="G7" i="11"/>
  <c r="E7" i="11"/>
  <c r="C7" i="11"/>
  <c r="M6" i="11"/>
  <c r="M47" i="11" s="1"/>
  <c r="L6" i="11"/>
  <c r="L47" i="11" s="1"/>
  <c r="K6" i="11"/>
  <c r="K47" i="11" s="1"/>
  <c r="J6" i="11"/>
  <c r="J47" i="11" s="1"/>
  <c r="I6" i="11"/>
  <c r="I47" i="11" s="1"/>
  <c r="H6" i="11"/>
  <c r="H47" i="11" s="1"/>
  <c r="G6" i="11"/>
  <c r="G47" i="11" s="1"/>
  <c r="C6" i="11"/>
  <c r="C47" i="11" s="1"/>
  <c r="M5" i="11"/>
  <c r="L5" i="11"/>
  <c r="K5" i="11"/>
  <c r="J5" i="11"/>
  <c r="I5" i="11"/>
  <c r="H5" i="11"/>
  <c r="G5" i="11"/>
  <c r="E5" i="11"/>
  <c r="C5" i="11"/>
  <c r="M4" i="11"/>
  <c r="M40" i="11" s="1"/>
  <c r="L4" i="11"/>
  <c r="L40" i="11" s="1"/>
  <c r="K4" i="11"/>
  <c r="K40" i="11" s="1"/>
  <c r="J4" i="11"/>
  <c r="J40" i="11" s="1"/>
  <c r="I4" i="11"/>
  <c r="I40" i="11" s="1"/>
  <c r="H4" i="11"/>
  <c r="H40" i="11" s="1"/>
  <c r="G4" i="11"/>
  <c r="G40" i="11" s="1"/>
  <c r="E4" i="11"/>
  <c r="E40" i="11" s="1"/>
  <c r="C4" i="11"/>
  <c r="C40" i="11" s="1"/>
  <c r="M2" i="11"/>
  <c r="M38" i="11" s="1"/>
  <c r="L2" i="11"/>
  <c r="L38" i="11" s="1"/>
  <c r="N38" i="11" s="1"/>
  <c r="K2" i="11"/>
  <c r="K38" i="11" s="1"/>
  <c r="J2" i="11"/>
  <c r="J38" i="11" s="1"/>
  <c r="I2" i="11"/>
  <c r="I38" i="11" s="1"/>
  <c r="H2" i="11"/>
  <c r="H38" i="11" s="1"/>
  <c r="G2" i="11"/>
  <c r="G38" i="11" s="1"/>
  <c r="E2" i="11"/>
  <c r="E38" i="11" s="1"/>
  <c r="C2" i="11"/>
  <c r="C38" i="11" s="1"/>
  <c r="M35" i="9"/>
  <c r="L35" i="9"/>
  <c r="N35" i="9" s="1"/>
  <c r="K30" i="9"/>
  <c r="K35" i="9" s="1"/>
  <c r="J30" i="9"/>
  <c r="J35" i="9" s="1"/>
  <c r="I30" i="9"/>
  <c r="I35" i="9" s="1"/>
  <c r="H30" i="9"/>
  <c r="H35" i="9" s="1"/>
  <c r="G30" i="9"/>
  <c r="G35" i="9" s="1"/>
  <c r="E30" i="9"/>
  <c r="E35" i="9" s="1"/>
  <c r="C30" i="9"/>
  <c r="C35" i="9" s="1"/>
  <c r="K29" i="9"/>
  <c r="J29" i="9"/>
  <c r="I29" i="9"/>
  <c r="H29" i="9"/>
  <c r="G29" i="9"/>
  <c r="E29" i="9"/>
  <c r="C29" i="9"/>
  <c r="M43" i="9"/>
  <c r="L43" i="9"/>
  <c r="N43" i="9" s="1"/>
  <c r="K28" i="9"/>
  <c r="K43" i="9" s="1"/>
  <c r="J28" i="9"/>
  <c r="J43" i="9" s="1"/>
  <c r="I28" i="9"/>
  <c r="I43" i="9" s="1"/>
  <c r="H28" i="9"/>
  <c r="H43" i="9" s="1"/>
  <c r="G28" i="9"/>
  <c r="G43" i="9" s="1"/>
  <c r="E28" i="9"/>
  <c r="E43" i="9" s="1"/>
  <c r="C28" i="9"/>
  <c r="C43" i="9" s="1"/>
  <c r="K27" i="9"/>
  <c r="J27" i="9"/>
  <c r="I27" i="9"/>
  <c r="H27" i="9"/>
  <c r="G27" i="9"/>
  <c r="E27" i="9"/>
  <c r="C27" i="9"/>
  <c r="M36" i="9"/>
  <c r="L36" i="9"/>
  <c r="N36" i="9" s="1"/>
  <c r="K26" i="9"/>
  <c r="K36" i="9" s="1"/>
  <c r="J26" i="9"/>
  <c r="J36" i="9" s="1"/>
  <c r="I26" i="9"/>
  <c r="I36" i="9" s="1"/>
  <c r="H26" i="9"/>
  <c r="H36" i="9" s="1"/>
  <c r="G26" i="9"/>
  <c r="G36" i="9" s="1"/>
  <c r="E26" i="9"/>
  <c r="E36" i="9" s="1"/>
  <c r="C26" i="9"/>
  <c r="C36" i="9" s="1"/>
  <c r="K25" i="9"/>
  <c r="J25" i="9"/>
  <c r="I25" i="9"/>
  <c r="H25" i="9"/>
  <c r="G25" i="9"/>
  <c r="E25" i="9"/>
  <c r="C25" i="9"/>
  <c r="K24" i="9"/>
  <c r="J24" i="9"/>
  <c r="I24" i="9"/>
  <c r="H24" i="9"/>
  <c r="G24" i="9"/>
  <c r="E24" i="9"/>
  <c r="C24" i="9"/>
  <c r="M49" i="9"/>
  <c r="L49" i="9"/>
  <c r="K23" i="9"/>
  <c r="K49" i="9" s="1"/>
  <c r="J23" i="9"/>
  <c r="J49" i="9" s="1"/>
  <c r="I23" i="9"/>
  <c r="I49" i="9" s="1"/>
  <c r="H23" i="9"/>
  <c r="H49" i="9" s="1"/>
  <c r="G23" i="9"/>
  <c r="G49" i="9" s="1"/>
  <c r="E23" i="9"/>
  <c r="E49" i="9" s="1"/>
  <c r="C23" i="9"/>
  <c r="C49" i="9" s="1"/>
  <c r="M37" i="9"/>
  <c r="L37" i="9"/>
  <c r="N37" i="9" s="1"/>
  <c r="K22" i="9"/>
  <c r="K37" i="9" s="1"/>
  <c r="J22" i="9"/>
  <c r="J37" i="9" s="1"/>
  <c r="I22" i="9"/>
  <c r="I37" i="9" s="1"/>
  <c r="H22" i="9"/>
  <c r="H37" i="9" s="1"/>
  <c r="G22" i="9"/>
  <c r="G37" i="9" s="1"/>
  <c r="E22" i="9"/>
  <c r="E37" i="9" s="1"/>
  <c r="C22" i="9"/>
  <c r="C37" i="9" s="1"/>
  <c r="K21" i="9"/>
  <c r="J21" i="9"/>
  <c r="I21" i="9"/>
  <c r="H21" i="9"/>
  <c r="G21" i="9"/>
  <c r="E21" i="9"/>
  <c r="C21" i="9"/>
  <c r="K20" i="9"/>
  <c r="J20" i="9"/>
  <c r="I20" i="9"/>
  <c r="H20" i="9"/>
  <c r="G20" i="9"/>
  <c r="E20" i="9"/>
  <c r="C20" i="9"/>
  <c r="M42" i="9"/>
  <c r="L42" i="9"/>
  <c r="N42" i="9" s="1"/>
  <c r="K19" i="9"/>
  <c r="K42" i="9" s="1"/>
  <c r="J19" i="9"/>
  <c r="J42" i="9" s="1"/>
  <c r="I19" i="9"/>
  <c r="I42" i="9" s="1"/>
  <c r="H19" i="9"/>
  <c r="H42" i="9" s="1"/>
  <c r="G19" i="9"/>
  <c r="G42" i="9" s="1"/>
  <c r="E19" i="9"/>
  <c r="E42" i="9" s="1"/>
  <c r="C19" i="9"/>
  <c r="C42" i="9" s="1"/>
  <c r="K18" i="9"/>
  <c r="J18" i="9"/>
  <c r="I18" i="9"/>
  <c r="H18" i="9"/>
  <c r="G18" i="9"/>
  <c r="E18" i="9"/>
  <c r="C18" i="9"/>
  <c r="K17" i="9"/>
  <c r="J17" i="9"/>
  <c r="I17" i="9"/>
  <c r="H17" i="9"/>
  <c r="G17" i="9"/>
  <c r="E17" i="9"/>
  <c r="C17" i="9"/>
  <c r="K16" i="9"/>
  <c r="J16" i="9"/>
  <c r="I16" i="9"/>
  <c r="H16" i="9"/>
  <c r="G16" i="9"/>
  <c r="E16" i="9"/>
  <c r="C16" i="9"/>
  <c r="M44" i="9"/>
  <c r="L44" i="9"/>
  <c r="K15" i="9"/>
  <c r="K44" i="9" s="1"/>
  <c r="J15" i="9"/>
  <c r="J44" i="9" s="1"/>
  <c r="I15" i="9"/>
  <c r="I44" i="9" s="1"/>
  <c r="H15" i="9"/>
  <c r="H44" i="9" s="1"/>
  <c r="G15" i="9"/>
  <c r="G44" i="9" s="1"/>
  <c r="E15" i="9"/>
  <c r="E44" i="9" s="1"/>
  <c r="C15" i="9"/>
  <c r="C44" i="9" s="1"/>
  <c r="M34" i="9"/>
  <c r="L34" i="9"/>
  <c r="N34" i="9" s="1"/>
  <c r="K14" i="9"/>
  <c r="K34" i="9" s="1"/>
  <c r="J14" i="9"/>
  <c r="J34" i="9" s="1"/>
  <c r="I14" i="9"/>
  <c r="I34" i="9" s="1"/>
  <c r="H14" i="9"/>
  <c r="H34" i="9" s="1"/>
  <c r="G14" i="9"/>
  <c r="G34" i="9" s="1"/>
  <c r="E14" i="9"/>
  <c r="E34" i="9" s="1"/>
  <c r="C14" i="9"/>
  <c r="C34" i="9" s="1"/>
  <c r="M33" i="9"/>
  <c r="L33" i="9"/>
  <c r="K13" i="9"/>
  <c r="K33" i="9" s="1"/>
  <c r="J13" i="9"/>
  <c r="J33" i="9" s="1"/>
  <c r="I13" i="9"/>
  <c r="I33" i="9" s="1"/>
  <c r="H13" i="9"/>
  <c r="H33" i="9" s="1"/>
  <c r="G13" i="9"/>
  <c r="G33" i="9" s="1"/>
  <c r="E13" i="9"/>
  <c r="E33" i="9" s="1"/>
  <c r="C13" i="9"/>
  <c r="C33" i="9" s="1"/>
  <c r="K12" i="9"/>
  <c r="J12" i="9"/>
  <c r="I12" i="9"/>
  <c r="H12" i="9"/>
  <c r="G12" i="9"/>
  <c r="E12" i="9"/>
  <c r="C12" i="9"/>
  <c r="M39" i="9"/>
  <c r="L39" i="9"/>
  <c r="N39" i="9" s="1"/>
  <c r="K11" i="9"/>
  <c r="K39" i="9" s="1"/>
  <c r="J11" i="9"/>
  <c r="J39" i="9" s="1"/>
  <c r="I11" i="9"/>
  <c r="I39" i="9" s="1"/>
  <c r="H11" i="9"/>
  <c r="H39" i="9" s="1"/>
  <c r="G11" i="9"/>
  <c r="G39" i="9" s="1"/>
  <c r="E11" i="9"/>
  <c r="E39" i="9" s="1"/>
  <c r="C11" i="9"/>
  <c r="C39" i="9" s="1"/>
  <c r="M46" i="9"/>
  <c r="L46" i="9"/>
  <c r="K10" i="9"/>
  <c r="K46" i="9" s="1"/>
  <c r="J10" i="9"/>
  <c r="J46" i="9" s="1"/>
  <c r="I10" i="9"/>
  <c r="I46" i="9" s="1"/>
  <c r="H10" i="9"/>
  <c r="H46" i="9" s="1"/>
  <c r="G10" i="9"/>
  <c r="G46" i="9" s="1"/>
  <c r="E10" i="9"/>
  <c r="E46" i="9" s="1"/>
  <c r="C10" i="9"/>
  <c r="C46" i="9" s="1"/>
  <c r="K9" i="9"/>
  <c r="J9" i="9"/>
  <c r="I9" i="9"/>
  <c r="H9" i="9"/>
  <c r="G9" i="9"/>
  <c r="E9" i="9"/>
  <c r="C9" i="9"/>
  <c r="M41" i="9"/>
  <c r="L41" i="9"/>
  <c r="N41" i="9" s="1"/>
  <c r="K8" i="9"/>
  <c r="K41" i="9" s="1"/>
  <c r="J8" i="9"/>
  <c r="J41" i="9" s="1"/>
  <c r="I8" i="9"/>
  <c r="I41" i="9" s="1"/>
  <c r="H8" i="9"/>
  <c r="H41" i="9" s="1"/>
  <c r="G8" i="9"/>
  <c r="G41" i="9" s="1"/>
  <c r="E8" i="9"/>
  <c r="E41" i="9" s="1"/>
  <c r="C8" i="9"/>
  <c r="C41" i="9" s="1"/>
  <c r="K7" i="9"/>
  <c r="J7" i="9"/>
  <c r="I7" i="9"/>
  <c r="H7" i="9"/>
  <c r="G7" i="9"/>
  <c r="E7" i="9"/>
  <c r="C7" i="9"/>
  <c r="M47" i="9"/>
  <c r="L47" i="9"/>
  <c r="N47" i="9" s="1"/>
  <c r="K6" i="9"/>
  <c r="K47" i="9" s="1"/>
  <c r="J6" i="9"/>
  <c r="J47" i="9" s="1"/>
  <c r="I6" i="9"/>
  <c r="I47" i="9" s="1"/>
  <c r="H6" i="9"/>
  <c r="H47" i="9" s="1"/>
  <c r="G6" i="9"/>
  <c r="G47" i="9" s="1"/>
  <c r="E6" i="9"/>
  <c r="E47" i="9" s="1"/>
  <c r="C6" i="9"/>
  <c r="C47" i="9" s="1"/>
  <c r="K5" i="9"/>
  <c r="J5" i="9"/>
  <c r="I5" i="9"/>
  <c r="H5" i="9"/>
  <c r="G5" i="9"/>
  <c r="E5" i="9"/>
  <c r="C5" i="9"/>
  <c r="M40" i="9"/>
  <c r="L40" i="9"/>
  <c r="N40" i="9" s="1"/>
  <c r="K4" i="9"/>
  <c r="K40" i="9" s="1"/>
  <c r="J4" i="9"/>
  <c r="J40" i="9" s="1"/>
  <c r="I4" i="9"/>
  <c r="I40" i="9" s="1"/>
  <c r="H4" i="9"/>
  <c r="H40" i="9" s="1"/>
  <c r="G4" i="9"/>
  <c r="G40" i="9" s="1"/>
  <c r="E4" i="9"/>
  <c r="E40" i="9" s="1"/>
  <c r="C4" i="9"/>
  <c r="C40" i="9" s="1"/>
  <c r="M2" i="9"/>
  <c r="M38" i="9" s="1"/>
  <c r="L2" i="9"/>
  <c r="L38" i="9" s="1"/>
  <c r="N38" i="9" s="1"/>
  <c r="K2" i="9"/>
  <c r="K38" i="9" s="1"/>
  <c r="J2" i="9"/>
  <c r="J38" i="9" s="1"/>
  <c r="I2" i="9"/>
  <c r="I38" i="9" s="1"/>
  <c r="H2" i="9"/>
  <c r="H38" i="9" s="1"/>
  <c r="G2" i="9"/>
  <c r="G38" i="9" s="1"/>
  <c r="E2" i="9"/>
  <c r="E38" i="9" s="1"/>
  <c r="C2" i="9"/>
  <c r="C38" i="9" s="1"/>
  <c r="M30" i="7"/>
  <c r="M35" i="7" s="1"/>
  <c r="L30" i="7"/>
  <c r="L35" i="7" s="1"/>
  <c r="C30" i="7"/>
  <c r="C35" i="7" s="1"/>
  <c r="M29" i="7"/>
  <c r="L29" i="7"/>
  <c r="C29" i="7"/>
  <c r="M28" i="7"/>
  <c r="M43" i="7" s="1"/>
  <c r="L28" i="7"/>
  <c r="L43" i="7" s="1"/>
  <c r="C28" i="7"/>
  <c r="C43" i="7" s="1"/>
  <c r="M27" i="7"/>
  <c r="L27" i="7"/>
  <c r="C27" i="7"/>
  <c r="M26" i="7"/>
  <c r="M36" i="7" s="1"/>
  <c r="L26" i="7"/>
  <c r="L36" i="7" s="1"/>
  <c r="C26" i="7"/>
  <c r="C36" i="7" s="1"/>
  <c r="M25" i="7"/>
  <c r="L25" i="7"/>
  <c r="C25" i="7"/>
  <c r="M24" i="7"/>
  <c r="L24" i="7"/>
  <c r="C24" i="7"/>
  <c r="M23" i="7"/>
  <c r="M49" i="7" s="1"/>
  <c r="L23" i="7"/>
  <c r="L49" i="7" s="1"/>
  <c r="C23" i="7"/>
  <c r="C49" i="7" s="1"/>
  <c r="M22" i="7"/>
  <c r="M37" i="7" s="1"/>
  <c r="L22" i="7"/>
  <c r="L37" i="7" s="1"/>
  <c r="C22" i="7"/>
  <c r="C37" i="7" s="1"/>
  <c r="M21" i="7"/>
  <c r="L21" i="7"/>
  <c r="C21" i="7"/>
  <c r="M20" i="7"/>
  <c r="L20" i="7"/>
  <c r="C20" i="7"/>
  <c r="M19" i="7"/>
  <c r="M42" i="7" s="1"/>
  <c r="L19" i="7"/>
  <c r="L42" i="7" s="1"/>
  <c r="C19" i="7"/>
  <c r="C42" i="7" s="1"/>
  <c r="M18" i="7"/>
  <c r="L18" i="7"/>
  <c r="C18" i="7"/>
  <c r="M17" i="7"/>
  <c r="L17" i="7"/>
  <c r="C17" i="7"/>
  <c r="M16" i="7"/>
  <c r="L16" i="7"/>
  <c r="C16" i="7"/>
  <c r="M15" i="7"/>
  <c r="M44" i="7" s="1"/>
  <c r="L15" i="7"/>
  <c r="L44" i="7" s="1"/>
  <c r="C15" i="7"/>
  <c r="C44" i="7" s="1"/>
  <c r="M14" i="7"/>
  <c r="M34" i="7" s="1"/>
  <c r="L14" i="7"/>
  <c r="L34" i="7" s="1"/>
  <c r="C14" i="7"/>
  <c r="C34" i="7" s="1"/>
  <c r="M13" i="7"/>
  <c r="M33" i="7" s="1"/>
  <c r="L13" i="7"/>
  <c r="L33" i="7" s="1"/>
  <c r="C13" i="7"/>
  <c r="C33" i="7" s="1"/>
  <c r="M12" i="7"/>
  <c r="L12" i="7"/>
  <c r="C12" i="7"/>
  <c r="M11" i="7"/>
  <c r="M39" i="7" s="1"/>
  <c r="L11" i="7"/>
  <c r="L39" i="7" s="1"/>
  <c r="C11" i="7"/>
  <c r="C39" i="7" s="1"/>
  <c r="M10" i="7"/>
  <c r="M46" i="7" s="1"/>
  <c r="L10" i="7"/>
  <c r="L46" i="7" s="1"/>
  <c r="C10" i="7"/>
  <c r="C46" i="7" s="1"/>
  <c r="M9" i="7"/>
  <c r="L9" i="7"/>
  <c r="C9" i="7"/>
  <c r="M8" i="7"/>
  <c r="M41" i="7" s="1"/>
  <c r="L8" i="7"/>
  <c r="L41" i="7" s="1"/>
  <c r="C8" i="7"/>
  <c r="C41" i="7" s="1"/>
  <c r="M7" i="7"/>
  <c r="L7" i="7"/>
  <c r="C7" i="7"/>
  <c r="M6" i="7"/>
  <c r="M47" i="7" s="1"/>
  <c r="L6" i="7"/>
  <c r="L47" i="7" s="1"/>
  <c r="C6" i="7"/>
  <c r="C47" i="7" s="1"/>
  <c r="M5" i="7"/>
  <c r="L5" i="7"/>
  <c r="C5" i="7"/>
  <c r="M4" i="7"/>
  <c r="M40" i="7" s="1"/>
  <c r="L4" i="7"/>
  <c r="L40" i="7" s="1"/>
  <c r="C4" i="7"/>
  <c r="C40" i="7" s="1"/>
  <c r="M2" i="7"/>
  <c r="M38" i="7" s="1"/>
  <c r="L2" i="7"/>
  <c r="L38" i="7" s="1"/>
  <c r="C38" i="7"/>
  <c r="K3" i="11"/>
  <c r="K32" i="11" s="1"/>
  <c r="K31" i="11" s="1"/>
  <c r="J3" i="11"/>
  <c r="J32" i="11" s="1"/>
  <c r="J31" i="11" s="1"/>
  <c r="I3" i="11"/>
  <c r="I32" i="11" s="1"/>
  <c r="I31" i="11" s="1"/>
  <c r="H3" i="11"/>
  <c r="H32" i="11" s="1"/>
  <c r="H31" i="11" s="1"/>
  <c r="G3" i="11"/>
  <c r="G32" i="11" s="1"/>
  <c r="G31" i="11" s="1"/>
  <c r="E3" i="11"/>
  <c r="E32" i="11" s="1"/>
  <c r="E31" i="11" s="1"/>
  <c r="C3" i="11"/>
  <c r="C32" i="11" s="1"/>
  <c r="K3" i="9"/>
  <c r="K32" i="9" s="1"/>
  <c r="J3" i="9"/>
  <c r="J32" i="9" s="1"/>
  <c r="I3" i="9"/>
  <c r="I32" i="9" s="1"/>
  <c r="H3" i="9"/>
  <c r="H32" i="9" s="1"/>
  <c r="G3" i="9"/>
  <c r="G32" i="9" s="1"/>
  <c r="E3" i="9"/>
  <c r="E32" i="9" s="1"/>
  <c r="C3" i="9"/>
  <c r="C32" i="9" s="1"/>
  <c r="C3" i="7"/>
  <c r="C32" i="7" s="1"/>
  <c r="C67" i="11" l="1"/>
  <c r="C53" i="11"/>
  <c r="I53" i="11"/>
  <c r="I67" i="11"/>
  <c r="M53" i="11"/>
  <c r="M67" i="11"/>
  <c r="H73" i="11"/>
  <c r="H59" i="11"/>
  <c r="L73" i="11"/>
  <c r="L59" i="11"/>
  <c r="E54" i="11"/>
  <c r="E68" i="11"/>
  <c r="J68" i="11"/>
  <c r="J54" i="11"/>
  <c r="C45" i="11"/>
  <c r="J45" i="11"/>
  <c r="H60" i="11"/>
  <c r="H74" i="11"/>
  <c r="L60" i="11"/>
  <c r="L74" i="11"/>
  <c r="H58" i="11"/>
  <c r="H72" i="11"/>
  <c r="L58" i="11"/>
  <c r="L72" i="11"/>
  <c r="G66" i="11"/>
  <c r="G52" i="11"/>
  <c r="K66" i="11"/>
  <c r="K52" i="11"/>
  <c r="E61" i="11"/>
  <c r="E75" i="11"/>
  <c r="J75" i="11"/>
  <c r="J61" i="11"/>
  <c r="H56" i="11"/>
  <c r="H70" i="11"/>
  <c r="L56" i="11"/>
  <c r="L70" i="11"/>
  <c r="G65" i="11"/>
  <c r="G51" i="11"/>
  <c r="K65" i="11"/>
  <c r="K51" i="11"/>
  <c r="H69" i="11"/>
  <c r="H55" i="11"/>
  <c r="L69" i="11"/>
  <c r="L55" i="11"/>
  <c r="G64" i="11"/>
  <c r="G50" i="11"/>
  <c r="K64" i="11"/>
  <c r="K50" i="11"/>
  <c r="C62" i="11"/>
  <c r="C76" i="11"/>
  <c r="I62" i="11"/>
  <c r="I76" i="11"/>
  <c r="M62" i="11"/>
  <c r="M76" i="11"/>
  <c r="G71" i="11"/>
  <c r="G57" i="11"/>
  <c r="K71" i="11"/>
  <c r="K57" i="11"/>
  <c r="E53" i="11"/>
  <c r="E67" i="11"/>
  <c r="J67" i="11"/>
  <c r="J53" i="11"/>
  <c r="C73" i="11"/>
  <c r="C59" i="11"/>
  <c r="I73" i="11"/>
  <c r="I59" i="11"/>
  <c r="M73" i="11"/>
  <c r="M59" i="11"/>
  <c r="G68" i="11"/>
  <c r="G54" i="11"/>
  <c r="K68" i="11"/>
  <c r="K54" i="11"/>
  <c r="G45" i="11"/>
  <c r="K45" i="11"/>
  <c r="C60" i="11"/>
  <c r="C74" i="11"/>
  <c r="I60" i="11"/>
  <c r="I74" i="11"/>
  <c r="M60" i="11"/>
  <c r="M74" i="11"/>
  <c r="C58" i="11"/>
  <c r="C72" i="11"/>
  <c r="I58" i="11"/>
  <c r="I72" i="11"/>
  <c r="M58" i="11"/>
  <c r="M72" i="11"/>
  <c r="H52" i="11"/>
  <c r="H66" i="11"/>
  <c r="L52" i="11"/>
  <c r="L66" i="11"/>
  <c r="G75" i="11"/>
  <c r="G61" i="11"/>
  <c r="K75" i="11"/>
  <c r="K61" i="11"/>
  <c r="C56" i="11"/>
  <c r="C70" i="11"/>
  <c r="I56" i="11"/>
  <c r="I70" i="11"/>
  <c r="M56" i="11"/>
  <c r="M70" i="11"/>
  <c r="H51" i="11"/>
  <c r="H65" i="11"/>
  <c r="L51" i="11"/>
  <c r="L65" i="11"/>
  <c r="C69" i="11"/>
  <c r="C55" i="11"/>
  <c r="I69" i="11"/>
  <c r="I55" i="11"/>
  <c r="M69" i="11"/>
  <c r="M55" i="11"/>
  <c r="H50" i="11"/>
  <c r="H64" i="11"/>
  <c r="L50" i="11"/>
  <c r="L64" i="11"/>
  <c r="E62" i="11"/>
  <c r="E76" i="11"/>
  <c r="J76" i="11"/>
  <c r="J62" i="11"/>
  <c r="H71" i="11"/>
  <c r="H57" i="11"/>
  <c r="L71" i="11"/>
  <c r="L57" i="11"/>
  <c r="C31" i="11"/>
  <c r="N40" i="11"/>
  <c r="G67" i="11"/>
  <c r="G53" i="11"/>
  <c r="K67" i="11"/>
  <c r="K53" i="11"/>
  <c r="E59" i="11"/>
  <c r="E73" i="11"/>
  <c r="J73" i="11"/>
  <c r="J59" i="11"/>
  <c r="H54" i="11"/>
  <c r="H68" i="11"/>
  <c r="L54" i="11"/>
  <c r="L68" i="11"/>
  <c r="H45" i="11"/>
  <c r="L45" i="11"/>
  <c r="N46" i="11"/>
  <c r="E60" i="11"/>
  <c r="E74" i="11"/>
  <c r="J74" i="11"/>
  <c r="J60" i="11"/>
  <c r="N34" i="11"/>
  <c r="E58" i="11"/>
  <c r="E72" i="11"/>
  <c r="J72" i="11"/>
  <c r="J58" i="11"/>
  <c r="C66" i="11"/>
  <c r="C52" i="11"/>
  <c r="I52" i="11"/>
  <c r="I66" i="11"/>
  <c r="M52" i="11"/>
  <c r="M66" i="11"/>
  <c r="H75" i="11"/>
  <c r="H61" i="11"/>
  <c r="L75" i="11"/>
  <c r="L61" i="11"/>
  <c r="E56" i="11"/>
  <c r="E70" i="11"/>
  <c r="J70" i="11"/>
  <c r="J56" i="11"/>
  <c r="C65" i="11"/>
  <c r="C51" i="11"/>
  <c r="I51" i="11"/>
  <c r="I65" i="11"/>
  <c r="M51" i="11"/>
  <c r="M65" i="11"/>
  <c r="E55" i="11"/>
  <c r="E69" i="11"/>
  <c r="J69" i="11"/>
  <c r="J55" i="11"/>
  <c r="C64" i="11"/>
  <c r="C50" i="11"/>
  <c r="I50" i="11"/>
  <c r="I48" i="11" s="1"/>
  <c r="I64" i="11"/>
  <c r="M50" i="11"/>
  <c r="M48" i="11" s="1"/>
  <c r="M64" i="11"/>
  <c r="G76" i="11"/>
  <c r="G62" i="11"/>
  <c r="K76" i="11"/>
  <c r="K62" i="11"/>
  <c r="C71" i="11"/>
  <c r="C57" i="11"/>
  <c r="I71" i="11"/>
  <c r="I57" i="11"/>
  <c r="M71" i="11"/>
  <c r="M57" i="11"/>
  <c r="H53" i="11"/>
  <c r="H67" i="11"/>
  <c r="L53" i="11"/>
  <c r="N53" i="11" s="1"/>
  <c r="L67" i="11"/>
  <c r="N67" i="11" s="1"/>
  <c r="N47" i="11"/>
  <c r="G73" i="11"/>
  <c r="G59" i="11"/>
  <c r="K73" i="11"/>
  <c r="K59" i="11"/>
  <c r="C68" i="11"/>
  <c r="C54" i="11"/>
  <c r="I54" i="11"/>
  <c r="I68" i="11"/>
  <c r="M54" i="11"/>
  <c r="M68" i="11"/>
  <c r="I45" i="11"/>
  <c r="M45" i="11"/>
  <c r="N39" i="11"/>
  <c r="G74" i="11"/>
  <c r="G60" i="11"/>
  <c r="K74" i="11"/>
  <c r="K60" i="11"/>
  <c r="N44" i="11"/>
  <c r="G72" i="11"/>
  <c r="G58" i="11"/>
  <c r="K72" i="11"/>
  <c r="K58" i="11"/>
  <c r="E52" i="11"/>
  <c r="E66" i="11"/>
  <c r="J66" i="11"/>
  <c r="J52" i="11"/>
  <c r="C75" i="11"/>
  <c r="C61" i="11"/>
  <c r="I75" i="11"/>
  <c r="I61" i="11"/>
  <c r="M75" i="11"/>
  <c r="M61" i="11"/>
  <c r="N42" i="11"/>
  <c r="G70" i="11"/>
  <c r="G56" i="11"/>
  <c r="K70" i="11"/>
  <c r="K56" i="11"/>
  <c r="E51" i="11"/>
  <c r="E65" i="11"/>
  <c r="J65" i="11"/>
  <c r="J51" i="11"/>
  <c r="L48" i="11"/>
  <c r="N49" i="11"/>
  <c r="G69" i="11"/>
  <c r="G55" i="11"/>
  <c r="G48" i="11" s="1"/>
  <c r="K69" i="11"/>
  <c r="K55" i="11"/>
  <c r="K48" i="11" s="1"/>
  <c r="E50" i="11"/>
  <c r="E48" i="11" s="1"/>
  <c r="E64" i="11"/>
  <c r="J64" i="11"/>
  <c r="J63" i="11" s="1"/>
  <c r="J50" i="11"/>
  <c r="J48" i="11" s="1"/>
  <c r="H62" i="11"/>
  <c r="H48" i="11" s="1"/>
  <c r="H76" i="11"/>
  <c r="L62" i="11"/>
  <c r="N62" i="11" s="1"/>
  <c r="L76" i="11"/>
  <c r="N76" i="11" s="1"/>
  <c r="E57" i="11"/>
  <c r="E71" i="11"/>
  <c r="J71" i="11"/>
  <c r="J57" i="11"/>
  <c r="N44" i="9"/>
  <c r="I67" i="9"/>
  <c r="I53" i="9"/>
  <c r="M68" i="9"/>
  <c r="M54" i="9"/>
  <c r="J74" i="9"/>
  <c r="J60" i="9"/>
  <c r="E72" i="9"/>
  <c r="E58" i="9"/>
  <c r="I66" i="9"/>
  <c r="I52" i="9"/>
  <c r="L75" i="9"/>
  <c r="L61" i="9"/>
  <c r="E70" i="9"/>
  <c r="E56" i="9"/>
  <c r="I65" i="9"/>
  <c r="I51" i="9"/>
  <c r="I48" i="9" s="1"/>
  <c r="C50" i="9"/>
  <c r="C64" i="9"/>
  <c r="M64" i="9"/>
  <c r="M50" i="9"/>
  <c r="G76" i="9"/>
  <c r="G62" i="9"/>
  <c r="C71" i="9"/>
  <c r="C57" i="9"/>
  <c r="M71" i="9"/>
  <c r="M57" i="9"/>
  <c r="J53" i="9"/>
  <c r="J67" i="9"/>
  <c r="H73" i="9"/>
  <c r="H59" i="9"/>
  <c r="E66" i="9"/>
  <c r="E52" i="9"/>
  <c r="M75" i="9"/>
  <c r="M61" i="9"/>
  <c r="G70" i="9"/>
  <c r="G56" i="9"/>
  <c r="E51" i="9"/>
  <c r="E65" i="9"/>
  <c r="N49" i="9"/>
  <c r="G69" i="9"/>
  <c r="G55" i="9"/>
  <c r="K69" i="9"/>
  <c r="K55" i="9"/>
  <c r="E64" i="9"/>
  <c r="E63" i="9" s="1"/>
  <c r="E50" i="9"/>
  <c r="J64" i="9"/>
  <c r="J50" i="9"/>
  <c r="H62" i="9"/>
  <c r="H76" i="9"/>
  <c r="L62" i="9"/>
  <c r="L76" i="9"/>
  <c r="N76" i="9" s="1"/>
  <c r="E57" i="9"/>
  <c r="E71" i="9"/>
  <c r="J57" i="9"/>
  <c r="J71" i="9"/>
  <c r="I31" i="9"/>
  <c r="C67" i="9"/>
  <c r="C53" i="9"/>
  <c r="M67" i="9"/>
  <c r="M53" i="9"/>
  <c r="G73" i="9"/>
  <c r="G59" i="9"/>
  <c r="I68" i="9"/>
  <c r="I54" i="9"/>
  <c r="L45" i="9"/>
  <c r="N46" i="9"/>
  <c r="N45" i="9" s="1"/>
  <c r="E74" i="9"/>
  <c r="E60" i="9"/>
  <c r="C52" i="9"/>
  <c r="C66" i="9"/>
  <c r="H75" i="9"/>
  <c r="H61" i="9"/>
  <c r="J70" i="9"/>
  <c r="J56" i="9"/>
  <c r="M65" i="9"/>
  <c r="M51" i="9"/>
  <c r="E55" i="9"/>
  <c r="E69" i="9"/>
  <c r="I64" i="9"/>
  <c r="I50" i="9"/>
  <c r="K76" i="9"/>
  <c r="K62" i="9"/>
  <c r="E68" i="9"/>
  <c r="E54" i="9"/>
  <c r="C45" i="9"/>
  <c r="M45" i="9"/>
  <c r="G74" i="9"/>
  <c r="G60" i="9"/>
  <c r="K72" i="9"/>
  <c r="K58" i="9"/>
  <c r="C75" i="9"/>
  <c r="C61" i="9"/>
  <c r="J51" i="9"/>
  <c r="J65" i="9"/>
  <c r="J31" i="9"/>
  <c r="G67" i="9"/>
  <c r="G53" i="9"/>
  <c r="K67" i="9"/>
  <c r="K53" i="9"/>
  <c r="C73" i="9"/>
  <c r="C59" i="9"/>
  <c r="I73" i="9"/>
  <c r="I59" i="9"/>
  <c r="M73" i="9"/>
  <c r="M59" i="9"/>
  <c r="G68" i="9"/>
  <c r="G54" i="9"/>
  <c r="K68" i="9"/>
  <c r="K54" i="9"/>
  <c r="E45" i="9"/>
  <c r="J45" i="9"/>
  <c r="H60" i="9"/>
  <c r="H74" i="9"/>
  <c r="L60" i="9"/>
  <c r="L74" i="9"/>
  <c r="H58" i="9"/>
  <c r="H72" i="9"/>
  <c r="L58" i="9"/>
  <c r="L72" i="9"/>
  <c r="G66" i="9"/>
  <c r="G52" i="9"/>
  <c r="K66" i="9"/>
  <c r="K52" i="9"/>
  <c r="E61" i="9"/>
  <c r="E75" i="9"/>
  <c r="J61" i="9"/>
  <c r="J75" i="9"/>
  <c r="H56" i="9"/>
  <c r="H70" i="9"/>
  <c r="L56" i="9"/>
  <c r="L70" i="9"/>
  <c r="G65" i="9"/>
  <c r="G51" i="9"/>
  <c r="K65" i="9"/>
  <c r="K51" i="9"/>
  <c r="H69" i="9"/>
  <c r="H55" i="9"/>
  <c r="L69" i="9"/>
  <c r="L55" i="9"/>
  <c r="G64" i="9"/>
  <c r="G50" i="9"/>
  <c r="G48" i="9" s="1"/>
  <c r="K64" i="9"/>
  <c r="K50" i="9"/>
  <c r="E31" i="9"/>
  <c r="C62" i="9"/>
  <c r="C76" i="9"/>
  <c r="I76" i="9"/>
  <c r="I62" i="9"/>
  <c r="M76" i="9"/>
  <c r="M62" i="9"/>
  <c r="G71" i="9"/>
  <c r="G57" i="9"/>
  <c r="K71" i="9"/>
  <c r="K57" i="9"/>
  <c r="K73" i="9"/>
  <c r="K59" i="9"/>
  <c r="C54" i="9"/>
  <c r="C68" i="9"/>
  <c r="H45" i="9"/>
  <c r="J72" i="9"/>
  <c r="J58" i="9"/>
  <c r="M66" i="9"/>
  <c r="M52" i="9"/>
  <c r="C65" i="9"/>
  <c r="C51" i="9"/>
  <c r="J55" i="9"/>
  <c r="J69" i="9"/>
  <c r="I71" i="9"/>
  <c r="I57" i="9"/>
  <c r="H31" i="9"/>
  <c r="C31" i="9"/>
  <c r="E53" i="9"/>
  <c r="E48" i="9" s="1"/>
  <c r="E67" i="9"/>
  <c r="L73" i="9"/>
  <c r="N73" i="9" s="1"/>
  <c r="L59" i="9"/>
  <c r="N59" i="9" s="1"/>
  <c r="J68" i="9"/>
  <c r="J54" i="9"/>
  <c r="I45" i="9"/>
  <c r="K74" i="9"/>
  <c r="K60" i="9"/>
  <c r="K48" i="9" s="1"/>
  <c r="G72" i="9"/>
  <c r="G58" i="9"/>
  <c r="J66" i="9"/>
  <c r="J52" i="9"/>
  <c r="I75" i="9"/>
  <c r="I61" i="9"/>
  <c r="K70" i="9"/>
  <c r="K56" i="9"/>
  <c r="G31" i="9"/>
  <c r="K31" i="9"/>
  <c r="H67" i="9"/>
  <c r="H53" i="9"/>
  <c r="L67" i="9"/>
  <c r="N67" i="9" s="1"/>
  <c r="L53" i="9"/>
  <c r="N53" i="9" s="1"/>
  <c r="E59" i="9"/>
  <c r="E73" i="9"/>
  <c r="J59" i="9"/>
  <c r="J73" i="9"/>
  <c r="H54" i="9"/>
  <c r="H68" i="9"/>
  <c r="L54" i="9"/>
  <c r="N54" i="9" s="1"/>
  <c r="L68" i="9"/>
  <c r="N68" i="9" s="1"/>
  <c r="G45" i="9"/>
  <c r="K45" i="9"/>
  <c r="C60" i="9"/>
  <c r="C74" i="9"/>
  <c r="I74" i="9"/>
  <c r="I60" i="9"/>
  <c r="M74" i="9"/>
  <c r="M60" i="9"/>
  <c r="N33" i="9"/>
  <c r="C58" i="9"/>
  <c r="C72" i="9"/>
  <c r="I72" i="9"/>
  <c r="I58" i="9"/>
  <c r="M72" i="9"/>
  <c r="M58" i="9"/>
  <c r="H52" i="9"/>
  <c r="H66" i="9"/>
  <c r="L52" i="9"/>
  <c r="L66" i="9"/>
  <c r="G75" i="9"/>
  <c r="G61" i="9"/>
  <c r="K75" i="9"/>
  <c r="K61" i="9"/>
  <c r="C56" i="9"/>
  <c r="C70" i="9"/>
  <c r="I70" i="9"/>
  <c r="I56" i="9"/>
  <c r="M70" i="9"/>
  <c r="M56" i="9"/>
  <c r="H65" i="9"/>
  <c r="H51" i="9"/>
  <c r="L65" i="9"/>
  <c r="N65" i="9" s="1"/>
  <c r="L51" i="9"/>
  <c r="N51" i="9" s="1"/>
  <c r="J48" i="9"/>
  <c r="C69" i="9"/>
  <c r="C55" i="9"/>
  <c r="I69" i="9"/>
  <c r="I55" i="9"/>
  <c r="M69" i="9"/>
  <c r="M55" i="9"/>
  <c r="H50" i="9"/>
  <c r="H48" i="9" s="1"/>
  <c r="H64" i="9"/>
  <c r="L50" i="9"/>
  <c r="N50" i="9" s="1"/>
  <c r="L64" i="9"/>
  <c r="E76" i="9"/>
  <c r="E62" i="9"/>
  <c r="J76" i="9"/>
  <c r="J62" i="9"/>
  <c r="H71" i="9"/>
  <c r="H57" i="9"/>
  <c r="L71" i="9"/>
  <c r="N71" i="9" s="1"/>
  <c r="L57" i="9"/>
  <c r="N57" i="9" s="1"/>
  <c r="N34" i="7"/>
  <c r="N42" i="7"/>
  <c r="N47" i="7"/>
  <c r="N39" i="7"/>
  <c r="N37" i="7"/>
  <c r="N43" i="7"/>
  <c r="M45" i="7"/>
  <c r="N33" i="7"/>
  <c r="N40" i="7"/>
  <c r="N44" i="7"/>
  <c r="N36" i="7"/>
  <c r="N35" i="7"/>
  <c r="M73" i="7"/>
  <c r="M59" i="7"/>
  <c r="L76" i="7"/>
  <c r="L62" i="7"/>
  <c r="N38" i="7"/>
  <c r="L59" i="7"/>
  <c r="L73" i="7"/>
  <c r="L75" i="7"/>
  <c r="L61" i="7"/>
  <c r="L51" i="7"/>
  <c r="L65" i="7"/>
  <c r="N49" i="7"/>
  <c r="L64" i="7"/>
  <c r="L50" i="7"/>
  <c r="L67" i="7"/>
  <c r="L53" i="7"/>
  <c r="L68" i="7"/>
  <c r="L54" i="7"/>
  <c r="L72" i="7"/>
  <c r="L58" i="7"/>
  <c r="M53" i="7"/>
  <c r="M67" i="7"/>
  <c r="N41" i="7"/>
  <c r="M68" i="7"/>
  <c r="M54" i="7"/>
  <c r="L45" i="7"/>
  <c r="N46" i="7"/>
  <c r="L60" i="7"/>
  <c r="L74" i="7"/>
  <c r="L52" i="7"/>
  <c r="L66" i="7"/>
  <c r="L56" i="7"/>
  <c r="L70" i="7"/>
  <c r="L55" i="7"/>
  <c r="L69" i="7"/>
  <c r="M60" i="7"/>
  <c r="M74" i="7"/>
  <c r="M72" i="7"/>
  <c r="M58" i="7"/>
  <c r="M52" i="7"/>
  <c r="M66" i="7"/>
  <c r="M61" i="7"/>
  <c r="M75" i="7"/>
  <c r="M56" i="7"/>
  <c r="M70" i="7"/>
  <c r="M65" i="7"/>
  <c r="M51" i="7"/>
  <c r="C67" i="7"/>
  <c r="C53" i="7"/>
  <c r="C73" i="7"/>
  <c r="C59" i="7"/>
  <c r="C68" i="7"/>
  <c r="C54" i="7"/>
  <c r="C45" i="7"/>
  <c r="C74" i="7"/>
  <c r="C60" i="7"/>
  <c r="C31" i="7"/>
  <c r="C72" i="7"/>
  <c r="C58" i="7"/>
  <c r="C66" i="7"/>
  <c r="C52" i="7"/>
  <c r="C75" i="7"/>
  <c r="C61" i="7"/>
  <c r="C70" i="7"/>
  <c r="C56" i="7"/>
  <c r="C65" i="7"/>
  <c r="C51" i="7"/>
  <c r="C69" i="7"/>
  <c r="C55" i="7"/>
  <c r="C64" i="7"/>
  <c r="C50" i="7"/>
  <c r="C71" i="7"/>
  <c r="C57" i="7"/>
  <c r="C76" i="7"/>
  <c r="C62" i="7"/>
  <c r="L71" i="7"/>
  <c r="L57" i="7"/>
  <c r="M69" i="7"/>
  <c r="M55" i="7"/>
  <c r="M64" i="7"/>
  <c r="M50" i="7"/>
  <c r="M76" i="7"/>
  <c r="M62" i="7"/>
  <c r="M57" i="7"/>
  <c r="M71" i="7"/>
  <c r="N5" i="7"/>
  <c r="N17" i="9"/>
  <c r="N20" i="9"/>
  <c r="N24" i="9"/>
  <c r="N27" i="9"/>
  <c r="N27" i="11"/>
  <c r="N27" i="7"/>
  <c r="N5" i="9"/>
  <c r="N7" i="9"/>
  <c r="N9" i="9"/>
  <c r="N16" i="9"/>
  <c r="N18" i="9"/>
  <c r="N21" i="9"/>
  <c r="N25" i="9"/>
  <c r="N29" i="9"/>
  <c r="N18" i="11"/>
  <c r="N2" i="7"/>
  <c r="N4" i="7"/>
  <c r="N6" i="7"/>
  <c r="N11" i="7"/>
  <c r="N12" i="7"/>
  <c r="N7" i="7"/>
  <c r="N9" i="7"/>
  <c r="N8" i="7"/>
  <c r="N10" i="7"/>
  <c r="N13" i="7"/>
  <c r="N15" i="7"/>
  <c r="N17" i="7"/>
  <c r="N14" i="7"/>
  <c r="N16" i="7"/>
  <c r="N18" i="7"/>
  <c r="N24" i="7"/>
  <c r="N22" i="7"/>
  <c r="N25" i="7"/>
  <c r="N19" i="7"/>
  <c r="N20" i="7"/>
  <c r="N21" i="7"/>
  <c r="N23" i="7"/>
  <c r="N28" i="7"/>
  <c r="N26" i="7"/>
  <c r="N30" i="7"/>
  <c r="N29" i="7"/>
  <c r="N2" i="9"/>
  <c r="N4" i="9"/>
  <c r="N6" i="9"/>
  <c r="N8" i="9"/>
  <c r="N13" i="9"/>
  <c r="N10" i="9"/>
  <c r="N11" i="9"/>
  <c r="N12" i="9"/>
  <c r="N14" i="9"/>
  <c r="N15" i="9"/>
  <c r="N19" i="9"/>
  <c r="N22" i="9"/>
  <c r="N23" i="9"/>
  <c r="N26" i="9"/>
  <c r="N28" i="9"/>
  <c r="N30" i="9"/>
  <c r="N7" i="11"/>
  <c r="N8" i="11"/>
  <c r="N21" i="11"/>
  <c r="N4" i="11"/>
  <c r="N6" i="11"/>
  <c r="N16" i="11"/>
  <c r="N19" i="11"/>
  <c r="N5" i="11"/>
  <c r="N9" i="11"/>
  <c r="N10" i="11"/>
  <c r="N13" i="11"/>
  <c r="N28" i="11"/>
  <c r="N22" i="11"/>
  <c r="N24" i="11"/>
  <c r="N29" i="11"/>
  <c r="N30" i="11"/>
  <c r="N2" i="11"/>
  <c r="N11" i="11"/>
  <c r="N12" i="11"/>
  <c r="N14" i="11"/>
  <c r="N17" i="11"/>
  <c r="N20" i="11"/>
  <c r="N15" i="11"/>
  <c r="N25" i="11"/>
  <c r="N23" i="11"/>
  <c r="N26" i="11"/>
  <c r="E63" i="11" l="1"/>
  <c r="M63" i="11"/>
  <c r="N50" i="11"/>
  <c r="N51" i="11"/>
  <c r="N55" i="11"/>
  <c r="N70" i="11"/>
  <c r="N68" i="11"/>
  <c r="H63" i="11"/>
  <c r="N66" i="11"/>
  <c r="K63" i="11"/>
  <c r="N69" i="11"/>
  <c r="N56" i="11"/>
  <c r="N72" i="11"/>
  <c r="I63" i="11"/>
  <c r="N61" i="11"/>
  <c r="N45" i="11"/>
  <c r="N54" i="11"/>
  <c r="N57" i="11"/>
  <c r="N52" i="11"/>
  <c r="N48" i="11" s="1"/>
  <c r="N58" i="11"/>
  <c r="N74" i="11"/>
  <c r="N59" i="11"/>
  <c r="N75" i="11"/>
  <c r="C63" i="11"/>
  <c r="N71" i="11"/>
  <c r="N64" i="11"/>
  <c r="L63" i="11"/>
  <c r="N65" i="11"/>
  <c r="G63" i="11"/>
  <c r="C48" i="11"/>
  <c r="N60" i="11"/>
  <c r="N73" i="11"/>
  <c r="N66" i="9"/>
  <c r="M48" i="9"/>
  <c r="N52" i="9"/>
  <c r="N61" i="9"/>
  <c r="N55" i="9"/>
  <c r="N70" i="9"/>
  <c r="L48" i="9"/>
  <c r="K63" i="9"/>
  <c r="N69" i="9"/>
  <c r="N56" i="9"/>
  <c r="N48" i="9" s="1"/>
  <c r="N72" i="9"/>
  <c r="N62" i="9"/>
  <c r="N75" i="9"/>
  <c r="H63" i="9"/>
  <c r="N64" i="9"/>
  <c r="L63" i="9"/>
  <c r="C48" i="9"/>
  <c r="N58" i="9"/>
  <c r="N74" i="9"/>
  <c r="I63" i="9"/>
  <c r="J63" i="9"/>
  <c r="M63" i="9"/>
  <c r="G63" i="9"/>
  <c r="N60" i="9"/>
  <c r="C63" i="9"/>
  <c r="N45" i="7"/>
  <c r="N73" i="7"/>
  <c r="N53" i="7"/>
  <c r="N66" i="7"/>
  <c r="N72" i="7"/>
  <c r="N67" i="7"/>
  <c r="N59" i="7"/>
  <c r="M48" i="7"/>
  <c r="N61" i="7"/>
  <c r="N58" i="7"/>
  <c r="C63" i="7"/>
  <c r="N56" i="7"/>
  <c r="N60" i="7"/>
  <c r="L48" i="7"/>
  <c r="N69" i="7"/>
  <c r="N75" i="7"/>
  <c r="N57" i="7"/>
  <c r="C48" i="7"/>
  <c r="N55" i="7"/>
  <c r="N52" i="7"/>
  <c r="N54" i="7"/>
  <c r="N50" i="7"/>
  <c r="N65" i="7"/>
  <c r="N62" i="7"/>
  <c r="M63" i="7"/>
  <c r="N71" i="7"/>
  <c r="N70" i="7"/>
  <c r="N74" i="7"/>
  <c r="N68" i="7"/>
  <c r="N64" i="7"/>
  <c r="L63" i="7"/>
  <c r="N51" i="7"/>
  <c r="N76" i="7"/>
  <c r="N63" i="11" l="1"/>
  <c r="N63" i="9"/>
  <c r="N63" i="7"/>
  <c r="N48" i="7"/>
  <c r="M3" i="11" l="1"/>
  <c r="M32" i="11" s="1"/>
  <c r="M31" i="11" s="1"/>
  <c r="L3" i="11"/>
  <c r="L32" i="11" s="1"/>
  <c r="M32" i="9"/>
  <c r="M31" i="9" s="1"/>
  <c r="L32" i="9"/>
  <c r="M3" i="7"/>
  <c r="M32" i="7" s="1"/>
  <c r="M31" i="7" s="1"/>
  <c r="L3" i="7"/>
  <c r="L32" i="7" s="1"/>
  <c r="L31" i="11" l="1"/>
  <c r="N32" i="11"/>
  <c r="N31" i="11" s="1"/>
  <c r="N32" i="9"/>
  <c r="N31" i="9" s="1"/>
  <c r="L31" i="9"/>
  <c r="L31" i="7"/>
  <c r="N32" i="7"/>
  <c r="N31" i="7" s="1"/>
  <c r="N3" i="7"/>
  <c r="N3" i="11"/>
  <c r="N3" i="9"/>
  <c r="AD30" i="1"/>
  <c r="J30" i="7" s="1"/>
  <c r="J35" i="7" s="1"/>
  <c r="AC30" i="1"/>
  <c r="I30" i="7" s="1"/>
  <c r="I35" i="7" s="1"/>
  <c r="AB30" i="1"/>
  <c r="H30" i="7" s="1"/>
  <c r="H35" i="7" s="1"/>
  <c r="AA30" i="1"/>
  <c r="E30" i="7" s="1"/>
  <c r="E35" i="7" s="1"/>
  <c r="Z30" i="1"/>
  <c r="K30" i="7" s="1"/>
  <c r="K35" i="7" s="1"/>
  <c r="AD29" i="1"/>
  <c r="J29" i="7" s="1"/>
  <c r="AC29" i="1"/>
  <c r="I29" i="7" s="1"/>
  <c r="AB29" i="1"/>
  <c r="H29" i="7" s="1"/>
  <c r="AA29" i="1"/>
  <c r="Z29" i="1"/>
  <c r="K29" i="7" s="1"/>
  <c r="AD28" i="1"/>
  <c r="J28" i="7" s="1"/>
  <c r="J43" i="7" s="1"/>
  <c r="AC28" i="1"/>
  <c r="I28" i="7" s="1"/>
  <c r="I43" i="7" s="1"/>
  <c r="AB28" i="1"/>
  <c r="H28" i="7" s="1"/>
  <c r="H43" i="7" s="1"/>
  <c r="AA28" i="1"/>
  <c r="E28" i="7" s="1"/>
  <c r="E43" i="7" s="1"/>
  <c r="Z28" i="1"/>
  <c r="K28" i="7" s="1"/>
  <c r="K43" i="7" s="1"/>
  <c r="AD27" i="1"/>
  <c r="J27" i="7" s="1"/>
  <c r="AC27" i="1"/>
  <c r="I27" i="7" s="1"/>
  <c r="AB27" i="1"/>
  <c r="H27" i="7" s="1"/>
  <c r="AA27" i="1"/>
  <c r="E27" i="7" s="1"/>
  <c r="Z27" i="1"/>
  <c r="K27" i="7" s="1"/>
  <c r="AD26" i="1"/>
  <c r="J26" i="7" s="1"/>
  <c r="J36" i="7" s="1"/>
  <c r="AC26" i="1"/>
  <c r="I26" i="7" s="1"/>
  <c r="I36" i="7" s="1"/>
  <c r="AB26" i="1"/>
  <c r="H26" i="7" s="1"/>
  <c r="H36" i="7" s="1"/>
  <c r="AA26" i="1"/>
  <c r="E26" i="7" s="1"/>
  <c r="E36" i="7" s="1"/>
  <c r="Z26" i="1"/>
  <c r="K26" i="7" s="1"/>
  <c r="K36" i="7" s="1"/>
  <c r="AD25" i="1"/>
  <c r="J25" i="7" s="1"/>
  <c r="AC25" i="1"/>
  <c r="I25" i="7" s="1"/>
  <c r="AB25" i="1"/>
  <c r="H25" i="7" s="1"/>
  <c r="AA25" i="1"/>
  <c r="E25" i="7" s="1"/>
  <c r="Z25" i="1"/>
  <c r="K25" i="7" s="1"/>
  <c r="AD24" i="1"/>
  <c r="J24" i="7" s="1"/>
  <c r="AC24" i="1"/>
  <c r="I24" i="7" s="1"/>
  <c r="AB24" i="1"/>
  <c r="H24" i="7" s="1"/>
  <c r="AA24" i="1"/>
  <c r="E24" i="7" s="1"/>
  <c r="Z24" i="1"/>
  <c r="K24" i="7" s="1"/>
  <c r="AD23" i="1"/>
  <c r="J23" i="7" s="1"/>
  <c r="J49" i="7" s="1"/>
  <c r="AC23" i="1"/>
  <c r="I23" i="7" s="1"/>
  <c r="I49" i="7" s="1"/>
  <c r="AB23" i="1"/>
  <c r="H23" i="7" s="1"/>
  <c r="H49" i="7" s="1"/>
  <c r="AA23" i="1"/>
  <c r="E23" i="7" s="1"/>
  <c r="E49" i="7" s="1"/>
  <c r="Z23" i="1"/>
  <c r="K23" i="7" s="1"/>
  <c r="K49" i="7" s="1"/>
  <c r="AD22" i="1"/>
  <c r="J22" i="7" s="1"/>
  <c r="J37" i="7" s="1"/>
  <c r="AC22" i="1"/>
  <c r="I22" i="7" s="1"/>
  <c r="I37" i="7" s="1"/>
  <c r="AB22" i="1"/>
  <c r="H22" i="7" s="1"/>
  <c r="H37" i="7" s="1"/>
  <c r="AA22" i="1"/>
  <c r="E22" i="7" s="1"/>
  <c r="E37" i="7" s="1"/>
  <c r="Z22" i="1"/>
  <c r="K22" i="7" s="1"/>
  <c r="K37" i="7" s="1"/>
  <c r="AD21" i="1"/>
  <c r="J21" i="7" s="1"/>
  <c r="AC21" i="1"/>
  <c r="I21" i="7" s="1"/>
  <c r="AB21" i="1"/>
  <c r="H21" i="7" s="1"/>
  <c r="AA21" i="1"/>
  <c r="E21" i="7" s="1"/>
  <c r="Z21" i="1"/>
  <c r="K21" i="7" s="1"/>
  <c r="AD20" i="1"/>
  <c r="J20" i="7" s="1"/>
  <c r="AC20" i="1"/>
  <c r="I20" i="7" s="1"/>
  <c r="AB20" i="1"/>
  <c r="H20" i="7" s="1"/>
  <c r="AA20" i="1"/>
  <c r="E20" i="7" s="1"/>
  <c r="Z20" i="1"/>
  <c r="K20" i="7" s="1"/>
  <c r="AD19" i="1"/>
  <c r="J19" i="7" s="1"/>
  <c r="J42" i="7" s="1"/>
  <c r="AC19" i="1"/>
  <c r="I19" i="7" s="1"/>
  <c r="I42" i="7" s="1"/>
  <c r="AB19" i="1"/>
  <c r="H19" i="7" s="1"/>
  <c r="H42" i="7" s="1"/>
  <c r="AA19" i="1"/>
  <c r="E19" i="7" s="1"/>
  <c r="E42" i="7" s="1"/>
  <c r="Z19" i="1"/>
  <c r="K19" i="7" s="1"/>
  <c r="K42" i="7" s="1"/>
  <c r="AD18" i="1"/>
  <c r="J18" i="7" s="1"/>
  <c r="AC18" i="1"/>
  <c r="I18" i="7" s="1"/>
  <c r="AB18" i="1"/>
  <c r="H18" i="7" s="1"/>
  <c r="AA18" i="1"/>
  <c r="Z18" i="1"/>
  <c r="K18" i="7" s="1"/>
  <c r="AD17" i="1"/>
  <c r="J17" i="7" s="1"/>
  <c r="AC17" i="1"/>
  <c r="I17" i="7" s="1"/>
  <c r="AB17" i="1"/>
  <c r="H17" i="7" s="1"/>
  <c r="AA17" i="1"/>
  <c r="Z17" i="1"/>
  <c r="K17" i="7" s="1"/>
  <c r="AD16" i="1"/>
  <c r="J16" i="7" s="1"/>
  <c r="AC16" i="1"/>
  <c r="I16" i="7" s="1"/>
  <c r="AB16" i="1"/>
  <c r="H16" i="7" s="1"/>
  <c r="AA16" i="1"/>
  <c r="Z16" i="1"/>
  <c r="K16" i="7" s="1"/>
  <c r="AD15" i="1"/>
  <c r="J15" i="7" s="1"/>
  <c r="J44" i="7" s="1"/>
  <c r="AC15" i="1"/>
  <c r="I15" i="7" s="1"/>
  <c r="I44" i="7" s="1"/>
  <c r="AB15" i="1"/>
  <c r="H15" i="7" s="1"/>
  <c r="H44" i="7" s="1"/>
  <c r="AA15" i="1"/>
  <c r="Z15" i="1"/>
  <c r="K15" i="7" s="1"/>
  <c r="K44" i="7" s="1"/>
  <c r="AD14" i="1"/>
  <c r="J14" i="7" s="1"/>
  <c r="J34" i="7" s="1"/>
  <c r="AC14" i="1"/>
  <c r="I14" i="7" s="1"/>
  <c r="I34" i="7" s="1"/>
  <c r="AB14" i="1"/>
  <c r="H14" i="7" s="1"/>
  <c r="H34" i="7" s="1"/>
  <c r="AA14" i="1"/>
  <c r="Z14" i="1"/>
  <c r="K14" i="7" s="1"/>
  <c r="K34" i="7" s="1"/>
  <c r="AD13" i="1"/>
  <c r="J13" i="7" s="1"/>
  <c r="J33" i="7" s="1"/>
  <c r="AC13" i="1"/>
  <c r="I13" i="7" s="1"/>
  <c r="I33" i="7" s="1"/>
  <c r="AB13" i="1"/>
  <c r="H13" i="7" s="1"/>
  <c r="H33" i="7" s="1"/>
  <c r="AA13" i="1"/>
  <c r="Z13" i="1"/>
  <c r="K13" i="7" s="1"/>
  <c r="K33" i="7" s="1"/>
  <c r="AD12" i="1"/>
  <c r="J12" i="7" s="1"/>
  <c r="AC12" i="1"/>
  <c r="I12" i="7" s="1"/>
  <c r="AB12" i="1"/>
  <c r="H12" i="7" s="1"/>
  <c r="AA12" i="1"/>
  <c r="Z12" i="1"/>
  <c r="K12" i="7" s="1"/>
  <c r="AD11" i="1"/>
  <c r="J11" i="7" s="1"/>
  <c r="J39" i="7" s="1"/>
  <c r="AC11" i="1"/>
  <c r="I11" i="7" s="1"/>
  <c r="I39" i="7" s="1"/>
  <c r="AB11" i="1"/>
  <c r="H11" i="7" s="1"/>
  <c r="H39" i="7" s="1"/>
  <c r="AA11" i="1"/>
  <c r="Z11" i="1"/>
  <c r="K11" i="7" s="1"/>
  <c r="K39" i="7" s="1"/>
  <c r="AD10" i="1"/>
  <c r="J10" i="7" s="1"/>
  <c r="J46" i="7" s="1"/>
  <c r="AC10" i="1"/>
  <c r="I10" i="7" s="1"/>
  <c r="I46" i="7" s="1"/>
  <c r="AB10" i="1"/>
  <c r="H10" i="7" s="1"/>
  <c r="H46" i="7" s="1"/>
  <c r="AA10" i="1"/>
  <c r="Z10" i="1"/>
  <c r="K10" i="7" s="1"/>
  <c r="K46" i="7" s="1"/>
  <c r="AD9" i="1"/>
  <c r="J9" i="7" s="1"/>
  <c r="AC9" i="1"/>
  <c r="I9" i="7" s="1"/>
  <c r="AB9" i="1"/>
  <c r="H9" i="7" s="1"/>
  <c r="Z9" i="1"/>
  <c r="K9" i="7" s="1"/>
  <c r="AD8" i="1"/>
  <c r="J8" i="7" s="1"/>
  <c r="J41" i="7" s="1"/>
  <c r="AC8" i="1"/>
  <c r="I8" i="7" s="1"/>
  <c r="I41" i="7" s="1"/>
  <c r="AB8" i="1"/>
  <c r="H8" i="7" s="1"/>
  <c r="H41" i="7" s="1"/>
  <c r="AA8" i="1"/>
  <c r="Z8" i="1"/>
  <c r="K8" i="7" s="1"/>
  <c r="K41" i="7" s="1"/>
  <c r="AD7" i="1"/>
  <c r="J7" i="7" s="1"/>
  <c r="AC7" i="1"/>
  <c r="I7" i="7" s="1"/>
  <c r="AB7" i="1"/>
  <c r="H7" i="7" s="1"/>
  <c r="AA7" i="1"/>
  <c r="Z7" i="1"/>
  <c r="K7" i="7" s="1"/>
  <c r="AD6" i="1"/>
  <c r="J6" i="7" s="1"/>
  <c r="J47" i="7" s="1"/>
  <c r="AC6" i="1"/>
  <c r="I6" i="7" s="1"/>
  <c r="I47" i="7" s="1"/>
  <c r="AB6" i="1"/>
  <c r="H6" i="7" s="1"/>
  <c r="H47" i="7" s="1"/>
  <c r="AA6" i="1"/>
  <c r="Z6" i="1"/>
  <c r="K6" i="7" s="1"/>
  <c r="K47" i="7" s="1"/>
  <c r="AD5" i="1"/>
  <c r="J5" i="7" s="1"/>
  <c r="AC5" i="1"/>
  <c r="I5" i="7" s="1"/>
  <c r="AB5" i="1"/>
  <c r="H5" i="7" s="1"/>
  <c r="AA5" i="1"/>
  <c r="Z5" i="1"/>
  <c r="K5" i="7" s="1"/>
  <c r="AD4" i="1"/>
  <c r="J4" i="7" s="1"/>
  <c r="J40" i="7" s="1"/>
  <c r="AC4" i="1"/>
  <c r="I4" i="7" s="1"/>
  <c r="I40" i="7" s="1"/>
  <c r="AB4" i="1"/>
  <c r="H4" i="7" s="1"/>
  <c r="H40" i="7" s="1"/>
  <c r="AA4" i="1"/>
  <c r="Z4" i="1"/>
  <c r="K4" i="7" s="1"/>
  <c r="K40" i="7" s="1"/>
  <c r="AD3" i="1"/>
  <c r="J3" i="7" s="1"/>
  <c r="J32" i="7" s="1"/>
  <c r="AC3" i="1"/>
  <c r="I3" i="7" s="1"/>
  <c r="I32" i="7" s="1"/>
  <c r="AB3" i="1"/>
  <c r="H3" i="7" s="1"/>
  <c r="H32" i="7" s="1"/>
  <c r="AA3" i="1"/>
  <c r="Z3" i="1"/>
  <c r="K3" i="7" s="1"/>
  <c r="K32" i="7" s="1"/>
  <c r="AD2" i="1"/>
  <c r="J2" i="7" s="1"/>
  <c r="J38" i="7" s="1"/>
  <c r="AC2" i="1"/>
  <c r="I2" i="7" s="1"/>
  <c r="I38" i="7" s="1"/>
  <c r="AB2" i="1"/>
  <c r="H2" i="7" s="1"/>
  <c r="H38" i="7" s="1"/>
  <c r="AA2" i="1"/>
  <c r="Z2" i="1"/>
  <c r="K2" i="7" s="1"/>
  <c r="K38" i="7" s="1"/>
  <c r="I45" i="7" l="1"/>
  <c r="J31" i="7"/>
  <c r="H67" i="7"/>
  <c r="H53" i="7"/>
  <c r="K59" i="7"/>
  <c r="K73" i="7"/>
  <c r="J73" i="7"/>
  <c r="J59" i="7"/>
  <c r="I68" i="7"/>
  <c r="I54" i="7"/>
  <c r="K45" i="7"/>
  <c r="J45" i="7"/>
  <c r="H60" i="7"/>
  <c r="H74" i="7"/>
  <c r="H52" i="7"/>
  <c r="H66" i="7"/>
  <c r="I61" i="7"/>
  <c r="I75" i="7"/>
  <c r="H56" i="7"/>
  <c r="H70" i="7"/>
  <c r="I65" i="7"/>
  <c r="I51" i="7"/>
  <c r="H55" i="7"/>
  <c r="H69" i="7"/>
  <c r="I64" i="7"/>
  <c r="I50" i="7"/>
  <c r="K62" i="7"/>
  <c r="K76" i="7"/>
  <c r="J62" i="7"/>
  <c r="J76" i="7"/>
  <c r="I57" i="7"/>
  <c r="I71" i="7"/>
  <c r="I53" i="7"/>
  <c r="I67" i="7"/>
  <c r="J54" i="7"/>
  <c r="J68" i="7"/>
  <c r="I60" i="7"/>
  <c r="I74" i="7"/>
  <c r="H72" i="7"/>
  <c r="H58" i="7"/>
  <c r="I52" i="7"/>
  <c r="I66" i="7"/>
  <c r="K75" i="7"/>
  <c r="K61" i="7"/>
  <c r="J61" i="7"/>
  <c r="J75" i="7"/>
  <c r="I56" i="7"/>
  <c r="I70" i="7"/>
  <c r="K51" i="7"/>
  <c r="K65" i="7"/>
  <c r="J65" i="7"/>
  <c r="J51" i="7"/>
  <c r="I69" i="7"/>
  <c r="I55" i="7"/>
  <c r="K50" i="7"/>
  <c r="K64" i="7"/>
  <c r="J50" i="7"/>
  <c r="J64" i="7"/>
  <c r="E76" i="7"/>
  <c r="E62" i="7"/>
  <c r="K71" i="7"/>
  <c r="K57" i="7"/>
  <c r="J57" i="7"/>
  <c r="J71" i="7"/>
  <c r="K67" i="7"/>
  <c r="K53" i="7"/>
  <c r="J53" i="7"/>
  <c r="J67" i="7"/>
  <c r="H59" i="7"/>
  <c r="H73" i="7"/>
  <c r="K54" i="7"/>
  <c r="K68" i="7"/>
  <c r="H45" i="7"/>
  <c r="K74" i="7"/>
  <c r="K60" i="7"/>
  <c r="J74" i="7"/>
  <c r="J60" i="7"/>
  <c r="I72" i="7"/>
  <c r="I58" i="7"/>
  <c r="K66" i="7"/>
  <c r="K52" i="7"/>
  <c r="J66" i="7"/>
  <c r="J52" i="7"/>
  <c r="K70" i="7"/>
  <c r="K56" i="7"/>
  <c r="J70" i="7"/>
  <c r="J56" i="7"/>
  <c r="E65" i="7"/>
  <c r="E51" i="7"/>
  <c r="K55" i="7"/>
  <c r="K69" i="7"/>
  <c r="J69" i="7"/>
  <c r="J55" i="7"/>
  <c r="E64" i="7"/>
  <c r="E50" i="7"/>
  <c r="H76" i="7"/>
  <c r="H62" i="7"/>
  <c r="I31" i="7"/>
  <c r="I73" i="7"/>
  <c r="I59" i="7"/>
  <c r="H68" i="7"/>
  <c r="H54" i="7"/>
  <c r="K31" i="7"/>
  <c r="H31" i="7"/>
  <c r="K58" i="7"/>
  <c r="K72" i="7"/>
  <c r="J58" i="7"/>
  <c r="J72" i="7"/>
  <c r="H75" i="7"/>
  <c r="H61" i="7"/>
  <c r="E56" i="7"/>
  <c r="E70" i="7"/>
  <c r="H65" i="7"/>
  <c r="H51" i="7"/>
  <c r="E69" i="7"/>
  <c r="E55" i="7"/>
  <c r="H64" i="7"/>
  <c r="H50" i="7"/>
  <c r="I76" i="7"/>
  <c r="I62" i="7"/>
  <c r="H71" i="7"/>
  <c r="H57" i="7"/>
  <c r="G29" i="7"/>
  <c r="E29" i="7"/>
  <c r="G2" i="7"/>
  <c r="G38" i="7" s="1"/>
  <c r="E2" i="7"/>
  <c r="E38" i="7" s="1"/>
  <c r="G3" i="7"/>
  <c r="G32" i="7" s="1"/>
  <c r="E3" i="7"/>
  <c r="E32" i="7" s="1"/>
  <c r="G4" i="7"/>
  <c r="G40" i="7" s="1"/>
  <c r="E4" i="7"/>
  <c r="E40" i="7" s="1"/>
  <c r="G5" i="7"/>
  <c r="E5" i="7"/>
  <c r="G6" i="7"/>
  <c r="G47" i="7" s="1"/>
  <c r="E6" i="7"/>
  <c r="G7" i="7"/>
  <c r="E7" i="7"/>
  <c r="G8" i="7"/>
  <c r="G41" i="7" s="1"/>
  <c r="E8" i="7"/>
  <c r="E41" i="7" s="1"/>
  <c r="G9" i="7"/>
  <c r="E9" i="7"/>
  <c r="G10" i="7"/>
  <c r="G46" i="7" s="1"/>
  <c r="G45" i="7" s="1"/>
  <c r="E10" i="7"/>
  <c r="G11" i="7"/>
  <c r="G39" i="7" s="1"/>
  <c r="E11" i="7"/>
  <c r="E39" i="7" s="1"/>
  <c r="G12" i="7"/>
  <c r="E12" i="7"/>
  <c r="E13" i="7"/>
  <c r="E33" i="7" s="1"/>
  <c r="G13" i="7"/>
  <c r="G33" i="7" s="1"/>
  <c r="G14" i="7"/>
  <c r="G34" i="7" s="1"/>
  <c r="E14" i="7"/>
  <c r="E34" i="7" s="1"/>
  <c r="G15" i="7"/>
  <c r="G44" i="7" s="1"/>
  <c r="E15" i="7"/>
  <c r="E44" i="7" s="1"/>
  <c r="G16" i="7"/>
  <c r="E16" i="7"/>
  <c r="G17" i="7"/>
  <c r="E17" i="7"/>
  <c r="E18" i="7"/>
  <c r="G18" i="7"/>
  <c r="G19" i="7"/>
  <c r="G42" i="7" s="1"/>
  <c r="G20" i="7"/>
  <c r="G21" i="7"/>
  <c r="G22" i="7"/>
  <c r="G37" i="7" s="1"/>
  <c r="G23" i="7"/>
  <c r="G49" i="7" s="1"/>
  <c r="G24" i="7"/>
  <c r="G25" i="7"/>
  <c r="G26" i="7"/>
  <c r="G36" i="7" s="1"/>
  <c r="G27" i="7"/>
  <c r="G28" i="7"/>
  <c r="G43" i="7" s="1"/>
  <c r="G30" i="7"/>
  <c r="G35" i="7" s="1"/>
  <c r="K48" i="7" l="1"/>
  <c r="J48" i="7"/>
  <c r="I48" i="7"/>
  <c r="G50" i="7"/>
  <c r="G64" i="7"/>
  <c r="E75" i="7"/>
  <c r="E61" i="7"/>
  <c r="G58" i="7"/>
  <c r="G72" i="7"/>
  <c r="G54" i="7"/>
  <c r="G68" i="7"/>
  <c r="G59" i="7"/>
  <c r="G73" i="7"/>
  <c r="G67" i="7"/>
  <c r="G53" i="7"/>
  <c r="G71" i="7"/>
  <c r="G57" i="7"/>
  <c r="K63" i="7"/>
  <c r="D9" i="11"/>
  <c r="D7" i="11"/>
  <c r="D30" i="7"/>
  <c r="D29" i="7"/>
  <c r="D28" i="7"/>
  <c r="D27" i="7"/>
  <c r="D26" i="7"/>
  <c r="D29" i="11"/>
  <c r="D25" i="11"/>
  <c r="D23" i="11"/>
  <c r="D49" i="11" s="1"/>
  <c r="D21" i="11"/>
  <c r="D19" i="11"/>
  <c r="D42" i="11" s="1"/>
  <c r="F42" i="11" s="1"/>
  <c r="D18" i="11"/>
  <c r="D16" i="11"/>
  <c r="D14" i="11"/>
  <c r="D34" i="11" s="1"/>
  <c r="F34" i="11" s="1"/>
  <c r="D13" i="11"/>
  <c r="D33" i="11" s="1"/>
  <c r="F33" i="11" s="1"/>
  <c r="D6" i="11"/>
  <c r="D47" i="11" s="1"/>
  <c r="F47" i="11" s="1"/>
  <c r="D4" i="11"/>
  <c r="D40" i="11" s="1"/>
  <c r="F40" i="11" s="1"/>
  <c r="D30" i="9"/>
  <c r="D35" i="9" s="1"/>
  <c r="D28" i="9"/>
  <c r="D43" i="9" s="1"/>
  <c r="F43" i="9" s="1"/>
  <c r="D27" i="9"/>
  <c r="D26" i="9"/>
  <c r="D36" i="9" s="1"/>
  <c r="F36" i="9" s="1"/>
  <c r="D24" i="9"/>
  <c r="D22" i="9"/>
  <c r="D37" i="9" s="1"/>
  <c r="F37" i="9" s="1"/>
  <c r="D20" i="9"/>
  <c r="D17" i="9"/>
  <c r="D15" i="9"/>
  <c r="D44" i="9" s="1"/>
  <c r="F44" i="9" s="1"/>
  <c r="D12" i="9"/>
  <c r="D11" i="9"/>
  <c r="D39" i="9" s="1"/>
  <c r="F39" i="9" s="1"/>
  <c r="D10" i="9"/>
  <c r="D46" i="9" s="1"/>
  <c r="D8" i="9"/>
  <c r="D41" i="9" s="1"/>
  <c r="F41" i="9" s="1"/>
  <c r="D6" i="9"/>
  <c r="D47" i="9" s="1"/>
  <c r="F47" i="9" s="1"/>
  <c r="D4" i="9"/>
  <c r="D40" i="9" s="1"/>
  <c r="F40" i="9" s="1"/>
  <c r="D10" i="11"/>
  <c r="D46" i="11" s="1"/>
  <c r="D8" i="11"/>
  <c r="D41" i="11" s="1"/>
  <c r="F41" i="11" s="1"/>
  <c r="D27" i="11"/>
  <c r="D11" i="11"/>
  <c r="D39" i="11" s="1"/>
  <c r="F39" i="11" s="1"/>
  <c r="D5" i="11"/>
  <c r="D29" i="9"/>
  <c r="D23" i="9"/>
  <c r="D49" i="9" s="1"/>
  <c r="D21" i="9"/>
  <c r="D18" i="9"/>
  <c r="D7" i="9"/>
  <c r="D2" i="9"/>
  <c r="D38" i="9" s="1"/>
  <c r="F38" i="9" s="1"/>
  <c r="D25" i="7"/>
  <c r="D24" i="7"/>
  <c r="D23" i="7"/>
  <c r="D22" i="7"/>
  <c r="D21" i="7"/>
  <c r="D20" i="7"/>
  <c r="D19" i="7"/>
  <c r="D18" i="7"/>
  <c r="D17" i="7"/>
  <c r="F17" i="7" s="1"/>
  <c r="D16" i="7"/>
  <c r="F16" i="7" s="1"/>
  <c r="D15" i="7"/>
  <c r="D14" i="7"/>
  <c r="D34" i="7" s="1"/>
  <c r="D13" i="7"/>
  <c r="D33" i="7" s="1"/>
  <c r="F33" i="7" s="1"/>
  <c r="D12" i="7"/>
  <c r="F12" i="7" s="1"/>
  <c r="D11" i="7"/>
  <c r="D39" i="7" s="1"/>
  <c r="F39" i="7" s="1"/>
  <c r="D10" i="7"/>
  <c r="D46" i="7" s="1"/>
  <c r="D9" i="7"/>
  <c r="F9" i="7" s="1"/>
  <c r="D8" i="7"/>
  <c r="D41" i="7" s="1"/>
  <c r="F41" i="7" s="1"/>
  <c r="D7" i="7"/>
  <c r="D6" i="7"/>
  <c r="D47" i="7" s="1"/>
  <c r="D5" i="7"/>
  <c r="F5" i="7" s="1"/>
  <c r="D4" i="7"/>
  <c r="D40" i="7" s="1"/>
  <c r="F40" i="7" s="1"/>
  <c r="D2" i="7"/>
  <c r="D38" i="7" s="1"/>
  <c r="F38" i="7" s="1"/>
  <c r="D30" i="11"/>
  <c r="D35" i="11" s="1"/>
  <c r="F35" i="11" s="1"/>
  <c r="D20" i="11"/>
  <c r="D17" i="11"/>
  <c r="D12" i="11"/>
  <c r="D2" i="11"/>
  <c r="D38" i="11" s="1"/>
  <c r="F38" i="11" s="1"/>
  <c r="D16" i="9"/>
  <c r="D13" i="9"/>
  <c r="D33" i="9" s="1"/>
  <c r="F33" i="9" s="1"/>
  <c r="D28" i="11"/>
  <c r="D43" i="11" s="1"/>
  <c r="F43" i="11" s="1"/>
  <c r="D22" i="11"/>
  <c r="D37" i="11" s="1"/>
  <c r="F37" i="11" s="1"/>
  <c r="D25" i="9"/>
  <c r="D19" i="9"/>
  <c r="D42" i="9" s="1"/>
  <c r="F42" i="9" s="1"/>
  <c r="D14" i="9"/>
  <c r="D34" i="9" s="1"/>
  <c r="F34" i="9" s="1"/>
  <c r="D26" i="11"/>
  <c r="D36" i="11" s="1"/>
  <c r="F36" i="11" s="1"/>
  <c r="D24" i="11"/>
  <c r="D15" i="11"/>
  <c r="D44" i="11" s="1"/>
  <c r="F44" i="11" s="1"/>
  <c r="D9" i="9"/>
  <c r="D5" i="9"/>
  <c r="D3" i="7"/>
  <c r="D32" i="7" s="1"/>
  <c r="F32" i="7" s="1"/>
  <c r="D3" i="11"/>
  <c r="D32" i="11" s="1"/>
  <c r="D3" i="9"/>
  <c r="D32" i="9" s="1"/>
  <c r="F32" i="9" s="1"/>
  <c r="G70" i="7"/>
  <c r="G56" i="7"/>
  <c r="E66" i="7"/>
  <c r="E52" i="7"/>
  <c r="E74" i="7"/>
  <c r="E60" i="7"/>
  <c r="E46" i="7"/>
  <c r="E47" i="7"/>
  <c r="H48" i="7"/>
  <c r="H63" i="7"/>
  <c r="G62" i="7"/>
  <c r="G76" i="7"/>
  <c r="G55" i="7"/>
  <c r="G69" i="7"/>
  <c r="G66" i="7"/>
  <c r="G52" i="7"/>
  <c r="G74" i="7"/>
  <c r="G60" i="7"/>
  <c r="J63" i="7"/>
  <c r="G51" i="7"/>
  <c r="G65" i="7"/>
  <c r="G75" i="7"/>
  <c r="G61" i="7"/>
  <c r="E72" i="7"/>
  <c r="E58" i="7"/>
  <c r="G31" i="7"/>
  <c r="E68" i="7"/>
  <c r="E54" i="7"/>
  <c r="E73" i="7"/>
  <c r="E59" i="7"/>
  <c r="E67" i="7"/>
  <c r="E53" i="7"/>
  <c r="E31" i="7"/>
  <c r="E71" i="7"/>
  <c r="E57" i="7"/>
  <c r="I63" i="7"/>
  <c r="D69" i="11" l="1"/>
  <c r="F69" i="11" s="1"/>
  <c r="D55" i="11"/>
  <c r="F55" i="11" s="1"/>
  <c r="D56" i="11"/>
  <c r="F56" i="11" s="1"/>
  <c r="D70" i="11"/>
  <c r="F70" i="11" s="1"/>
  <c r="D75" i="11"/>
  <c r="F75" i="11" s="1"/>
  <c r="D61" i="11"/>
  <c r="F61" i="11" s="1"/>
  <c r="D50" i="11"/>
  <c r="F50" i="11" s="1"/>
  <c r="D64" i="11"/>
  <c r="D54" i="11"/>
  <c r="F54" i="11" s="1"/>
  <c r="D68" i="11"/>
  <c r="F68" i="11" s="1"/>
  <c r="D62" i="11"/>
  <c r="F62" i="11" s="1"/>
  <c r="D76" i="11"/>
  <c r="F76" i="11" s="1"/>
  <c r="D71" i="11"/>
  <c r="F71" i="11" s="1"/>
  <c r="D57" i="11"/>
  <c r="F57" i="11" s="1"/>
  <c r="D60" i="11"/>
  <c r="F60" i="11" s="1"/>
  <c r="D74" i="11"/>
  <c r="F74" i="11" s="1"/>
  <c r="D51" i="11"/>
  <c r="F51" i="11" s="1"/>
  <c r="D65" i="11"/>
  <c r="F65" i="11" s="1"/>
  <c r="D31" i="11"/>
  <c r="F32" i="11"/>
  <c r="F31" i="11" s="1"/>
  <c r="D52" i="11"/>
  <c r="F52" i="11" s="1"/>
  <c r="D66" i="11"/>
  <c r="F66" i="11" s="1"/>
  <c r="D53" i="11"/>
  <c r="F53" i="11" s="1"/>
  <c r="D67" i="11"/>
  <c r="F67" i="11" s="1"/>
  <c r="D45" i="11"/>
  <c r="F46" i="11"/>
  <c r="F45" i="11" s="1"/>
  <c r="D58" i="11"/>
  <c r="F58" i="11" s="1"/>
  <c r="D72" i="11"/>
  <c r="F72" i="11" s="1"/>
  <c r="F49" i="11"/>
  <c r="F48" i="11" s="1"/>
  <c r="D73" i="11"/>
  <c r="F73" i="11" s="1"/>
  <c r="D59" i="11"/>
  <c r="F59" i="11" s="1"/>
  <c r="D76" i="9"/>
  <c r="F76" i="9" s="1"/>
  <c r="D62" i="9"/>
  <c r="F62" i="9" s="1"/>
  <c r="D67" i="9"/>
  <c r="F67" i="9" s="1"/>
  <c r="D53" i="9"/>
  <c r="F53" i="9" s="1"/>
  <c r="F49" i="9"/>
  <c r="D74" i="9"/>
  <c r="F74" i="9" s="1"/>
  <c r="D60" i="9"/>
  <c r="F60" i="9" s="1"/>
  <c r="D72" i="9"/>
  <c r="F72" i="9" s="1"/>
  <c r="D58" i="9"/>
  <c r="F58" i="9" s="1"/>
  <c r="F31" i="9"/>
  <c r="D68" i="9"/>
  <c r="F68" i="9" s="1"/>
  <c r="D54" i="9"/>
  <c r="F54" i="9" s="1"/>
  <c r="D73" i="9"/>
  <c r="F73" i="9" s="1"/>
  <c r="D59" i="9"/>
  <c r="F59" i="9" s="1"/>
  <c r="D71" i="9"/>
  <c r="F71" i="9" s="1"/>
  <c r="D57" i="9"/>
  <c r="F57" i="9" s="1"/>
  <c r="D69" i="9"/>
  <c r="F69" i="9" s="1"/>
  <c r="D55" i="9"/>
  <c r="F55" i="9" s="1"/>
  <c r="D31" i="9"/>
  <c r="F35" i="9"/>
  <c r="D64" i="9"/>
  <c r="D50" i="9"/>
  <c r="F50" i="9" s="1"/>
  <c r="D65" i="9"/>
  <c r="F65" i="9" s="1"/>
  <c r="D51" i="9"/>
  <c r="F51" i="9" s="1"/>
  <c r="D70" i="9"/>
  <c r="F70" i="9" s="1"/>
  <c r="D56" i="9"/>
  <c r="F56" i="9" s="1"/>
  <c r="D75" i="9"/>
  <c r="F75" i="9" s="1"/>
  <c r="D61" i="9"/>
  <c r="F61" i="9" s="1"/>
  <c r="D45" i="9"/>
  <c r="F46" i="9"/>
  <c r="F45" i="9" s="1"/>
  <c r="D66" i="9"/>
  <c r="F66" i="9" s="1"/>
  <c r="D52" i="9"/>
  <c r="F52" i="9" s="1"/>
  <c r="D44" i="7"/>
  <c r="F44" i="7" s="1"/>
  <c r="F15" i="7"/>
  <c r="F13" i="7"/>
  <c r="F10" i="7"/>
  <c r="F4" i="7"/>
  <c r="F8" i="7"/>
  <c r="F6" i="7"/>
  <c r="F11" i="7"/>
  <c r="E45" i="7"/>
  <c r="E63" i="7"/>
  <c r="E48" i="7"/>
  <c r="G48" i="7"/>
  <c r="F9" i="9"/>
  <c r="F15" i="11"/>
  <c r="F20" i="11"/>
  <c r="D59" i="7"/>
  <c r="F59" i="7" s="1"/>
  <c r="D73" i="7"/>
  <c r="F73" i="7" s="1"/>
  <c r="F34" i="7"/>
  <c r="D75" i="7"/>
  <c r="F75" i="7" s="1"/>
  <c r="D61" i="7"/>
  <c r="F61" i="7" s="1"/>
  <c r="D42" i="7"/>
  <c r="F42" i="7" s="1"/>
  <c r="F19" i="7"/>
  <c r="D65" i="7"/>
  <c r="F65" i="7" s="1"/>
  <c r="D51" i="7"/>
  <c r="F51" i="7" s="1"/>
  <c r="F21" i="7"/>
  <c r="D49" i="7"/>
  <c r="F49" i="7" s="1"/>
  <c r="F23" i="7"/>
  <c r="D64" i="7"/>
  <c r="F64" i="7" s="1"/>
  <c r="D50" i="7"/>
  <c r="F25" i="7"/>
  <c r="F2" i="9"/>
  <c r="F7" i="9"/>
  <c r="F8" i="11"/>
  <c r="F10" i="9"/>
  <c r="F15" i="9"/>
  <c r="F24" i="9"/>
  <c r="F26" i="9"/>
  <c r="F6" i="11"/>
  <c r="F18" i="11"/>
  <c r="F21" i="11"/>
  <c r="F23" i="11"/>
  <c r="F29" i="11"/>
  <c r="D71" i="7"/>
  <c r="F71" i="7" s="1"/>
  <c r="D57" i="7"/>
  <c r="F57" i="7" s="1"/>
  <c r="F29" i="7"/>
  <c r="F7" i="11"/>
  <c r="F18" i="7"/>
  <c r="F7" i="7"/>
  <c r="F5" i="9"/>
  <c r="F14" i="9"/>
  <c r="F16" i="9"/>
  <c r="F2" i="11"/>
  <c r="D45" i="7"/>
  <c r="F46" i="7"/>
  <c r="D74" i="7"/>
  <c r="F74" i="7" s="1"/>
  <c r="D60" i="7"/>
  <c r="F60" i="7" s="1"/>
  <c r="D66" i="7"/>
  <c r="D52" i="7"/>
  <c r="F52" i="7" s="1"/>
  <c r="D70" i="7"/>
  <c r="F70" i="7" s="1"/>
  <c r="D56" i="7"/>
  <c r="F56" i="7" s="1"/>
  <c r="F20" i="7"/>
  <c r="D69" i="7"/>
  <c r="F69" i="7" s="1"/>
  <c r="D55" i="7"/>
  <c r="F55" i="7" s="1"/>
  <c r="F24" i="7"/>
  <c r="F11" i="9"/>
  <c r="F27" i="9"/>
  <c r="F13" i="11"/>
  <c r="F16" i="11"/>
  <c r="D36" i="7"/>
  <c r="F36" i="7" s="1"/>
  <c r="F26" i="7"/>
  <c r="D35" i="7"/>
  <c r="F35" i="7" s="1"/>
  <c r="F30" i="7"/>
  <c r="F2" i="7"/>
  <c r="G63" i="7"/>
  <c r="F26" i="11"/>
  <c r="F19" i="9"/>
  <c r="F22" i="11"/>
  <c r="F28" i="11"/>
  <c r="F13" i="9"/>
  <c r="F12" i="11"/>
  <c r="F17" i="11"/>
  <c r="F30" i="11"/>
  <c r="D67" i="7"/>
  <c r="F67" i="7" s="1"/>
  <c r="D53" i="7"/>
  <c r="F53" i="7" s="1"/>
  <c r="D68" i="7"/>
  <c r="F68" i="7" s="1"/>
  <c r="D54" i="7"/>
  <c r="F54" i="7" s="1"/>
  <c r="D72" i="7"/>
  <c r="F72" i="7" s="1"/>
  <c r="D58" i="7"/>
  <c r="F58" i="7" s="1"/>
  <c r="F18" i="9"/>
  <c r="F23" i="9"/>
  <c r="F29" i="9"/>
  <c r="F5" i="11"/>
  <c r="F11" i="11"/>
  <c r="F10" i="11"/>
  <c r="F4" i="9"/>
  <c r="F8" i="9"/>
  <c r="F12" i="9"/>
  <c r="F17" i="9"/>
  <c r="F20" i="9"/>
  <c r="F30" i="9"/>
  <c r="F14" i="11"/>
  <c r="F19" i="11"/>
  <c r="F25" i="11"/>
  <c r="F14" i="7"/>
  <c r="F24" i="11"/>
  <c r="F25" i="9"/>
  <c r="F47" i="7"/>
  <c r="D37" i="7"/>
  <c r="F37" i="7" s="1"/>
  <c r="F22" i="7"/>
  <c r="F21" i="9"/>
  <c r="F27" i="11"/>
  <c r="F6" i="9"/>
  <c r="F22" i="9"/>
  <c r="F28" i="9"/>
  <c r="F4" i="11"/>
  <c r="D76" i="7"/>
  <c r="F76" i="7" s="1"/>
  <c r="D62" i="7"/>
  <c r="F27" i="7"/>
  <c r="D43" i="7"/>
  <c r="F43" i="7" s="1"/>
  <c r="F28" i="7"/>
  <c r="F9" i="11"/>
  <c r="D63" i="11" l="1"/>
  <c r="F64" i="11"/>
  <c r="F63" i="11" s="1"/>
  <c r="D48" i="11"/>
  <c r="F48" i="9"/>
  <c r="D63" i="9"/>
  <c r="F64" i="9"/>
  <c r="F63" i="9" s="1"/>
  <c r="D48" i="9"/>
  <c r="F31" i="7"/>
  <c r="D48" i="7"/>
  <c r="F50" i="7"/>
  <c r="D31" i="7"/>
  <c r="AO30" i="13"/>
  <c r="AO35" i="13" s="1"/>
  <c r="AA30" i="13"/>
  <c r="AA35" i="13" s="1"/>
  <c r="C30" i="13"/>
  <c r="C35" i="13" s="1"/>
  <c r="AN30" i="13"/>
  <c r="AN35" i="13" s="1"/>
  <c r="Z30" i="13"/>
  <c r="Z35" i="13" s="1"/>
  <c r="N30" i="13"/>
  <c r="N35" i="13" s="1"/>
  <c r="AC30" i="13"/>
  <c r="AC35" i="13" s="1"/>
  <c r="Y30" i="13"/>
  <c r="Y35" i="13" s="1"/>
  <c r="E30" i="13"/>
  <c r="E35" i="13" s="1"/>
  <c r="AB30" i="13"/>
  <c r="AB35" i="13" s="1"/>
  <c r="P30" i="13"/>
  <c r="P35" i="13" s="1"/>
  <c r="AB29" i="13"/>
  <c r="P29" i="13"/>
  <c r="AC28" i="13"/>
  <c r="AC43" i="13" s="1"/>
  <c r="Y28" i="13"/>
  <c r="Y43" i="13" s="1"/>
  <c r="E28" i="13"/>
  <c r="E43" i="13" s="1"/>
  <c r="AC27" i="13"/>
  <c r="Y27" i="13"/>
  <c r="E27" i="13"/>
  <c r="AO26" i="13"/>
  <c r="AO36" i="13" s="1"/>
  <c r="AA26" i="13"/>
  <c r="AA36" i="13" s="1"/>
  <c r="C26" i="13"/>
  <c r="C36" i="13" s="1"/>
  <c r="AB25" i="13"/>
  <c r="P25" i="13"/>
  <c r="AO24" i="13"/>
  <c r="AA24" i="13"/>
  <c r="C24" i="13"/>
  <c r="AB23" i="13"/>
  <c r="AB49" i="13" s="1"/>
  <c r="P23" i="13"/>
  <c r="P49" i="13" s="1"/>
  <c r="AC22" i="13"/>
  <c r="AC37" i="13" s="1"/>
  <c r="Y22" i="13"/>
  <c r="Y37" i="13" s="1"/>
  <c r="E22" i="13"/>
  <c r="E37" i="13" s="1"/>
  <c r="AB21" i="13"/>
  <c r="P21" i="13"/>
  <c r="AO20" i="13"/>
  <c r="AA20" i="13"/>
  <c r="C20" i="13"/>
  <c r="AB19" i="13"/>
  <c r="AB42" i="13" s="1"/>
  <c r="P19" i="13"/>
  <c r="P42" i="13" s="1"/>
  <c r="AB18" i="13"/>
  <c r="P18" i="13"/>
  <c r="AO29" i="13"/>
  <c r="AA29" i="13"/>
  <c r="C29" i="13"/>
  <c r="AB28" i="13"/>
  <c r="AB43" i="13" s="1"/>
  <c r="P28" i="13"/>
  <c r="P43" i="13" s="1"/>
  <c r="AB27" i="13"/>
  <c r="P27" i="13"/>
  <c r="AN26" i="13"/>
  <c r="AN36" i="13" s="1"/>
  <c r="AP36" i="13" s="1"/>
  <c r="Z26" i="13"/>
  <c r="Z36" i="13" s="1"/>
  <c r="N26" i="13"/>
  <c r="N36" i="13" s="1"/>
  <c r="AO25" i="13"/>
  <c r="AA25" i="13"/>
  <c r="C25" i="13"/>
  <c r="AN24" i="13"/>
  <c r="Z24" i="13"/>
  <c r="N24" i="13"/>
  <c r="AO23" i="13"/>
  <c r="AO49" i="13" s="1"/>
  <c r="AA23" i="13"/>
  <c r="AA49" i="13" s="1"/>
  <c r="C23" i="13"/>
  <c r="C49" i="13" s="1"/>
  <c r="AB22" i="13"/>
  <c r="AB37" i="13" s="1"/>
  <c r="P22" i="13"/>
  <c r="P37" i="13" s="1"/>
  <c r="AO21" i="13"/>
  <c r="AA21" i="13"/>
  <c r="C21" i="13"/>
  <c r="AN20" i="13"/>
  <c r="Z20" i="13"/>
  <c r="N20" i="13"/>
  <c r="AO19" i="13"/>
  <c r="AO42" i="13" s="1"/>
  <c r="AA19" i="13"/>
  <c r="AA42" i="13" s="1"/>
  <c r="C19" i="13"/>
  <c r="C42" i="13" s="1"/>
  <c r="AO18" i="13"/>
  <c r="AA18" i="13"/>
  <c r="C18" i="13"/>
  <c r="AN29" i="13"/>
  <c r="Z29" i="13"/>
  <c r="N29" i="13"/>
  <c r="AO28" i="13"/>
  <c r="AO43" i="13" s="1"/>
  <c r="AA28" i="13"/>
  <c r="AA43" i="13" s="1"/>
  <c r="C28" i="13"/>
  <c r="C43" i="13" s="1"/>
  <c r="AO27" i="13"/>
  <c r="AA27" i="13"/>
  <c r="C27" i="13"/>
  <c r="AC26" i="13"/>
  <c r="AC36" i="13" s="1"/>
  <c r="Y26" i="13"/>
  <c r="Y36" i="13" s="1"/>
  <c r="E26" i="13"/>
  <c r="E36" i="13" s="1"/>
  <c r="AN25" i="13"/>
  <c r="Z25" i="13"/>
  <c r="N25" i="13"/>
  <c r="AC24" i="13"/>
  <c r="Y24" i="13"/>
  <c r="E24" i="13"/>
  <c r="AN23" i="13"/>
  <c r="AN49" i="13" s="1"/>
  <c r="Z23" i="13"/>
  <c r="Z49" i="13" s="1"/>
  <c r="N23" i="13"/>
  <c r="N49" i="13" s="1"/>
  <c r="AO22" i="13"/>
  <c r="AO37" i="13" s="1"/>
  <c r="AA22" i="13"/>
  <c r="AA37" i="13" s="1"/>
  <c r="C22" i="13"/>
  <c r="C37" i="13" s="1"/>
  <c r="AN21" i="13"/>
  <c r="Z21" i="13"/>
  <c r="N21" i="13"/>
  <c r="AC20" i="13"/>
  <c r="Y20" i="13"/>
  <c r="E20" i="13"/>
  <c r="AN19" i="13"/>
  <c r="AN42" i="13" s="1"/>
  <c r="Z19" i="13"/>
  <c r="Z42" i="13" s="1"/>
  <c r="N19" i="13"/>
  <c r="N42" i="13" s="1"/>
  <c r="AN18" i="13"/>
  <c r="Z18" i="13"/>
  <c r="N18" i="13"/>
  <c r="AC29" i="13"/>
  <c r="Y29" i="13"/>
  <c r="E29" i="13"/>
  <c r="AN28" i="13"/>
  <c r="AN43" i="13" s="1"/>
  <c r="Z28" i="13"/>
  <c r="Z43" i="13" s="1"/>
  <c r="N28" i="13"/>
  <c r="N43" i="13" s="1"/>
  <c r="AN27" i="13"/>
  <c r="Z27" i="13"/>
  <c r="N27" i="13"/>
  <c r="AB26" i="13"/>
  <c r="AB36" i="13" s="1"/>
  <c r="P26" i="13"/>
  <c r="P36" i="13" s="1"/>
  <c r="AC25" i="13"/>
  <c r="Y25" i="13"/>
  <c r="E25" i="13"/>
  <c r="AB24" i="13"/>
  <c r="P24" i="13"/>
  <c r="AC23" i="13"/>
  <c r="AC49" i="13" s="1"/>
  <c r="Y23" i="13"/>
  <c r="Y49" i="13" s="1"/>
  <c r="E23" i="13"/>
  <c r="E49" i="13" s="1"/>
  <c r="AN22" i="13"/>
  <c r="AN37" i="13" s="1"/>
  <c r="Z22" i="13"/>
  <c r="Z37" i="13" s="1"/>
  <c r="N22" i="13"/>
  <c r="N37" i="13" s="1"/>
  <c r="AC21" i="13"/>
  <c r="Y21" i="13"/>
  <c r="E21" i="13"/>
  <c r="AB20" i="13"/>
  <c r="P20" i="13"/>
  <c r="AC19" i="13"/>
  <c r="AC42" i="13" s="1"/>
  <c r="Y19" i="13"/>
  <c r="Y42" i="13" s="1"/>
  <c r="E19" i="13"/>
  <c r="E42" i="13" s="1"/>
  <c r="AC18" i="13"/>
  <c r="Y18" i="13"/>
  <c r="E18" i="13"/>
  <c r="AB17" i="13"/>
  <c r="P17" i="13"/>
  <c r="AO16" i="13"/>
  <c r="AA16" i="13"/>
  <c r="C16" i="13"/>
  <c r="AB15" i="13"/>
  <c r="AB44" i="13" s="1"/>
  <c r="P15" i="13"/>
  <c r="P44" i="13" s="1"/>
  <c r="AC14" i="13"/>
  <c r="AC34" i="13" s="1"/>
  <c r="Y14" i="13"/>
  <c r="Y34" i="13" s="1"/>
  <c r="E14" i="13"/>
  <c r="E34" i="13" s="1"/>
  <c r="AO13" i="13"/>
  <c r="AO33" i="13" s="1"/>
  <c r="AA13" i="13"/>
  <c r="AA33" i="13" s="1"/>
  <c r="C13" i="13"/>
  <c r="C33" i="13" s="1"/>
  <c r="AB12" i="13"/>
  <c r="P12" i="13"/>
  <c r="AB11" i="13"/>
  <c r="AB39" i="13" s="1"/>
  <c r="P11" i="13"/>
  <c r="P39" i="13" s="1"/>
  <c r="AO17" i="13"/>
  <c r="AA17" i="13"/>
  <c r="C17" i="13"/>
  <c r="AN16" i="13"/>
  <c r="Z16" i="13"/>
  <c r="N16" i="13"/>
  <c r="AO15" i="13"/>
  <c r="AO44" i="13" s="1"/>
  <c r="AA15" i="13"/>
  <c r="AA44" i="13" s="1"/>
  <c r="C15" i="13"/>
  <c r="C44" i="13" s="1"/>
  <c r="AB14" i="13"/>
  <c r="AB34" i="13" s="1"/>
  <c r="P14" i="13"/>
  <c r="P34" i="13" s="1"/>
  <c r="AN13" i="13"/>
  <c r="AN33" i="13" s="1"/>
  <c r="Z13" i="13"/>
  <c r="Z33" i="13" s="1"/>
  <c r="N13" i="13"/>
  <c r="N33" i="13" s="1"/>
  <c r="AO12" i="13"/>
  <c r="AA12" i="13"/>
  <c r="C12" i="13"/>
  <c r="AO11" i="13"/>
  <c r="AO39" i="13" s="1"/>
  <c r="AA11" i="13"/>
  <c r="AA39" i="13" s="1"/>
  <c r="C11" i="13"/>
  <c r="C39" i="13" s="1"/>
  <c r="AN17" i="13"/>
  <c r="Z17" i="13"/>
  <c r="N17" i="13"/>
  <c r="AC16" i="13"/>
  <c r="Y16" i="13"/>
  <c r="E16" i="13"/>
  <c r="AN15" i="13"/>
  <c r="AN44" i="13" s="1"/>
  <c r="Z15" i="13"/>
  <c r="Z44" i="13" s="1"/>
  <c r="N15" i="13"/>
  <c r="N44" i="13" s="1"/>
  <c r="AO14" i="13"/>
  <c r="AO34" i="13" s="1"/>
  <c r="AA14" i="13"/>
  <c r="AA34" i="13" s="1"/>
  <c r="C14" i="13"/>
  <c r="C34" i="13" s="1"/>
  <c r="AC13" i="13"/>
  <c r="AC33" i="13" s="1"/>
  <c r="Y13" i="13"/>
  <c r="Y33" i="13" s="1"/>
  <c r="E13" i="13"/>
  <c r="E33" i="13" s="1"/>
  <c r="AN12" i="13"/>
  <c r="Z12" i="13"/>
  <c r="N12" i="13"/>
  <c r="AN11" i="13"/>
  <c r="AN39" i="13" s="1"/>
  <c r="Z11" i="13"/>
  <c r="Z39" i="13" s="1"/>
  <c r="N11" i="13"/>
  <c r="N39" i="13" s="1"/>
  <c r="AC17" i="13"/>
  <c r="Y17" i="13"/>
  <c r="E17" i="13"/>
  <c r="AB16" i="13"/>
  <c r="P16" i="13"/>
  <c r="AC15" i="13"/>
  <c r="AC44" i="13" s="1"/>
  <c r="Y15" i="13"/>
  <c r="Y44" i="13" s="1"/>
  <c r="E15" i="13"/>
  <c r="AN14" i="13"/>
  <c r="AN34" i="13" s="1"/>
  <c r="Z14" i="13"/>
  <c r="Z34" i="13" s="1"/>
  <c r="N14" i="13"/>
  <c r="N34" i="13" s="1"/>
  <c r="AB13" i="13"/>
  <c r="AB33" i="13" s="1"/>
  <c r="P13" i="13"/>
  <c r="P33" i="13" s="1"/>
  <c r="AC12" i="13"/>
  <c r="Y12" i="13"/>
  <c r="E12" i="13"/>
  <c r="AC11" i="13"/>
  <c r="AC39" i="13" s="1"/>
  <c r="Y11" i="13"/>
  <c r="Y39" i="13" s="1"/>
  <c r="E11" i="13"/>
  <c r="E39" i="13" s="1"/>
  <c r="AN10" i="13"/>
  <c r="AN46" i="13" s="1"/>
  <c r="Z10" i="13"/>
  <c r="Z46" i="13" s="1"/>
  <c r="N10" i="13"/>
  <c r="N46" i="13" s="1"/>
  <c r="AC9" i="13"/>
  <c r="Y9" i="13"/>
  <c r="E9" i="13"/>
  <c r="AN8" i="13"/>
  <c r="AN41" i="13" s="1"/>
  <c r="Z8" i="13"/>
  <c r="Z41" i="13" s="1"/>
  <c r="N8" i="13"/>
  <c r="N41" i="13" s="1"/>
  <c r="AO7" i="13"/>
  <c r="AA7" i="13"/>
  <c r="C7" i="13"/>
  <c r="AB6" i="13"/>
  <c r="AB47" i="13" s="1"/>
  <c r="P6" i="13"/>
  <c r="P47" i="13" s="1"/>
  <c r="AC5" i="13"/>
  <c r="Y5" i="13"/>
  <c r="E5" i="13"/>
  <c r="AN4" i="13"/>
  <c r="AN40" i="13" s="1"/>
  <c r="Z4" i="13"/>
  <c r="Z40" i="13" s="1"/>
  <c r="N4" i="13"/>
  <c r="N40" i="13" s="1"/>
  <c r="AO2" i="13"/>
  <c r="AO38" i="13" s="1"/>
  <c r="AA2" i="13"/>
  <c r="AA38" i="13" s="1"/>
  <c r="C2" i="13"/>
  <c r="C38" i="13" s="1"/>
  <c r="AC10" i="13"/>
  <c r="AC46" i="13" s="1"/>
  <c r="Y10" i="13"/>
  <c r="Y46" i="13" s="1"/>
  <c r="E10" i="13"/>
  <c r="E46" i="13" s="1"/>
  <c r="AB9" i="13"/>
  <c r="P9" i="13"/>
  <c r="AC8" i="13"/>
  <c r="AC41" i="13" s="1"/>
  <c r="Y8" i="13"/>
  <c r="Y41" i="13" s="1"/>
  <c r="E8" i="13"/>
  <c r="E41" i="13" s="1"/>
  <c r="AN7" i="13"/>
  <c r="Z7" i="13"/>
  <c r="N7" i="13"/>
  <c r="AO6" i="13"/>
  <c r="AO47" i="13" s="1"/>
  <c r="AA6" i="13"/>
  <c r="AA47" i="13" s="1"/>
  <c r="C6" i="13"/>
  <c r="C47" i="13" s="1"/>
  <c r="AB5" i="13"/>
  <c r="P5" i="13"/>
  <c r="AC4" i="13"/>
  <c r="AC40" i="13" s="1"/>
  <c r="Y4" i="13"/>
  <c r="Y40" i="13" s="1"/>
  <c r="E4" i="13"/>
  <c r="E40" i="13" s="1"/>
  <c r="AN2" i="13"/>
  <c r="AN38" i="13" s="1"/>
  <c r="Z2" i="13"/>
  <c r="Z38" i="13" s="1"/>
  <c r="N2" i="13"/>
  <c r="N38" i="13" s="1"/>
  <c r="AB10" i="13"/>
  <c r="AB46" i="13" s="1"/>
  <c r="AB45" i="13" s="1"/>
  <c r="P10" i="13"/>
  <c r="AO9" i="13"/>
  <c r="AA9" i="13"/>
  <c r="C9" i="13"/>
  <c r="AB8" i="13"/>
  <c r="AB41" i="13" s="1"/>
  <c r="P8" i="13"/>
  <c r="P41" i="13" s="1"/>
  <c r="AC7" i="13"/>
  <c r="Y7" i="13"/>
  <c r="E7" i="13"/>
  <c r="AN6" i="13"/>
  <c r="AN47" i="13" s="1"/>
  <c r="Z6" i="13"/>
  <c r="Z47" i="13" s="1"/>
  <c r="N6" i="13"/>
  <c r="N47" i="13" s="1"/>
  <c r="AO5" i="13"/>
  <c r="AA5" i="13"/>
  <c r="C5" i="13"/>
  <c r="AB4" i="13"/>
  <c r="AB40" i="13" s="1"/>
  <c r="P4" i="13"/>
  <c r="P40" i="13" s="1"/>
  <c r="AC2" i="13"/>
  <c r="AC38" i="13" s="1"/>
  <c r="Y2" i="13"/>
  <c r="Y38" i="13" s="1"/>
  <c r="E2" i="13"/>
  <c r="E38" i="13" s="1"/>
  <c r="AO10" i="13"/>
  <c r="AO46" i="13" s="1"/>
  <c r="AA10" i="13"/>
  <c r="AA46" i="13" s="1"/>
  <c r="C10" i="13"/>
  <c r="C46" i="13" s="1"/>
  <c r="AN9" i="13"/>
  <c r="Z9" i="13"/>
  <c r="N9" i="13"/>
  <c r="AO8" i="13"/>
  <c r="AO41" i="13" s="1"/>
  <c r="AA8" i="13"/>
  <c r="AA41" i="13" s="1"/>
  <c r="C8" i="13"/>
  <c r="C41" i="13" s="1"/>
  <c r="AB7" i="13"/>
  <c r="P7" i="13"/>
  <c r="AC6" i="13"/>
  <c r="AC47" i="13" s="1"/>
  <c r="Y6" i="13"/>
  <c r="Y47" i="13" s="1"/>
  <c r="Y45" i="13" s="1"/>
  <c r="E6" i="13"/>
  <c r="E47" i="13" s="1"/>
  <c r="AN5" i="13"/>
  <c r="Z5" i="13"/>
  <c r="N5" i="13"/>
  <c r="AO4" i="13"/>
  <c r="AO40" i="13" s="1"/>
  <c r="AA4" i="13"/>
  <c r="AA40" i="13" s="1"/>
  <c r="C4" i="13"/>
  <c r="C40" i="13" s="1"/>
  <c r="AB2" i="13"/>
  <c r="AB38" i="13" s="1"/>
  <c r="P2" i="13"/>
  <c r="P38" i="13" s="1"/>
  <c r="AA3" i="13"/>
  <c r="AA32" i="13" s="1"/>
  <c r="C3" i="13"/>
  <c r="C32" i="13" s="1"/>
  <c r="Z3" i="13"/>
  <c r="Z32" i="13" s="1"/>
  <c r="N3" i="13"/>
  <c r="N32" i="13" s="1"/>
  <c r="AC3" i="13"/>
  <c r="AC32" i="13" s="1"/>
  <c r="Y3" i="13"/>
  <c r="Y32" i="13" s="1"/>
  <c r="E3" i="13"/>
  <c r="E32" i="13" s="1"/>
  <c r="AB3" i="13"/>
  <c r="AB32" i="13" s="1"/>
  <c r="P3" i="13"/>
  <c r="P32" i="13" s="1"/>
  <c r="F45" i="7"/>
  <c r="D63" i="7"/>
  <c r="F66" i="7"/>
  <c r="F63" i="7" s="1"/>
  <c r="AO3" i="13"/>
  <c r="AO32" i="13" s="1"/>
  <c r="AN3" i="13"/>
  <c r="AN32" i="13" s="1"/>
  <c r="AP47" i="13" l="1"/>
  <c r="AP33" i="13"/>
  <c r="AP43" i="13"/>
  <c r="AP37" i="13"/>
  <c r="AP39" i="13"/>
  <c r="AC45" i="13"/>
  <c r="AC31" i="13"/>
  <c r="AA45" i="13"/>
  <c r="AO31" i="13"/>
  <c r="Y31" i="13"/>
  <c r="E31" i="13"/>
  <c r="Z67" i="13"/>
  <c r="Z53" i="13"/>
  <c r="C53" i="13"/>
  <c r="C67" i="13"/>
  <c r="AC73" i="13"/>
  <c r="AC59" i="13"/>
  <c r="AO68" i="13"/>
  <c r="AO54" i="13"/>
  <c r="AN73" i="13"/>
  <c r="AN59" i="13"/>
  <c r="AB54" i="13"/>
  <c r="AB68" i="13"/>
  <c r="E67" i="13"/>
  <c r="E53" i="13"/>
  <c r="AC68" i="13"/>
  <c r="AC54" i="13"/>
  <c r="AN45" i="13"/>
  <c r="AN74" i="13"/>
  <c r="AN60" i="13"/>
  <c r="AC58" i="13"/>
  <c r="AC72" i="13"/>
  <c r="AN66" i="13"/>
  <c r="AN52" i="13"/>
  <c r="AA60" i="13"/>
  <c r="AA74" i="13"/>
  <c r="Z72" i="13"/>
  <c r="Z58" i="13"/>
  <c r="AA66" i="13"/>
  <c r="AA52" i="13"/>
  <c r="C72" i="13"/>
  <c r="C58" i="13"/>
  <c r="AB70" i="13"/>
  <c r="AB56" i="13"/>
  <c r="Y65" i="13"/>
  <c r="Y51" i="13"/>
  <c r="AC64" i="13"/>
  <c r="AC50" i="13"/>
  <c r="Z76" i="13"/>
  <c r="Z62" i="13"/>
  <c r="N75" i="13"/>
  <c r="N61" i="13"/>
  <c r="AC70" i="13"/>
  <c r="AC56" i="13"/>
  <c r="AN51" i="13"/>
  <c r="AN65" i="13"/>
  <c r="AO76" i="13"/>
  <c r="AO62" i="13"/>
  <c r="N71" i="13"/>
  <c r="N57" i="13"/>
  <c r="Z56" i="13"/>
  <c r="Z70" i="13"/>
  <c r="AA51" i="13"/>
  <c r="AA65" i="13"/>
  <c r="AN55" i="13"/>
  <c r="AN69" i="13"/>
  <c r="AO64" i="13"/>
  <c r="AO50" i="13"/>
  <c r="P76" i="13"/>
  <c r="P62" i="13"/>
  <c r="AB75" i="13"/>
  <c r="AB61" i="13"/>
  <c r="C70" i="13"/>
  <c r="C56" i="13"/>
  <c r="AA69" i="13"/>
  <c r="AA55" i="13"/>
  <c r="P64" i="13"/>
  <c r="P50" i="13"/>
  <c r="AB71" i="13"/>
  <c r="AB57" i="13"/>
  <c r="C31" i="13"/>
  <c r="P31" i="13"/>
  <c r="AN53" i="13"/>
  <c r="AN67" i="13"/>
  <c r="P73" i="13"/>
  <c r="P59" i="13"/>
  <c r="N54" i="13"/>
  <c r="N68" i="13"/>
  <c r="C45" i="13"/>
  <c r="AA67" i="13"/>
  <c r="AA53" i="13"/>
  <c r="P53" i="13"/>
  <c r="P67" i="13"/>
  <c r="Y53" i="13"/>
  <c r="Y67" i="13"/>
  <c r="C73" i="13"/>
  <c r="C59" i="13"/>
  <c r="AP41" i="13"/>
  <c r="E74" i="13"/>
  <c r="E60" i="13"/>
  <c r="Z31" i="13"/>
  <c r="P72" i="13"/>
  <c r="P58" i="13"/>
  <c r="E66" i="13"/>
  <c r="E52" i="13"/>
  <c r="AP44" i="13"/>
  <c r="AO74" i="13"/>
  <c r="AO60" i="13"/>
  <c r="AN72" i="13"/>
  <c r="AN58" i="13"/>
  <c r="AO66" i="13"/>
  <c r="AO52" i="13"/>
  <c r="P60" i="13"/>
  <c r="P74" i="13"/>
  <c r="AA58" i="13"/>
  <c r="AA72" i="13"/>
  <c r="P52" i="13"/>
  <c r="P66" i="13"/>
  <c r="E75" i="13"/>
  <c r="E61" i="13"/>
  <c r="AC65" i="13"/>
  <c r="AC51" i="13"/>
  <c r="AN62" i="13"/>
  <c r="AN76" i="13"/>
  <c r="E71" i="13"/>
  <c r="E57" i="13"/>
  <c r="Z61" i="13"/>
  <c r="Z75" i="13"/>
  <c r="AP42" i="13"/>
  <c r="E55" i="13"/>
  <c r="E69" i="13"/>
  <c r="N50" i="13"/>
  <c r="N64" i="13"/>
  <c r="Z71" i="13"/>
  <c r="Z57" i="13"/>
  <c r="C61" i="13"/>
  <c r="C75" i="13"/>
  <c r="AN70" i="13"/>
  <c r="AN56" i="13"/>
  <c r="AO51" i="13"/>
  <c r="AO65" i="13"/>
  <c r="AB62" i="13"/>
  <c r="AB76" i="13"/>
  <c r="C57" i="13"/>
  <c r="C71" i="13"/>
  <c r="AA70" i="13"/>
  <c r="AA56" i="13"/>
  <c r="P65" i="13"/>
  <c r="P51" i="13"/>
  <c r="AO69" i="13"/>
  <c r="AO55" i="13"/>
  <c r="AB64" i="13"/>
  <c r="AB50" i="13"/>
  <c r="E76" i="13"/>
  <c r="E62" i="13"/>
  <c r="AP32" i="13"/>
  <c r="AN31" i="13"/>
  <c r="AB59" i="13"/>
  <c r="AB73" i="13"/>
  <c r="Z68" i="13"/>
  <c r="Z54" i="13"/>
  <c r="AO53" i="13"/>
  <c r="AO67" i="13"/>
  <c r="E59" i="13"/>
  <c r="E73" i="13"/>
  <c r="C68" i="13"/>
  <c r="C54" i="13"/>
  <c r="AB67" i="13"/>
  <c r="AB53" i="13"/>
  <c r="N59" i="13"/>
  <c r="N73" i="13"/>
  <c r="AC67" i="13"/>
  <c r="AC53" i="13"/>
  <c r="AA59" i="13"/>
  <c r="AA73" i="13"/>
  <c r="E68" i="13"/>
  <c r="E54" i="13"/>
  <c r="N45" i="13"/>
  <c r="Y74" i="13"/>
  <c r="Y60" i="13"/>
  <c r="AB72" i="13"/>
  <c r="AB58" i="13"/>
  <c r="Y66" i="13"/>
  <c r="Y52" i="13"/>
  <c r="N74" i="13"/>
  <c r="N60" i="13"/>
  <c r="E72" i="13"/>
  <c r="E58" i="13"/>
  <c r="N66" i="13"/>
  <c r="N52" i="13"/>
  <c r="AB74" i="13"/>
  <c r="AB60" i="13"/>
  <c r="AO72" i="13"/>
  <c r="AO58" i="13"/>
  <c r="AB66" i="13"/>
  <c r="AB52" i="13"/>
  <c r="Y61" i="13"/>
  <c r="Y75" i="13"/>
  <c r="P69" i="13"/>
  <c r="P55" i="13"/>
  <c r="E64" i="13"/>
  <c r="E50" i="13"/>
  <c r="Y71" i="13"/>
  <c r="Y57" i="13"/>
  <c r="AN75" i="13"/>
  <c r="AN61" i="13"/>
  <c r="E70" i="13"/>
  <c r="E56" i="13"/>
  <c r="N51" i="13"/>
  <c r="N65" i="13"/>
  <c r="AP49" i="13"/>
  <c r="Y69" i="13"/>
  <c r="Y55" i="13"/>
  <c r="Z64" i="13"/>
  <c r="Z50" i="13"/>
  <c r="C76" i="13"/>
  <c r="C62" i="13"/>
  <c r="AN57" i="13"/>
  <c r="AN71" i="13"/>
  <c r="AA75" i="13"/>
  <c r="AA61" i="13"/>
  <c r="N55" i="13"/>
  <c r="N69" i="13"/>
  <c r="C64" i="13"/>
  <c r="C50" i="13"/>
  <c r="AA71" i="13"/>
  <c r="AA57" i="13"/>
  <c r="AO70" i="13"/>
  <c r="AO56" i="13"/>
  <c r="AB65" i="13"/>
  <c r="AB51" i="13"/>
  <c r="Y62" i="13"/>
  <c r="Y76" i="13"/>
  <c r="AB31" i="13"/>
  <c r="N31" i="13"/>
  <c r="N67" i="13"/>
  <c r="N53" i="13"/>
  <c r="AN68" i="13"/>
  <c r="AN54" i="13"/>
  <c r="AP46" i="13"/>
  <c r="AP45" i="13" s="1"/>
  <c r="AO45" i="13"/>
  <c r="Y73" i="13"/>
  <c r="Y59" i="13"/>
  <c r="AA68" i="13"/>
  <c r="AA54" i="13"/>
  <c r="P46" i="13"/>
  <c r="P45" i="13" s="1"/>
  <c r="Z73" i="13"/>
  <c r="Z59" i="13"/>
  <c r="P68" i="13"/>
  <c r="P54" i="13"/>
  <c r="E45" i="13"/>
  <c r="AP38" i="13"/>
  <c r="AP40" i="13"/>
  <c r="AO73" i="13"/>
  <c r="AO59" i="13"/>
  <c r="Y68" i="13"/>
  <c r="Y54" i="13"/>
  <c r="Z45" i="13"/>
  <c r="AC74" i="13"/>
  <c r="AC60" i="13"/>
  <c r="AC66" i="13"/>
  <c r="AC52" i="13"/>
  <c r="Z60" i="13"/>
  <c r="Z74" i="13"/>
  <c r="AP34" i="13"/>
  <c r="Y58" i="13"/>
  <c r="Y72" i="13"/>
  <c r="Z66" i="13"/>
  <c r="Z52" i="13"/>
  <c r="C74" i="13"/>
  <c r="C60" i="13"/>
  <c r="N58" i="13"/>
  <c r="N72" i="13"/>
  <c r="C66" i="13"/>
  <c r="C52" i="13"/>
  <c r="AA31" i="13"/>
  <c r="AC61" i="13"/>
  <c r="AC75" i="13"/>
  <c r="P56" i="13"/>
  <c r="P70" i="13"/>
  <c r="E51" i="13"/>
  <c r="E65" i="13"/>
  <c r="AB69" i="13"/>
  <c r="AB55" i="13"/>
  <c r="Y64" i="13"/>
  <c r="Y50" i="13"/>
  <c r="N62" i="13"/>
  <c r="N76" i="13"/>
  <c r="AC57" i="13"/>
  <c r="AC71" i="13"/>
  <c r="Y70" i="13"/>
  <c r="Y56" i="13"/>
  <c r="Z65" i="13"/>
  <c r="Z51" i="13"/>
  <c r="AC69" i="13"/>
  <c r="AC55" i="13"/>
  <c r="AN64" i="13"/>
  <c r="AN50" i="13"/>
  <c r="AA76" i="13"/>
  <c r="AA62" i="13"/>
  <c r="AO75" i="13"/>
  <c r="AO61" i="13"/>
  <c r="N70" i="13"/>
  <c r="N56" i="13"/>
  <c r="C65" i="13"/>
  <c r="C51" i="13"/>
  <c r="Z69" i="13"/>
  <c r="Z55" i="13"/>
  <c r="AA64" i="13"/>
  <c r="AA50" i="13"/>
  <c r="AO71" i="13"/>
  <c r="AO57" i="13"/>
  <c r="P61" i="13"/>
  <c r="P75" i="13"/>
  <c r="C69" i="13"/>
  <c r="C55" i="13"/>
  <c r="AC62" i="13"/>
  <c r="AC76" i="13"/>
  <c r="P57" i="13"/>
  <c r="P71" i="13"/>
  <c r="AP35" i="13"/>
  <c r="AP5" i="13"/>
  <c r="AP10" i="13"/>
  <c r="AP13" i="13"/>
  <c r="AP19" i="13"/>
  <c r="AP6" i="13"/>
  <c r="AP4" i="13"/>
  <c r="AP11" i="13"/>
  <c r="AP15" i="13"/>
  <c r="AP21" i="13"/>
  <c r="AP26" i="13"/>
  <c r="AP30" i="13"/>
  <c r="AP9" i="13"/>
  <c r="AP2" i="13"/>
  <c r="AP7" i="13"/>
  <c r="AP12" i="13"/>
  <c r="AP17" i="13"/>
  <c r="AP16" i="13"/>
  <c r="AP27" i="13"/>
  <c r="AP25" i="13"/>
  <c r="AP20" i="13"/>
  <c r="AP8" i="13"/>
  <c r="AP14" i="13"/>
  <c r="AP22" i="13"/>
  <c r="AP28" i="13"/>
  <c r="AP18" i="13"/>
  <c r="AP23" i="13"/>
  <c r="AP29" i="13"/>
  <c r="AP24" i="13"/>
  <c r="AP3" i="13"/>
  <c r="AP68" i="13" l="1"/>
  <c r="AP62" i="13"/>
  <c r="AA48" i="13"/>
  <c r="AN48" i="13"/>
  <c r="AC48" i="13"/>
  <c r="AP58" i="13"/>
  <c r="Y48" i="13"/>
  <c r="AP72" i="13"/>
  <c r="AB48" i="13"/>
  <c r="P48" i="13"/>
  <c r="E48" i="13"/>
  <c r="AP76" i="13"/>
  <c r="AO48" i="13"/>
  <c r="AP70" i="13"/>
  <c r="AP74" i="13"/>
  <c r="AP64" i="13"/>
  <c r="AN63" i="13"/>
  <c r="AP75" i="13"/>
  <c r="N63" i="13"/>
  <c r="AP31" i="13"/>
  <c r="AB63" i="13"/>
  <c r="P63" i="13"/>
  <c r="AO63" i="13"/>
  <c r="N48" i="13"/>
  <c r="AP73" i="13"/>
  <c r="Y63" i="13"/>
  <c r="C63" i="13"/>
  <c r="AP71" i="13"/>
  <c r="Z48" i="13"/>
  <c r="E63" i="13"/>
  <c r="AP69" i="13"/>
  <c r="AP52" i="13"/>
  <c r="AP60" i="13"/>
  <c r="AP54" i="13"/>
  <c r="AP57" i="13"/>
  <c r="Z63" i="13"/>
  <c r="AP67" i="13"/>
  <c r="AP55" i="13"/>
  <c r="AP65" i="13"/>
  <c r="AP66" i="13"/>
  <c r="AP61" i="13"/>
  <c r="C48" i="13"/>
  <c r="AP56" i="13"/>
  <c r="AP53" i="13"/>
  <c r="AP50" i="13"/>
  <c r="AA63" i="13"/>
  <c r="AP51" i="13"/>
  <c r="AC63" i="13"/>
  <c r="AP59" i="13"/>
  <c r="D19" i="13"/>
  <c r="D42" i="13" s="1"/>
  <c r="F42" i="13" s="1"/>
  <c r="D27" i="13"/>
  <c r="D26" i="13"/>
  <c r="D36" i="13" s="1"/>
  <c r="F36" i="13" s="1"/>
  <c r="D9" i="13"/>
  <c r="D10" i="13"/>
  <c r="D46" i="13" s="1"/>
  <c r="F46" i="13" s="1"/>
  <c r="D3" i="13"/>
  <c r="D32" i="13" s="1"/>
  <c r="D30" i="13"/>
  <c r="D35" i="13" s="1"/>
  <c r="F35" i="13" s="1"/>
  <c r="D29" i="13"/>
  <c r="D23" i="13"/>
  <c r="D49" i="13" s="1"/>
  <c r="D18" i="13"/>
  <c r="D17" i="13"/>
  <c r="D12" i="13"/>
  <c r="D13" i="13"/>
  <c r="D33" i="13" s="1"/>
  <c r="F33" i="13" s="1"/>
  <c r="D8" i="13"/>
  <c r="D41" i="13" s="1"/>
  <c r="F41" i="13" s="1"/>
  <c r="D25" i="13"/>
  <c r="D24" i="13"/>
  <c r="D15" i="13"/>
  <c r="D44" i="13" s="1"/>
  <c r="F44" i="13" s="1"/>
  <c r="D11" i="13"/>
  <c r="D39" i="13" s="1"/>
  <c r="F39" i="13" s="1"/>
  <c r="D6" i="13"/>
  <c r="D47" i="13" s="1"/>
  <c r="D5" i="13"/>
  <c r="D21" i="13"/>
  <c r="D28" i="13"/>
  <c r="D43" i="13" s="1"/>
  <c r="F43" i="13" s="1"/>
  <c r="D22" i="13"/>
  <c r="D37" i="13" s="1"/>
  <c r="F37" i="13" s="1"/>
  <c r="D20" i="13"/>
  <c r="D14" i="13"/>
  <c r="D34" i="13" s="1"/>
  <c r="F34" i="13" s="1"/>
  <c r="D16" i="13"/>
  <c r="D4" i="13"/>
  <c r="D40" i="13" s="1"/>
  <c r="F40" i="13" s="1"/>
  <c r="D7" i="13"/>
  <c r="D2" i="13"/>
  <c r="D38" i="13" s="1"/>
  <c r="F38" i="13" s="1"/>
  <c r="O20" i="13"/>
  <c r="O25" i="13"/>
  <c r="O13" i="13"/>
  <c r="O33" i="13" s="1"/>
  <c r="Q33" i="13" s="1"/>
  <c r="O14" i="13"/>
  <c r="O34" i="13" s="1"/>
  <c r="Q34" i="13" s="1"/>
  <c r="O4" i="13"/>
  <c r="O40" i="13" s="1"/>
  <c r="Q40" i="13" s="1"/>
  <c r="O26" i="13"/>
  <c r="O36" i="13" s="1"/>
  <c r="Q36" i="13" s="1"/>
  <c r="O21" i="13"/>
  <c r="O28" i="13"/>
  <c r="O43" i="13" s="1"/>
  <c r="Q43" i="13" s="1"/>
  <c r="O22" i="13"/>
  <c r="O37" i="13" s="1"/>
  <c r="Q37" i="13" s="1"/>
  <c r="O17" i="13"/>
  <c r="O12" i="13"/>
  <c r="O9" i="13"/>
  <c r="O10" i="13"/>
  <c r="O46" i="13" s="1"/>
  <c r="O19" i="13"/>
  <c r="O42" i="13" s="1"/>
  <c r="Q42" i="13" s="1"/>
  <c r="O27" i="13"/>
  <c r="O16" i="13"/>
  <c r="O15" i="13"/>
  <c r="O44" i="13" s="1"/>
  <c r="Q44" i="13" s="1"/>
  <c r="O11" i="13"/>
  <c r="O39" i="13" s="1"/>
  <c r="Q39" i="13" s="1"/>
  <c r="O7" i="13"/>
  <c r="O2" i="13"/>
  <c r="O38" i="13" s="1"/>
  <c r="Q38" i="13" s="1"/>
  <c r="O6" i="13"/>
  <c r="O47" i="13" s="1"/>
  <c r="Q47" i="13" s="1"/>
  <c r="O8" i="13"/>
  <c r="O41" i="13" s="1"/>
  <c r="Q41" i="13" s="1"/>
  <c r="O30" i="13"/>
  <c r="O35" i="13" s="1"/>
  <c r="Q35" i="13" s="1"/>
  <c r="O24" i="13"/>
  <c r="O29" i="13"/>
  <c r="O23" i="13"/>
  <c r="O49" i="13" s="1"/>
  <c r="O18" i="13"/>
  <c r="O5" i="13"/>
  <c r="O3" i="13"/>
  <c r="O32" i="13" s="1"/>
  <c r="F3" i="7"/>
  <c r="F3" i="11"/>
  <c r="F3" i="9"/>
  <c r="F3" i="13"/>
  <c r="AP48" i="13" l="1"/>
  <c r="D73" i="13"/>
  <c r="F73" i="13" s="1"/>
  <c r="D59" i="13"/>
  <c r="F59" i="13" s="1"/>
  <c r="D45" i="13"/>
  <c r="F47" i="13"/>
  <c r="D62" i="13"/>
  <c r="F62" i="13" s="1"/>
  <c r="D76" i="13"/>
  <c r="F76" i="13" s="1"/>
  <c r="O72" i="13"/>
  <c r="Q72" i="13" s="1"/>
  <c r="O58" i="13"/>
  <c r="Q58" i="13" s="1"/>
  <c r="O76" i="13"/>
  <c r="Q76" i="13" s="1"/>
  <c r="O62" i="13"/>
  <c r="Q62" i="13" s="1"/>
  <c r="O68" i="13"/>
  <c r="Q68" i="13" s="1"/>
  <c r="O54" i="13"/>
  <c r="Q54" i="13" s="1"/>
  <c r="O60" i="13"/>
  <c r="Q60" i="13" s="1"/>
  <c r="O74" i="13"/>
  <c r="Q74" i="13" s="1"/>
  <c r="O64" i="13"/>
  <c r="O50" i="13"/>
  <c r="Q50" i="13" s="1"/>
  <c r="D58" i="13"/>
  <c r="F58" i="13" s="1"/>
  <c r="D72" i="13"/>
  <c r="F72" i="13" s="1"/>
  <c r="D65" i="13"/>
  <c r="F65" i="13" s="1"/>
  <c r="D51" i="13"/>
  <c r="F51" i="13" s="1"/>
  <c r="D74" i="13"/>
  <c r="F74" i="13" s="1"/>
  <c r="D60" i="13"/>
  <c r="F60" i="13" s="1"/>
  <c r="AP63" i="13"/>
  <c r="O31" i="13"/>
  <c r="Q32" i="13"/>
  <c r="Q31" i="13" s="1"/>
  <c r="O55" i="13"/>
  <c r="Q55" i="13" s="1"/>
  <c r="O69" i="13"/>
  <c r="Q69" i="13" s="1"/>
  <c r="O45" i="13"/>
  <c r="Q46" i="13"/>
  <c r="Q45" i="13" s="1"/>
  <c r="D67" i="13"/>
  <c r="F67" i="13" s="1"/>
  <c r="D53" i="13"/>
  <c r="F53" i="13" s="1"/>
  <c r="D50" i="13"/>
  <c r="F50" i="13" s="1"/>
  <c r="D64" i="13"/>
  <c r="D54" i="13"/>
  <c r="F54" i="13" s="1"/>
  <c r="D68" i="13"/>
  <c r="F68" i="13" s="1"/>
  <c r="O67" i="13"/>
  <c r="Q67" i="13" s="1"/>
  <c r="O53" i="13"/>
  <c r="Q53" i="13" s="1"/>
  <c r="O75" i="13"/>
  <c r="Q75" i="13" s="1"/>
  <c r="O61" i="13"/>
  <c r="Q61" i="13" s="1"/>
  <c r="Q49" i="13"/>
  <c r="O71" i="13"/>
  <c r="Q71" i="13" s="1"/>
  <c r="O57" i="13"/>
  <c r="Q57" i="13" s="1"/>
  <c r="O59" i="13"/>
  <c r="Q59" i="13" s="1"/>
  <c r="O73" i="13"/>
  <c r="Q73" i="13" s="1"/>
  <c r="O52" i="13"/>
  <c r="Q52" i="13" s="1"/>
  <c r="O66" i="13"/>
  <c r="Q66" i="13" s="1"/>
  <c r="O51" i="13"/>
  <c r="Q51" i="13" s="1"/>
  <c r="O65" i="13"/>
  <c r="Q65" i="13" s="1"/>
  <c r="O56" i="13"/>
  <c r="Q56" i="13" s="1"/>
  <c r="O70" i="13"/>
  <c r="Q70" i="13" s="1"/>
  <c r="D70" i="13"/>
  <c r="F70" i="13" s="1"/>
  <c r="D56" i="13"/>
  <c r="F56" i="13" s="1"/>
  <c r="D69" i="13"/>
  <c r="F69" i="13" s="1"/>
  <c r="D55" i="13"/>
  <c r="F55" i="13" s="1"/>
  <c r="D66" i="13"/>
  <c r="F66" i="13" s="1"/>
  <c r="D52" i="13"/>
  <c r="F52" i="13" s="1"/>
  <c r="D75" i="13"/>
  <c r="F75" i="13" s="1"/>
  <c r="D61" i="13"/>
  <c r="F61" i="13" s="1"/>
  <c r="F49" i="13"/>
  <c r="D71" i="13"/>
  <c r="F71" i="13" s="1"/>
  <c r="D57" i="13"/>
  <c r="F57" i="13" s="1"/>
  <c r="D31" i="13"/>
  <c r="F32" i="13"/>
  <c r="F31" i="13" s="1"/>
  <c r="F45" i="13"/>
  <c r="Q24" i="13"/>
  <c r="Q6" i="13"/>
  <c r="Q10" i="13"/>
  <c r="Q26" i="13"/>
  <c r="Q14" i="13"/>
  <c r="F22" i="13"/>
  <c r="F28" i="13"/>
  <c r="F5" i="13"/>
  <c r="F11" i="13"/>
  <c r="F25" i="13"/>
  <c r="F13" i="13"/>
  <c r="F9" i="13"/>
  <c r="Q5" i="13"/>
  <c r="Q18" i="13"/>
  <c r="Q23" i="13"/>
  <c r="Q29" i="13"/>
  <c r="Q30" i="13"/>
  <c r="Q2" i="13"/>
  <c r="Q7" i="13"/>
  <c r="Q15" i="13"/>
  <c r="Q17" i="13"/>
  <c r="Q21" i="13"/>
  <c r="Q20" i="13"/>
  <c r="F4" i="13"/>
  <c r="F20" i="13"/>
  <c r="F24" i="13"/>
  <c r="F17" i="13"/>
  <c r="F18" i="13"/>
  <c r="F23" i="13"/>
  <c r="F29" i="13"/>
  <c r="F10" i="13"/>
  <c r="F19" i="13"/>
  <c r="Q3" i="13"/>
  <c r="Q19" i="13"/>
  <c r="Q22" i="13"/>
  <c r="Q28" i="13"/>
  <c r="Q4" i="13"/>
  <c r="Q13" i="13"/>
  <c r="F2" i="13"/>
  <c r="F7" i="13"/>
  <c r="F14" i="13"/>
  <c r="F6" i="13"/>
  <c r="F15" i="13"/>
  <c r="F8" i="13"/>
  <c r="F27" i="13"/>
  <c r="Q8" i="13"/>
  <c r="Q11" i="13"/>
  <c r="Q16" i="13"/>
  <c r="Q27" i="13"/>
  <c r="Q9" i="13"/>
  <c r="Q12" i="13"/>
  <c r="Q25" i="13"/>
  <c r="F16" i="13"/>
  <c r="F21" i="13"/>
  <c r="F12" i="13"/>
  <c r="F30" i="13"/>
  <c r="F26" i="13"/>
  <c r="F62" i="7"/>
  <c r="F48" i="7" s="1"/>
  <c r="F48" i="13" l="1"/>
  <c r="Q48" i="13"/>
  <c r="D48" i="13"/>
  <c r="O48" i="13"/>
  <c r="O63" i="13"/>
  <c r="Q64" i="13"/>
  <c r="Q63" i="13" s="1"/>
  <c r="D63" i="13"/>
  <c r="F64" i="13"/>
  <c r="F63"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Manning, Karessa L.</author>
  </authors>
  <commentList>
    <comment ref="A1" authorId="0" shapeId="0" xr:uid="{00000000-0006-0000-1100-000001000000}">
      <text>
        <r>
          <rPr>
            <b/>
            <sz val="9"/>
            <color indexed="81"/>
            <rFont val="Tahoma"/>
            <family val="2"/>
          </rPr>
          <t>Manning, Karessa L.:</t>
        </r>
        <r>
          <rPr>
            <sz val="9"/>
            <color indexed="81"/>
            <rFont val="Tahoma"/>
            <family val="2"/>
          </rPr>
          <t xml:space="preserve">
Slab Size = 1
Cover Layer = 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Manning, Karessa L.</author>
  </authors>
  <commentList>
    <comment ref="A1" authorId="0" shapeId="0" xr:uid="{00000000-0006-0000-0100-000001000000}">
      <text>
        <r>
          <rPr>
            <b/>
            <sz val="9"/>
            <color indexed="81"/>
            <rFont val="Tahoma"/>
            <family val="2"/>
          </rPr>
          <t>Manning, Karessa L.:</t>
        </r>
        <r>
          <rPr>
            <sz val="9"/>
            <color indexed="81"/>
            <rFont val="Tahoma"/>
            <family val="2"/>
          </rPr>
          <t xml:space="preserve">
Slab Size = 20,000 m
Cover Layer = 20 cm
Apply GSFo = Yes
</t>
        </r>
      </text>
    </comment>
  </commentList>
</comments>
</file>

<file path=xl/sharedStrings.xml><?xml version="1.0" encoding="utf-8"?>
<sst xmlns="http://schemas.openxmlformats.org/spreadsheetml/2006/main" count="2471" uniqueCount="410">
  <si>
    <t>SFS</t>
  </si>
  <si>
    <t>SFF</t>
  </si>
  <si>
    <t>SFX</t>
  </si>
  <si>
    <t>SFI</t>
  </si>
  <si>
    <t>SFW</t>
  </si>
  <si>
    <t>SFOSA</t>
  </si>
  <si>
    <t>SFXSUB</t>
  </si>
  <si>
    <t>SFXGP</t>
  </si>
  <si>
    <t>SFXIMM</t>
  </si>
  <si>
    <t>SFXSV1</t>
  </si>
  <si>
    <t>SFXSV5</t>
  </si>
  <si>
    <t>SFXSV15</t>
  </si>
  <si>
    <t>Ac-225</t>
  </si>
  <si>
    <t>Am-241</t>
  </si>
  <si>
    <t>At-217</t>
  </si>
  <si>
    <t>At-218</t>
  </si>
  <si>
    <t>Ba-137m</t>
  </si>
  <si>
    <t>Bi-210</t>
  </si>
  <si>
    <t>Bi-213</t>
  </si>
  <si>
    <t>Bi-214</t>
  </si>
  <si>
    <t>Cs-137</t>
  </si>
  <si>
    <t>Fr-221</t>
  </si>
  <si>
    <t>Hg-206</t>
  </si>
  <si>
    <t>Np-237</t>
  </si>
  <si>
    <t>Pa-233</t>
  </si>
  <si>
    <t>Pb-209</t>
  </si>
  <si>
    <t>Pb-210</t>
  </si>
  <si>
    <t>Pb-214</t>
  </si>
  <si>
    <t>Po-210</t>
  </si>
  <si>
    <t>Po-213</t>
  </si>
  <si>
    <t>Po-214</t>
  </si>
  <si>
    <t>Po-218</t>
  </si>
  <si>
    <t>Ra-225</t>
  </si>
  <si>
    <t>Ra-226</t>
  </si>
  <si>
    <t>Rn-218</t>
  </si>
  <si>
    <t>Rn-222</t>
  </si>
  <si>
    <t>Th-229</t>
  </si>
  <si>
    <t>Tl-206</t>
  </si>
  <si>
    <t>Tl-209</t>
  </si>
  <si>
    <t>Tl-210</t>
  </si>
  <si>
    <t>U-233</t>
  </si>
  <si>
    <t>ACFGP</t>
  </si>
  <si>
    <t>ACFSV</t>
  </si>
  <si>
    <t>ACFSV1</t>
  </si>
  <si>
    <t>ACFSV5</t>
  </si>
  <si>
    <t>ACFSV15</t>
  </si>
  <si>
    <t>GSFGP</t>
  </si>
  <si>
    <t>GSFSV</t>
  </si>
  <si>
    <t>GSFSV1</t>
  </si>
  <si>
    <t>GSFSV5</t>
  </si>
  <si>
    <t>GSFSV15</t>
  </si>
  <si>
    <t>Radionuclide</t>
  </si>
  <si>
    <t>General</t>
  </si>
  <si>
    <t>years</t>
  </si>
  <si>
    <t>mg/day</t>
  </si>
  <si>
    <t>days/year</t>
  </si>
  <si>
    <t>hours/day</t>
  </si>
  <si>
    <r>
      <t xml:space="preserve">GSF </t>
    </r>
    <r>
      <rPr>
        <vertAlign val="subscript"/>
        <sz val="11"/>
        <color theme="1"/>
        <rFont val="Calibri"/>
        <family val="2"/>
        <scheme val="minor"/>
      </rPr>
      <t>a</t>
    </r>
  </si>
  <si>
    <r>
      <t xml:space="preserve">GSF </t>
    </r>
    <r>
      <rPr>
        <vertAlign val="subscript"/>
        <sz val="11"/>
        <color theme="1"/>
        <rFont val="Calibri"/>
        <family val="2"/>
        <scheme val="minor"/>
      </rPr>
      <t>i</t>
    </r>
  </si>
  <si>
    <t>m^3/day</t>
  </si>
  <si>
    <t>unitless</t>
  </si>
  <si>
    <t>K</t>
  </si>
  <si>
    <t>EF w</t>
  </si>
  <si>
    <t>ET w-o</t>
  </si>
  <si>
    <t>ET w-i</t>
  </si>
  <si>
    <t>IRS w</t>
  </si>
  <si>
    <t>IRA iw</t>
  </si>
  <si>
    <t>EF iw</t>
  </si>
  <si>
    <t>ET iw-o</t>
  </si>
  <si>
    <t>ET iw-i</t>
  </si>
  <si>
    <t>IRA ow</t>
  </si>
  <si>
    <t>EF ow</t>
  </si>
  <si>
    <t>ET ow-o</t>
  </si>
  <si>
    <t>ET ow-i</t>
  </si>
  <si>
    <t>IRA cw</t>
  </si>
  <si>
    <t>EF cw</t>
  </si>
  <si>
    <t>ET cw-o</t>
  </si>
  <si>
    <t>ET cw-i</t>
  </si>
  <si>
    <t>DW cw</t>
  </si>
  <si>
    <t>days/week</t>
  </si>
  <si>
    <t>EW cw</t>
  </si>
  <si>
    <t>weeks/year</t>
  </si>
  <si>
    <t>m</t>
  </si>
  <si>
    <t>IRS iw</t>
  </si>
  <si>
    <t>IRS ow</t>
  </si>
  <si>
    <t>IRS cw</t>
  </si>
  <si>
    <t>KD</t>
  </si>
  <si>
    <r>
      <t xml:space="preserve">t </t>
    </r>
    <r>
      <rPr>
        <vertAlign val="subscript"/>
        <sz val="11"/>
        <color theme="1"/>
        <rFont val="Calibri"/>
        <family val="2"/>
        <scheme val="minor"/>
      </rPr>
      <t>com</t>
    </r>
  </si>
  <si>
    <r>
      <t xml:space="preserve">t </t>
    </r>
    <r>
      <rPr>
        <vertAlign val="subscript"/>
        <sz val="11"/>
        <color theme="1"/>
        <rFont val="Calibri"/>
        <family val="2"/>
        <scheme val="minor"/>
      </rPr>
      <t>out</t>
    </r>
  </si>
  <si>
    <r>
      <t xml:space="preserve">t </t>
    </r>
    <r>
      <rPr>
        <vertAlign val="subscript"/>
        <sz val="11"/>
        <color theme="1"/>
        <rFont val="Calibri"/>
        <family val="2"/>
        <scheme val="minor"/>
      </rPr>
      <t>ind</t>
    </r>
  </si>
  <si>
    <r>
      <t xml:space="preserve">t </t>
    </r>
    <r>
      <rPr>
        <vertAlign val="subscript"/>
        <sz val="11"/>
        <color theme="1"/>
        <rFont val="Calibri"/>
        <family val="2"/>
        <scheme val="minor"/>
      </rPr>
      <t>con</t>
    </r>
  </si>
  <si>
    <r>
      <t xml:space="preserve">ED </t>
    </r>
    <r>
      <rPr>
        <vertAlign val="subscript"/>
        <sz val="11"/>
        <color theme="1"/>
        <rFont val="Calibri"/>
        <family val="2"/>
        <scheme val="minor"/>
      </rPr>
      <t>com</t>
    </r>
  </si>
  <si>
    <r>
      <t xml:space="preserve">ED </t>
    </r>
    <r>
      <rPr>
        <vertAlign val="subscript"/>
        <sz val="11"/>
        <color theme="1"/>
        <rFont val="Calibri"/>
        <family val="2"/>
        <scheme val="minor"/>
      </rPr>
      <t>out</t>
    </r>
  </si>
  <si>
    <r>
      <t xml:space="preserve">ED </t>
    </r>
    <r>
      <rPr>
        <vertAlign val="subscript"/>
        <sz val="11"/>
        <color theme="1"/>
        <rFont val="Calibri"/>
        <family val="2"/>
        <scheme val="minor"/>
      </rPr>
      <t>ind</t>
    </r>
  </si>
  <si>
    <r>
      <t xml:space="preserve">ED </t>
    </r>
    <r>
      <rPr>
        <vertAlign val="subscript"/>
        <sz val="11"/>
        <color theme="1"/>
        <rFont val="Calibri"/>
        <family val="2"/>
        <scheme val="minor"/>
      </rPr>
      <t>con</t>
    </r>
  </si>
  <si>
    <t>m³ air / kg soil</t>
  </si>
  <si>
    <t>Um</t>
  </si>
  <si>
    <t>m/s</t>
  </si>
  <si>
    <t>Ut</t>
  </si>
  <si>
    <t>F(x)</t>
  </si>
  <si>
    <t>V</t>
  </si>
  <si>
    <t>As</t>
  </si>
  <si>
    <t>acres</t>
  </si>
  <si>
    <t>seconds</t>
  </si>
  <si>
    <t>A R</t>
  </si>
  <si>
    <t>m²</t>
  </si>
  <si>
    <t>W</t>
  </si>
  <si>
    <t>tons</t>
  </si>
  <si>
    <t>Σ VKT</t>
  </si>
  <si>
    <t>km</t>
  </si>
  <si>
    <t>F D</t>
  </si>
  <si>
    <t>t c</t>
  </si>
  <si>
    <t>hour</t>
  </si>
  <si>
    <t>L R</t>
  </si>
  <si>
    <t>ft</t>
  </si>
  <si>
    <t>distance</t>
  </si>
  <si>
    <t>km/day</t>
  </si>
  <si>
    <t>W R</t>
  </si>
  <si>
    <t>N cars</t>
  </si>
  <si>
    <t>N trucks</t>
  </si>
  <si>
    <t>M dry</t>
  </si>
  <si>
    <t>percent</t>
  </si>
  <si>
    <t>s</t>
  </si>
  <si>
    <t>m² / ft²</t>
  </si>
  <si>
    <t>tons/car</t>
  </si>
  <si>
    <t>tons/truck</t>
  </si>
  <si>
    <t>J' T</t>
  </si>
  <si>
    <t>M pc wind</t>
  </si>
  <si>
    <t>g</t>
  </si>
  <si>
    <t>M excav</t>
  </si>
  <si>
    <t>M doz</t>
  </si>
  <si>
    <t>M grade</t>
  </si>
  <si>
    <t>M till</t>
  </si>
  <si>
    <t>A surf</t>
  </si>
  <si>
    <t>Σ VKT doz</t>
  </si>
  <si>
    <t>Σ VKT grade</t>
  </si>
  <si>
    <t>ρ soil</t>
  </si>
  <si>
    <t>mg/m³</t>
  </si>
  <si>
    <t>A excav</t>
  </si>
  <si>
    <t>d excav</t>
  </si>
  <si>
    <t>N A-dump</t>
  </si>
  <si>
    <t>M m-excav</t>
  </si>
  <si>
    <t>s doz</t>
  </si>
  <si>
    <t>M m-doz</t>
  </si>
  <si>
    <t>km/hour</t>
  </si>
  <si>
    <t>S grade</t>
  </si>
  <si>
    <t>s till</t>
  </si>
  <si>
    <t>A till</t>
  </si>
  <si>
    <t>N A-till</t>
  </si>
  <si>
    <t>Ac-grade</t>
  </si>
  <si>
    <t>Ac-doz</t>
  </si>
  <si>
    <t>N A-doz</t>
  </si>
  <si>
    <t>Ac</t>
  </si>
  <si>
    <r>
      <t>PEF</t>
    </r>
    <r>
      <rPr>
        <sz val="12"/>
        <color theme="1"/>
        <rFont val="Calibri"/>
        <family val="2"/>
        <scheme val="minor"/>
      </rPr>
      <t xml:space="preserve"> </t>
    </r>
    <r>
      <rPr>
        <vertAlign val="subscript"/>
        <sz val="12"/>
        <color theme="1"/>
        <rFont val="Calibri"/>
        <family val="2"/>
        <scheme val="minor"/>
      </rPr>
      <t>wind</t>
    </r>
  </si>
  <si>
    <r>
      <t>PEF</t>
    </r>
    <r>
      <rPr>
        <vertAlign val="subscript"/>
        <sz val="11"/>
        <color theme="1"/>
        <rFont val="Calibri"/>
        <family val="2"/>
        <scheme val="minor"/>
      </rPr>
      <t>sc</t>
    </r>
  </si>
  <si>
    <r>
      <t xml:space="preserve">p </t>
    </r>
    <r>
      <rPr>
        <vertAlign val="subscript"/>
        <sz val="11"/>
        <color theme="1"/>
        <rFont val="Calibri"/>
        <family val="2"/>
        <scheme val="minor"/>
      </rPr>
      <t>days</t>
    </r>
  </si>
  <si>
    <r>
      <t xml:space="preserve">Q/C </t>
    </r>
    <r>
      <rPr>
        <vertAlign val="subscript"/>
        <sz val="11"/>
        <color theme="1"/>
        <rFont val="Calibri"/>
        <family val="2"/>
        <scheme val="minor"/>
      </rPr>
      <t>wind</t>
    </r>
  </si>
  <si>
    <r>
      <t xml:space="preserve">A </t>
    </r>
    <r>
      <rPr>
        <vertAlign val="subscript"/>
        <sz val="11"/>
        <color theme="1"/>
        <rFont val="Calibri"/>
        <family val="2"/>
        <scheme val="minor"/>
      </rPr>
      <t>wind</t>
    </r>
  </si>
  <si>
    <r>
      <t xml:space="preserve">B </t>
    </r>
    <r>
      <rPr>
        <vertAlign val="subscript"/>
        <sz val="11"/>
        <color theme="1"/>
        <rFont val="Calibri"/>
        <family val="2"/>
        <scheme val="minor"/>
      </rPr>
      <t>wind</t>
    </r>
  </si>
  <si>
    <r>
      <t xml:space="preserve">C </t>
    </r>
    <r>
      <rPr>
        <vertAlign val="subscript"/>
        <sz val="11"/>
        <color theme="1"/>
        <rFont val="Calibri"/>
        <family val="2"/>
        <scheme val="minor"/>
      </rPr>
      <t>wind</t>
    </r>
  </si>
  <si>
    <r>
      <t xml:space="preserve">Q/C </t>
    </r>
    <r>
      <rPr>
        <vertAlign val="subscript"/>
        <sz val="11"/>
        <color theme="1"/>
        <rFont val="Calibri"/>
        <family val="2"/>
        <scheme val="minor"/>
      </rPr>
      <t>sc</t>
    </r>
  </si>
  <si>
    <r>
      <t xml:space="preserve">A </t>
    </r>
    <r>
      <rPr>
        <vertAlign val="subscript"/>
        <sz val="11"/>
        <color theme="1"/>
        <rFont val="Calibri"/>
        <family val="2"/>
        <scheme val="minor"/>
      </rPr>
      <t>sc</t>
    </r>
  </si>
  <si>
    <r>
      <t xml:space="preserve">B </t>
    </r>
    <r>
      <rPr>
        <vertAlign val="subscript"/>
        <sz val="11"/>
        <color theme="1"/>
        <rFont val="Calibri"/>
        <family val="2"/>
        <scheme val="minor"/>
      </rPr>
      <t>sc</t>
    </r>
  </si>
  <si>
    <r>
      <t xml:space="preserve">C </t>
    </r>
    <r>
      <rPr>
        <vertAlign val="subscript"/>
        <sz val="11"/>
        <color theme="1"/>
        <rFont val="Calibri"/>
        <family val="2"/>
        <scheme val="minor"/>
      </rPr>
      <t>sc</t>
    </r>
  </si>
  <si>
    <r>
      <t xml:space="preserve">PEF </t>
    </r>
    <r>
      <rPr>
        <vertAlign val="subscript"/>
        <sz val="11"/>
        <color theme="1"/>
        <rFont val="Calibri"/>
        <family val="2"/>
        <scheme val="minor"/>
      </rPr>
      <t>'sc</t>
    </r>
  </si>
  <si>
    <r>
      <t xml:space="preserve">Q/C </t>
    </r>
    <r>
      <rPr>
        <vertAlign val="subscript"/>
        <sz val="11"/>
        <color theme="1"/>
        <rFont val="Calibri"/>
        <family val="2"/>
        <scheme val="minor"/>
      </rPr>
      <t>'sc</t>
    </r>
  </si>
  <si>
    <r>
      <t xml:space="preserve">A </t>
    </r>
    <r>
      <rPr>
        <vertAlign val="subscript"/>
        <sz val="11"/>
        <color theme="1"/>
        <rFont val="Calibri"/>
        <family val="2"/>
        <scheme val="minor"/>
      </rPr>
      <t>'sc</t>
    </r>
  </si>
  <si>
    <r>
      <t xml:space="preserve">B </t>
    </r>
    <r>
      <rPr>
        <vertAlign val="subscript"/>
        <sz val="11"/>
        <color theme="1"/>
        <rFont val="Calibri"/>
        <family val="2"/>
        <scheme val="minor"/>
      </rPr>
      <t>'sc</t>
    </r>
  </si>
  <si>
    <r>
      <t xml:space="preserve">C </t>
    </r>
    <r>
      <rPr>
        <vertAlign val="subscript"/>
        <sz val="11"/>
        <color theme="1"/>
        <rFont val="Calibri"/>
        <family val="2"/>
        <scheme val="minor"/>
      </rPr>
      <t>'sc</t>
    </r>
  </si>
  <si>
    <r>
      <t xml:space="preserve">T </t>
    </r>
    <r>
      <rPr>
        <vertAlign val="subscript"/>
        <sz val="11"/>
        <color theme="1"/>
        <rFont val="Calibri"/>
        <family val="2"/>
        <scheme val="minor"/>
      </rPr>
      <t>t</t>
    </r>
  </si>
  <si>
    <t>S doz-speed</t>
  </si>
  <si>
    <t>s_K</t>
  </si>
  <si>
    <r>
      <t xml:space="preserve">s_GSF </t>
    </r>
    <r>
      <rPr>
        <vertAlign val="subscript"/>
        <sz val="11"/>
        <color theme="1"/>
        <rFont val="Calibri"/>
        <family val="2"/>
        <scheme val="minor"/>
      </rPr>
      <t>a</t>
    </r>
  </si>
  <si>
    <r>
      <t xml:space="preserve">s_GSF </t>
    </r>
    <r>
      <rPr>
        <vertAlign val="subscript"/>
        <sz val="11"/>
        <color theme="1"/>
        <rFont val="Calibri"/>
        <family val="2"/>
        <scheme val="minor"/>
      </rPr>
      <t>i</t>
    </r>
  </si>
  <si>
    <r>
      <t>s_PEF</t>
    </r>
    <r>
      <rPr>
        <sz val="12"/>
        <color theme="1"/>
        <rFont val="Calibri"/>
        <family val="2"/>
        <scheme val="minor"/>
      </rPr>
      <t xml:space="preserve"> </t>
    </r>
    <r>
      <rPr>
        <vertAlign val="subscript"/>
        <sz val="12"/>
        <color theme="1"/>
        <rFont val="Calibri"/>
        <family val="2"/>
        <scheme val="minor"/>
      </rPr>
      <t>wind</t>
    </r>
  </si>
  <si>
    <t>s_Um</t>
  </si>
  <si>
    <t>s_Ut</t>
  </si>
  <si>
    <t>s_F(x)</t>
  </si>
  <si>
    <t>s_V</t>
  </si>
  <si>
    <r>
      <t xml:space="preserve">s_Q/C </t>
    </r>
    <r>
      <rPr>
        <vertAlign val="subscript"/>
        <sz val="11"/>
        <color theme="1"/>
        <rFont val="Calibri"/>
        <family val="2"/>
        <scheme val="minor"/>
      </rPr>
      <t>wind</t>
    </r>
  </si>
  <si>
    <t>s_As</t>
  </si>
  <si>
    <r>
      <t xml:space="preserve">s_A </t>
    </r>
    <r>
      <rPr>
        <vertAlign val="subscript"/>
        <sz val="11"/>
        <color theme="1"/>
        <rFont val="Calibri"/>
        <family val="2"/>
        <scheme val="minor"/>
      </rPr>
      <t>wind</t>
    </r>
  </si>
  <si>
    <r>
      <t xml:space="preserve">s_B </t>
    </r>
    <r>
      <rPr>
        <vertAlign val="subscript"/>
        <sz val="11"/>
        <color theme="1"/>
        <rFont val="Calibri"/>
        <family val="2"/>
        <scheme val="minor"/>
      </rPr>
      <t>wind</t>
    </r>
  </si>
  <si>
    <r>
      <t xml:space="preserve">s_C </t>
    </r>
    <r>
      <rPr>
        <vertAlign val="subscript"/>
        <sz val="11"/>
        <color theme="1"/>
        <rFont val="Calibri"/>
        <family val="2"/>
        <scheme val="minor"/>
      </rPr>
      <t>wind</t>
    </r>
  </si>
  <si>
    <r>
      <t>s_PEF</t>
    </r>
    <r>
      <rPr>
        <vertAlign val="subscript"/>
        <sz val="11"/>
        <color theme="1"/>
        <rFont val="Calibri"/>
        <family val="2"/>
        <scheme val="minor"/>
      </rPr>
      <t>sc</t>
    </r>
  </si>
  <si>
    <r>
      <t xml:space="preserve">s_Q/C </t>
    </r>
    <r>
      <rPr>
        <vertAlign val="subscript"/>
        <sz val="11"/>
        <color theme="1"/>
        <rFont val="Calibri"/>
        <family val="2"/>
        <scheme val="minor"/>
      </rPr>
      <t>sc</t>
    </r>
  </si>
  <si>
    <r>
      <t xml:space="preserve">s_T </t>
    </r>
    <r>
      <rPr>
        <vertAlign val="subscript"/>
        <sz val="11"/>
        <color theme="1"/>
        <rFont val="Calibri"/>
        <family val="2"/>
        <scheme val="minor"/>
      </rPr>
      <t>t</t>
    </r>
  </si>
  <si>
    <t>s_A R</t>
  </si>
  <si>
    <t>s_W</t>
  </si>
  <si>
    <t>s_Σ VKT</t>
  </si>
  <si>
    <t>s_F D</t>
  </si>
  <si>
    <t>s_t c</t>
  </si>
  <si>
    <t>s_L R</t>
  </si>
  <si>
    <t>s_distance</t>
  </si>
  <si>
    <t>s_EF cw</t>
  </si>
  <si>
    <t>s_W R</t>
  </si>
  <si>
    <t>s_N cars</t>
  </si>
  <si>
    <t>s_N trucks</t>
  </si>
  <si>
    <t>s_Ac</t>
  </si>
  <si>
    <t>s_EW cw</t>
  </si>
  <si>
    <t>s_DW cw</t>
  </si>
  <si>
    <t>s_M dry</t>
  </si>
  <si>
    <r>
      <t xml:space="preserve">s_p </t>
    </r>
    <r>
      <rPr>
        <vertAlign val="subscript"/>
        <sz val="11"/>
        <color theme="1"/>
        <rFont val="Calibri"/>
        <family val="2"/>
        <scheme val="minor"/>
      </rPr>
      <t>days</t>
    </r>
  </si>
  <si>
    <t>s_s</t>
  </si>
  <si>
    <r>
      <t xml:space="preserve">s_A </t>
    </r>
    <r>
      <rPr>
        <vertAlign val="subscript"/>
        <sz val="11"/>
        <color theme="1"/>
        <rFont val="Calibri"/>
        <family val="2"/>
        <scheme val="minor"/>
      </rPr>
      <t>sc</t>
    </r>
  </si>
  <si>
    <r>
      <t xml:space="preserve">s_B </t>
    </r>
    <r>
      <rPr>
        <vertAlign val="subscript"/>
        <sz val="11"/>
        <color theme="1"/>
        <rFont val="Calibri"/>
        <family val="2"/>
        <scheme val="minor"/>
      </rPr>
      <t>sc</t>
    </r>
  </si>
  <si>
    <r>
      <t xml:space="preserve">s_C </t>
    </r>
    <r>
      <rPr>
        <vertAlign val="subscript"/>
        <sz val="11"/>
        <color theme="1"/>
        <rFont val="Calibri"/>
        <family val="2"/>
        <scheme val="minor"/>
      </rPr>
      <t>sc</t>
    </r>
  </si>
  <si>
    <r>
      <t xml:space="preserve">s_PEF </t>
    </r>
    <r>
      <rPr>
        <vertAlign val="subscript"/>
        <sz val="11"/>
        <color theme="1"/>
        <rFont val="Calibri"/>
        <family val="2"/>
        <scheme val="minor"/>
      </rPr>
      <t>'sc</t>
    </r>
  </si>
  <si>
    <r>
      <t xml:space="preserve">s_Q/C </t>
    </r>
    <r>
      <rPr>
        <vertAlign val="subscript"/>
        <sz val="11"/>
        <color theme="1"/>
        <rFont val="Calibri"/>
        <family val="2"/>
        <scheme val="minor"/>
      </rPr>
      <t>'sc</t>
    </r>
  </si>
  <si>
    <t>s_J' T</t>
  </si>
  <si>
    <t>s_M pc wind</t>
  </si>
  <si>
    <t>s_M excav</t>
  </si>
  <si>
    <t>s_M doz</t>
  </si>
  <si>
    <t>s_M grade</t>
  </si>
  <si>
    <t>s_M till</t>
  </si>
  <si>
    <t>s_A surf</t>
  </si>
  <si>
    <t>s_Σ VKT doz</t>
  </si>
  <si>
    <t>s_Σ VKT grade</t>
  </si>
  <si>
    <t>s_ρ soil</t>
  </si>
  <si>
    <t>s_A excav</t>
  </si>
  <si>
    <t>s_d excav</t>
  </si>
  <si>
    <t>s_N A-dump</t>
  </si>
  <si>
    <t>s_M m-excav</t>
  </si>
  <si>
    <t>s_s doz</t>
  </si>
  <si>
    <t>s_M m-doz</t>
  </si>
  <si>
    <t>s_S doz-speed</t>
  </si>
  <si>
    <t>s_S grade</t>
  </si>
  <si>
    <t>s_s till</t>
  </si>
  <si>
    <t>s_A till</t>
  </si>
  <si>
    <t>s_N A-till</t>
  </si>
  <si>
    <t>s_Ac-grade</t>
  </si>
  <si>
    <t>s_Ac-doz</t>
  </si>
  <si>
    <t>s_N A-doz</t>
  </si>
  <si>
    <r>
      <t xml:space="preserve">s_A </t>
    </r>
    <r>
      <rPr>
        <vertAlign val="subscript"/>
        <sz val="11"/>
        <color theme="1"/>
        <rFont val="Calibri"/>
        <family val="2"/>
        <scheme val="minor"/>
      </rPr>
      <t>'sc</t>
    </r>
  </si>
  <si>
    <r>
      <t xml:space="preserve">s_B </t>
    </r>
    <r>
      <rPr>
        <vertAlign val="subscript"/>
        <sz val="11"/>
        <color theme="1"/>
        <rFont val="Calibri"/>
        <family val="2"/>
        <scheme val="minor"/>
      </rPr>
      <t>'sc</t>
    </r>
  </si>
  <si>
    <r>
      <t xml:space="preserve">s_C </t>
    </r>
    <r>
      <rPr>
        <vertAlign val="subscript"/>
        <sz val="11"/>
        <color theme="1"/>
        <rFont val="Calibri"/>
        <family val="2"/>
        <scheme val="minor"/>
      </rPr>
      <t>'sc</t>
    </r>
  </si>
  <si>
    <t>s_EF w</t>
  </si>
  <si>
    <t>s_EF iw</t>
  </si>
  <si>
    <t>s_EF ow</t>
  </si>
  <si>
    <t>s_ET w-o</t>
  </si>
  <si>
    <t>s_ET w-i</t>
  </si>
  <si>
    <t>s_ET iw-o</t>
  </si>
  <si>
    <t>s_ET iw-i</t>
  </si>
  <si>
    <t>s_ET ow-o</t>
  </si>
  <si>
    <t>s_ET ow-i</t>
  </si>
  <si>
    <t>s_ET cw-o</t>
  </si>
  <si>
    <t>s_ET cw-i</t>
  </si>
  <si>
    <t>s_IRA iw</t>
  </si>
  <si>
    <t>s_IRA ow</t>
  </si>
  <si>
    <t>s_IRA cw</t>
  </si>
  <si>
    <t>s_IRS w</t>
  </si>
  <si>
    <t>s_IRS iw</t>
  </si>
  <si>
    <t>s_IRS ow</t>
  </si>
  <si>
    <t>s_IRS cw</t>
  </si>
  <si>
    <r>
      <t xml:space="preserve">s_ED </t>
    </r>
    <r>
      <rPr>
        <vertAlign val="subscript"/>
        <sz val="11"/>
        <color theme="1"/>
        <rFont val="Calibri"/>
        <family val="2"/>
        <scheme val="minor"/>
      </rPr>
      <t>com</t>
    </r>
  </si>
  <si>
    <r>
      <t xml:space="preserve">s_ED </t>
    </r>
    <r>
      <rPr>
        <vertAlign val="subscript"/>
        <sz val="11"/>
        <color theme="1"/>
        <rFont val="Calibri"/>
        <family val="2"/>
        <scheme val="minor"/>
      </rPr>
      <t>out</t>
    </r>
  </si>
  <si>
    <r>
      <t xml:space="preserve">s_ED </t>
    </r>
    <r>
      <rPr>
        <vertAlign val="subscript"/>
        <sz val="11"/>
        <color theme="1"/>
        <rFont val="Calibri"/>
        <family val="2"/>
        <scheme val="minor"/>
      </rPr>
      <t>ind</t>
    </r>
  </si>
  <si>
    <r>
      <t xml:space="preserve">s_ED </t>
    </r>
    <r>
      <rPr>
        <vertAlign val="subscript"/>
        <sz val="11"/>
        <color theme="1"/>
        <rFont val="Calibri"/>
        <family val="2"/>
        <scheme val="minor"/>
      </rPr>
      <t>con</t>
    </r>
  </si>
  <si>
    <r>
      <t xml:space="preserve">s_t </t>
    </r>
    <r>
      <rPr>
        <vertAlign val="subscript"/>
        <sz val="11"/>
        <color theme="1"/>
        <rFont val="Calibri"/>
        <family val="2"/>
        <scheme val="minor"/>
      </rPr>
      <t>com</t>
    </r>
  </si>
  <si>
    <r>
      <t xml:space="preserve">s_t </t>
    </r>
    <r>
      <rPr>
        <vertAlign val="subscript"/>
        <sz val="11"/>
        <color theme="1"/>
        <rFont val="Calibri"/>
        <family val="2"/>
        <scheme val="minor"/>
      </rPr>
      <t>out</t>
    </r>
  </si>
  <si>
    <r>
      <t xml:space="preserve">s_t </t>
    </r>
    <r>
      <rPr>
        <vertAlign val="subscript"/>
        <sz val="11"/>
        <color theme="1"/>
        <rFont val="Calibri"/>
        <family val="2"/>
        <scheme val="minor"/>
      </rPr>
      <t>ind</t>
    </r>
  </si>
  <si>
    <r>
      <t xml:space="preserve">s_t </t>
    </r>
    <r>
      <rPr>
        <vertAlign val="subscript"/>
        <sz val="11"/>
        <color theme="1"/>
        <rFont val="Calibri"/>
        <family val="2"/>
        <scheme val="minor"/>
      </rPr>
      <t>con</t>
    </r>
  </si>
  <si>
    <t>N A-grade</t>
  </si>
  <si>
    <t>B grade</t>
  </si>
  <si>
    <t>B doz</t>
  </si>
  <si>
    <t>s_N A-grade</t>
  </si>
  <si>
    <t>s_B doz</t>
  </si>
  <si>
    <t>s_B grade</t>
  </si>
  <si>
    <t>TR</t>
  </si>
  <si>
    <t>YHALFLIFE</t>
  </si>
  <si>
    <t>WEIGHT</t>
  </si>
  <si>
    <t>GIABSFCT</t>
  </si>
  <si>
    <t>LAMBDA</t>
  </si>
  <si>
    <t>s_TR</t>
  </si>
  <si>
    <t>Test Rad</t>
  </si>
  <si>
    <t>Y</t>
  </si>
  <si>
    <t>MCL</t>
  </si>
  <si>
    <t>MASS</t>
  </si>
  <si>
    <t>Volatile</t>
  </si>
  <si>
    <t>GSFiGP</t>
  </si>
  <si>
    <t>GSFiSV</t>
  </si>
  <si>
    <t>GSFiSV1</t>
  </si>
  <si>
    <t>GSFiSV5</t>
  </si>
  <si>
    <t>GSFiSV15</t>
  </si>
  <si>
    <t>IRA w</t>
  </si>
  <si>
    <t>s_IRA w</t>
  </si>
  <si>
    <t>C</t>
  </si>
  <si>
    <t>s_C</t>
  </si>
  <si>
    <t>*These are for running contruction worker and recreator defaults only.</t>
  </si>
  <si>
    <t>SE</t>
  </si>
  <si>
    <t>~Am-241</t>
  </si>
  <si>
    <t>~Np-237</t>
  </si>
  <si>
    <t>~Pa-233</t>
  </si>
  <si>
    <t>~U-233</t>
  </si>
  <si>
    <t>~Th-229</t>
  </si>
  <si>
    <t>~Ra-225</t>
  </si>
  <si>
    <t>~Ac-225</t>
  </si>
  <si>
    <t>~Fr-221</t>
  </si>
  <si>
    <t>~At-217</t>
  </si>
  <si>
    <t>~Bi-213</t>
  </si>
  <si>
    <t>~Po-213</t>
  </si>
  <si>
    <t>~Tl-209</t>
  </si>
  <si>
    <t>~Pb-209</t>
  </si>
  <si>
    <t>~Cs-137</t>
  </si>
  <si>
    <t>~Ba-137m</t>
  </si>
  <si>
    <t>~Ra-226</t>
  </si>
  <si>
    <t>~Rn-222</t>
  </si>
  <si>
    <t>~Po-218</t>
  </si>
  <si>
    <t>~Pb-214</t>
  </si>
  <si>
    <t>~At-218</t>
  </si>
  <si>
    <t>~Bi-214</t>
  </si>
  <si>
    <t>~Rn-218</t>
  </si>
  <si>
    <t>~Po-214</t>
  </si>
  <si>
    <t>~Tl-210</t>
  </si>
  <si>
    <t>~Pb-210</t>
  </si>
  <si>
    <t>~Bi-210</t>
  </si>
  <si>
    <t>~Hg-206</t>
  </si>
  <si>
    <t>~Po-210</t>
  </si>
  <si>
    <t>~Tl-206</t>
  </si>
  <si>
    <t>INSTRUCTIONS</t>
  </si>
  <si>
    <t>The point of this QA sheet is to replicate the 'Default', 'Site-Specific with Defaults', and 'Site-Specific User Provided' output results for the PRG (Preliminary Remediation Goals for Radionuclide Contaminants at Superfund Sites) calculator. Below are instructions for understanding the ins and outs of this spreadsheet. Due to the higher than normal processing time for calculating secular equilibrium, this QA sheet only calculates secular equilibrium PRGs for 4 isotopes including Am-241, Ca-137, Rn-222, &amp; Ra-226).</t>
  </si>
  <si>
    <t>Tab Descriptions</t>
  </si>
  <si>
    <r>
      <t xml:space="preserve">These tabs present PRGs in units of pCi for the output option that assumes secular equilibrium. Tabs that do not begin with 's_ ' or 'up_ 'should be used to test the default output. Tabs that begin with 's_' should be used to test the site-specific output and use inputs from the 'ss' tab . </t>
    </r>
    <r>
      <rPr>
        <b/>
        <sz val="11"/>
        <color indexed="9"/>
        <rFont val="Arial"/>
        <family val="2"/>
      </rPr>
      <t xml:space="preserve">Tabs that begin with 'up_' should be used to test the site-specific user provided output and use inputs from the 'ss'. </t>
    </r>
  </si>
  <si>
    <r>
      <t>The</t>
    </r>
    <r>
      <rPr>
        <i/>
        <sz val="11"/>
        <rFont val="Arial"/>
        <family val="2"/>
      </rPr>
      <t xml:space="preserve"> 'RadSpec' </t>
    </r>
    <r>
      <rPr>
        <sz val="11"/>
        <rFont val="Arial"/>
        <family val="2"/>
      </rPr>
      <t>tab contains most isotope specific parameters like slope factors.</t>
    </r>
  </si>
  <si>
    <r>
      <t>The '</t>
    </r>
    <r>
      <rPr>
        <i/>
        <sz val="11"/>
        <rFont val="Arial"/>
        <family val="2"/>
      </rPr>
      <t>def_acf</t>
    </r>
    <r>
      <rPr>
        <sz val="11"/>
        <rFont val="Arial"/>
        <family val="2"/>
      </rPr>
      <t>' tab contains ACFs for slab size 1, cover layer 0, which is used to test recreator output using default input values.</t>
    </r>
  </si>
  <si>
    <t>The 'd' tab contains all the non isotope specific default exposure parameters that are used to calculate PRGs in the defaults tabs.</t>
  </si>
  <si>
    <t xml:space="preserve">The 'ss' tab contains all the non isotope specific site-specific exposure parameters that are used to calculate PRGs in the site specific tabs. </t>
  </si>
  <si>
    <t>Relevant Cell Descriptions on Green Tabs</t>
  </si>
  <si>
    <t>These cells, in column A, represent the primary QA isotopes.</t>
  </si>
  <si>
    <t>These cells, in column A, represent the progeny for the primary QA isotopes.</t>
  </si>
  <si>
    <t>These cells represent 'Chronic Daily Intakes'.</t>
  </si>
  <si>
    <t>These cells represent 'Risk' for individual progeny.</t>
  </si>
  <si>
    <t>These cells represent 'Total Risk' by route and media.</t>
  </si>
  <si>
    <t>These cells represent secular equilibrium PRGs by route and media.</t>
  </si>
  <si>
    <t>These cells represent fractional contribution applied to PRGs. If individuals progeny are included in the output these values will be presented in the tool output.</t>
  </si>
  <si>
    <t>These cells represent fractional contribution applied to CDIs used to determine risk. These values are not presented in the tool risk output.</t>
  </si>
  <si>
    <t>These cells are intermediate calculation steps for determining total that are not presented in the online tool output.</t>
  </si>
  <si>
    <r>
      <t xml:space="preserve">In column B, under the </t>
    </r>
    <r>
      <rPr>
        <b/>
        <sz val="10"/>
        <rFont val="Arial"/>
        <family val="2"/>
      </rPr>
      <t xml:space="preserve">'TEST' </t>
    </r>
    <r>
      <rPr>
        <sz val="10"/>
        <rFont val="Arial"/>
        <family val="2"/>
      </rPr>
      <t>filter, a value of '</t>
    </r>
    <r>
      <rPr>
        <b/>
        <sz val="10"/>
        <rFont val="Arial"/>
        <family val="2"/>
      </rPr>
      <t>Y</t>
    </r>
    <r>
      <rPr>
        <sz val="10"/>
        <rFont val="Arial"/>
        <family val="2"/>
      </rPr>
      <t>' means it is a primary test isotope and '</t>
    </r>
    <r>
      <rPr>
        <b/>
        <sz val="10"/>
        <rFont val="Arial"/>
        <family val="2"/>
      </rPr>
      <t>SE</t>
    </r>
    <r>
      <rPr>
        <sz val="10"/>
        <rFont val="Arial"/>
        <family val="2"/>
      </rPr>
      <t>' means it is a progeny for a primary test isotope.</t>
    </r>
  </si>
  <si>
    <t>Other Important Notes</t>
  </si>
  <si>
    <t>In the 'd' and 'ss' tabs, these cells are calculated based on specific inputs and cannot be altered unless the respective inputs are altered.</t>
  </si>
  <si>
    <t>For the 'Site-Specific with Defaults' and 'Site-Specific User Provided' tabs, the ACF is based on 20,000 and the GSFs are based on 20.</t>
  </si>
  <si>
    <t>Since this tool is used to calculate 'risk', the one hit rule is applied when the risk of exposure by route for a single isotope, summation of all routes for a single isotope, summation of single route for all isotopes, or summation of all routes for all isotopes exceed 0.01.</t>
  </si>
  <si>
    <t>Indoor Worker</t>
  </si>
  <si>
    <t>Outdoor Worker</t>
  </si>
  <si>
    <t>Composite Worker</t>
  </si>
  <si>
    <t>Construction Worker</t>
  </si>
  <si>
    <t>PEF wind</t>
  </si>
  <si>
    <t>PEFsc</t>
  </si>
  <si>
    <t>PEF'sc</t>
  </si>
  <si>
    <t>target risk</t>
  </si>
  <si>
    <t>concentration</t>
  </si>
  <si>
    <t>g/m^2-s per kg/m^3</t>
  </si>
  <si>
    <t>L/m^3</t>
  </si>
  <si>
    <r>
      <t>g/m</t>
    </r>
    <r>
      <rPr>
        <vertAlign val="superscript"/>
        <sz val="11"/>
        <color theme="1"/>
        <rFont val="Calibri"/>
        <family val="2"/>
        <scheme val="minor"/>
      </rPr>
      <t>2</t>
    </r>
    <r>
      <rPr>
        <sz val="11"/>
        <color theme="1"/>
        <rFont val="Calibri"/>
        <family val="2"/>
        <scheme val="minor"/>
      </rPr>
      <t>-s</t>
    </r>
  </si>
  <si>
    <t>fraction</t>
  </si>
  <si>
    <t>hours/day out</t>
  </si>
  <si>
    <t>hours/day in</t>
  </si>
  <si>
    <t>conversion factor</t>
  </si>
  <si>
    <t># cars</t>
  </si>
  <si>
    <t># trucks</t>
  </si>
  <si>
    <t># of times soil is dumped</t>
  </si>
  <si>
    <t># of times site is tilled</t>
  </si>
  <si>
    <t># of times site is dozed</t>
  </si>
  <si>
    <t># of times site is graded</t>
  </si>
  <si>
    <t>prg_soil_ing</t>
  </si>
  <si>
    <t>prg_soil_inh</t>
  </si>
  <si>
    <t>prg_soil_ext</t>
  </si>
  <si>
    <t>prg_soil_tot</t>
  </si>
  <si>
    <t>prg_soil_sv</t>
  </si>
  <si>
    <t>prg_soil_1cm</t>
  </si>
  <si>
    <t>prg_soil_5cm</t>
  </si>
  <si>
    <t>prg_soil_15cm</t>
  </si>
  <si>
    <t>prg_soil_gp</t>
  </si>
  <si>
    <t>prg_air_inh</t>
  </si>
  <si>
    <t>prg_air_sub</t>
  </si>
  <si>
    <t>prg_air_tot</t>
  </si>
  <si>
    <t>cdi_soil_ing</t>
  </si>
  <si>
    <t>cdi_soil_inh</t>
  </si>
  <si>
    <t>cdi_soil_ext</t>
  </si>
  <si>
    <t>risk_soil_ing</t>
  </si>
  <si>
    <t>risk_soil_inh</t>
  </si>
  <si>
    <t>risk_soil_ext</t>
  </si>
  <si>
    <t>risk_soil_tot</t>
  </si>
  <si>
    <t>prg_ost_soil_ing</t>
  </si>
  <si>
    <t>prg_ost_soil_inh</t>
  </si>
  <si>
    <t>prg_ost_soil_ext</t>
  </si>
  <si>
    <t>prg_ost_soil_tot</t>
  </si>
  <si>
    <t>cdi_ost_soil_ing</t>
  </si>
  <si>
    <t>cdi_ost_soil_inh</t>
  </si>
  <si>
    <t>cdi_ost_soil_ext</t>
  </si>
  <si>
    <t>risk_ost_soil_ing</t>
  </si>
  <si>
    <t>risk_ost_soil_inh</t>
  </si>
  <si>
    <t>risk_ost_soil_ext</t>
  </si>
  <si>
    <t>risk_ost_soil_tot</t>
  </si>
  <si>
    <t>cdi_soil_sv</t>
  </si>
  <si>
    <t>cdi_soil_1cm</t>
  </si>
  <si>
    <t>cdi_soil_5cm</t>
  </si>
  <si>
    <t>cdi_soil_15cm</t>
  </si>
  <si>
    <t>cdi_soil_gp</t>
  </si>
  <si>
    <t>risk_soil_sv</t>
  </si>
  <si>
    <t>risk_soil_1cm</t>
  </si>
  <si>
    <t>risk_soil_5cm</t>
  </si>
  <si>
    <t>risk_soil_15cm</t>
  </si>
  <si>
    <t>risk_soil_gp</t>
  </si>
  <si>
    <t>cdi_air_inh</t>
  </si>
  <si>
    <t>cdi_air_sub</t>
  </si>
  <si>
    <t>risk_air_inh</t>
  </si>
  <si>
    <t>risk_air_sub</t>
  </si>
  <si>
    <t>risk_air_tot</t>
  </si>
  <si>
    <t>Disclaimer: This archived file was intended for internal review but has been posted due to interest in historical reviews. This file is no longer used to quality assure the EPA PRG calculator as the calculator has undergone significant updates. Quality assurance spreadsheets have been updated accordingly and are provided on the internal verification page of the EPA PRG website.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</si>
</sst>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34" x14ac:knownFonts="1">
    <font>
      <sz val="11"/>
      <color theme="1"/>
      <name val="Calibri"/>
      <family val="2"/>
      <scheme val="minor"/>
    </font>
    <font>
      <b/>
      <sz val="10"/>
      <name val="Arial"/>
      <family val="2"/>
    </font>
    <font>
      <sz val="11"/>
      <color theme="1"/>
      <name val="Calibri"/>
      <family val="2"/>
      <scheme val="minor"/>
    </font>
    <font>
      <b/>
      <sz val="14"/>
      <color theme="1"/>
      <name val="Calibri"/>
      <family val="2"/>
      <scheme val="minor"/>
    </font>
    <font>
      <vertAlign val="subscript"/>
      <sz val="12"/>
      <color theme="1"/>
      <name val="Calibri"/>
      <family val="2"/>
      <scheme val="minor"/>
    </font>
    <font>
      <sz val="11"/>
      <color rgb="FF005C00"/>
      <name val="Calibri"/>
      <family val="2"/>
      <scheme val="minor"/>
    </font>
    <font>
      <sz val="10"/>
      <name val="Arial"/>
      <family val="2"/>
    </font>
    <font>
      <vertAlign val="subscript"/>
      <sz val="11"/>
      <color theme="1"/>
      <name val="Calibri"/>
      <family val="2"/>
      <scheme val="minor"/>
    </font>
    <font>
      <sz val="11"/>
      <name val="Calibri"/>
      <family val="2"/>
      <scheme val="minor"/>
    </font>
    <font>
      <sz val="10"/>
      <name val="Arial"/>
      <family val="2"/>
      <charset val="1"/>
    </font>
    <font>
      <sz val="12"/>
      <color theme="1"/>
      <name val="Calibri"/>
      <family val="2"/>
      <scheme val="minor"/>
    </font>
    <font>
      <sz val="11"/>
      <color rgb="FF403151"/>
      <name val="Calibri"/>
      <family val="2"/>
      <scheme val="minor"/>
    </font>
    <font>
      <b/>
      <sz val="11"/>
      <color theme="1"/>
      <name val="Calibri"/>
      <family val="2"/>
      <scheme val="minor"/>
    </font>
    <font>
      <b/>
      <sz val="10"/>
      <name val="Arial"/>
      <family val="2"/>
    </font>
    <font>
      <sz val="9"/>
      <color indexed="81"/>
      <name val="Tahoma"/>
      <family val="2"/>
    </font>
    <font>
      <b/>
      <sz val="9"/>
      <color indexed="81"/>
      <name val="Tahoma"/>
      <family val="2"/>
    </font>
    <font>
      <b/>
      <sz val="10"/>
      <color rgb="FFFF0000"/>
      <name val="Arial"/>
      <family val="2"/>
    </font>
    <font>
      <i/>
      <sz val="11"/>
      <color theme="1"/>
      <name val="Calibri"/>
      <family val="2"/>
      <scheme val="minor"/>
    </font>
    <font>
      <sz val="11"/>
      <color rgb="FF151515"/>
      <name val="Calibri"/>
      <family val="2"/>
      <scheme val="minor"/>
    </font>
    <font>
      <b/>
      <i/>
      <sz val="11"/>
      <color theme="1"/>
      <name val="Calibri"/>
      <family val="2"/>
      <scheme val="minor"/>
    </font>
    <font>
      <b/>
      <sz val="22"/>
      <color rgb="FFFF0000"/>
      <name val="Arial"/>
      <family val="2"/>
    </font>
    <font>
      <b/>
      <sz val="11"/>
      <name val="Arial"/>
      <family val="2"/>
    </font>
    <font>
      <sz val="12"/>
      <name val="Arial"/>
      <family val="2"/>
    </font>
    <font>
      <b/>
      <sz val="12"/>
      <name val="Arial"/>
      <family val="2"/>
    </font>
    <font>
      <b/>
      <sz val="11"/>
      <color theme="0"/>
      <name val="Arial"/>
      <family val="2"/>
    </font>
    <font>
      <b/>
      <sz val="11"/>
      <color indexed="9"/>
      <name val="Arial"/>
      <family val="2"/>
    </font>
    <font>
      <sz val="11"/>
      <name val="Arial"/>
      <family val="2"/>
    </font>
    <font>
      <i/>
      <sz val="11"/>
      <name val="Arial"/>
      <family val="2"/>
    </font>
    <font>
      <sz val="10"/>
      <color theme="0"/>
      <name val="Arial"/>
      <family val="2"/>
    </font>
    <font>
      <sz val="10"/>
      <color rgb="FF008000"/>
      <name val="Arial"/>
      <family val="2"/>
    </font>
    <font>
      <sz val="11"/>
      <color theme="9" tint="-0.499984740745262"/>
      <name val="Calibri"/>
      <family val="2"/>
      <scheme val="minor"/>
    </font>
    <font>
      <vertAlign val="superscript"/>
      <sz val="11"/>
      <color theme="1"/>
      <name val="Calibri"/>
      <family val="2"/>
      <scheme val="minor"/>
    </font>
    <font>
      <b/>
      <i/>
      <sz val="11"/>
      <color theme="0"/>
      <name val="Calibri"/>
      <family val="2"/>
      <scheme val="minor"/>
    </font>
    <font>
      <b/>
      <sz val="12"/>
      <color rgb="FFFF0000"/>
      <name val="Arial"/>
      <family val="2"/>
    </font>
  </fonts>
  <fills count="19">
    <fill>
      <patternFill patternType="none"/>
    </fill>
    <fill>
      <patternFill patternType="gray125"/>
    </fill>
    <fill>
      <patternFill patternType="solid">
        <fgColor theme="8" tint="0.79998168889431442"/>
        <bgColor indexed="64"/>
      </patternFill>
    </fill>
    <fill>
      <patternFill patternType="solid">
        <fgColor rgb="FFB3FFB3"/>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rgb="FFCCCCFF"/>
        <bgColor indexed="64"/>
      </patternFill>
    </fill>
    <fill>
      <patternFill patternType="solid">
        <fgColor theme="9" tint="-0.499984740745262"/>
        <bgColor indexed="64"/>
      </patternFill>
    </fill>
    <fill>
      <patternFill patternType="solid">
        <fgColor theme="8" tint="0.59999389629810485"/>
        <bgColor indexed="64"/>
      </patternFill>
    </fill>
    <fill>
      <patternFill patternType="solid">
        <fgColor theme="8" tint="-0.249977111117893"/>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rgb="FFD5AB81"/>
        <bgColor indexed="64"/>
      </patternFill>
    </fill>
    <fill>
      <patternFill patternType="solid">
        <fgColor rgb="FFFFCCFF"/>
        <bgColor indexed="64"/>
      </patternFill>
    </fill>
    <fill>
      <patternFill patternType="solid">
        <fgColor rgb="FFCCFFFF"/>
        <bgColor indexed="64"/>
      </patternFill>
    </fill>
    <fill>
      <patternFill patternType="solid">
        <fgColor rgb="FFFFB5A3"/>
        <bgColor indexed="64"/>
      </patternFill>
    </fill>
  </fills>
  <borders count="7">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0" fontId="9" fillId="0" borderId="0"/>
    <xf numFmtId="0" fontId="6" fillId="0" borderId="0"/>
    <xf numFmtId="0" fontId="6" fillId="0" borderId="0"/>
    <xf numFmtId="0" fontId="6" fillId="0" borderId="0"/>
  </cellStyleXfs>
  <cellXfs count="108">
    <xf numFmtId="0" fontId="0" fillId="0" borderId="0" xfId="0"/>
    <xf numFmtId="11" fontId="0" fillId="0" borderId="0" xfId="0" applyNumberFormat="1" applyAlignment="1">
      <alignment horizontal="left"/>
    </xf>
    <xf numFmtId="0" fontId="0" fillId="0" borderId="0" xfId="0" applyAlignment="1">
      <alignment horizontal="left"/>
    </xf>
    <xf numFmtId="0" fontId="0" fillId="0" borderId="0" xfId="0" applyAlignment="1" applyProtection="1">
      <alignment horizontal="left"/>
      <protection locked="0"/>
    </xf>
    <xf numFmtId="11" fontId="0" fillId="0" borderId="0" xfId="0" applyNumberFormat="1" applyAlignment="1" applyProtection="1">
      <alignment horizontal="left"/>
      <protection locked="0"/>
    </xf>
    <xf numFmtId="0" fontId="13" fillId="0" borderId="0" xfId="0" applyFont="1" applyAlignment="1" applyProtection="1">
      <alignment horizontal="left"/>
      <protection locked="0"/>
    </xf>
    <xf numFmtId="0" fontId="12" fillId="0" borderId="0" xfId="0" applyFont="1" applyAlignment="1">
      <alignment horizontal="left"/>
    </xf>
    <xf numFmtId="11" fontId="0" fillId="0" borderId="0" xfId="0" applyNumberFormat="1" applyProtection="1">
      <protection locked="0"/>
    </xf>
    <xf numFmtId="11" fontId="1" fillId="0" borderId="0" xfId="0" applyNumberFormat="1" applyFont="1" applyProtection="1">
      <protection locked="0"/>
    </xf>
    <xf numFmtId="11" fontId="16" fillId="0" borderId="0" xfId="0" applyNumberFormat="1" applyFont="1" applyProtection="1">
      <protection locked="0"/>
    </xf>
    <xf numFmtId="0" fontId="0" fillId="0" borderId="0" xfId="0" applyFill="1" applyAlignment="1" applyProtection="1">
      <alignment horizontal="left"/>
      <protection locked="0"/>
    </xf>
    <xf numFmtId="11" fontId="0" fillId="0" borderId="0" xfId="0" applyNumberFormat="1" applyFill="1" applyAlignment="1" applyProtection="1">
      <alignment horizontal="left"/>
      <protection locked="0"/>
    </xf>
    <xf numFmtId="0" fontId="0" fillId="5" borderId="0" xfId="0" applyFill="1" applyAlignment="1" applyProtection="1">
      <alignment horizontal="left"/>
      <protection locked="0"/>
    </xf>
    <xf numFmtId="0" fontId="0" fillId="6" borderId="0" xfId="0" applyFill="1" applyAlignment="1" applyProtection="1">
      <alignment horizontal="left"/>
      <protection locked="0"/>
    </xf>
    <xf numFmtId="0" fontId="20" fillId="0" borderId="0" xfId="3" applyFont="1" applyAlignment="1">
      <alignment horizontal="center" vertical="center"/>
    </xf>
    <xf numFmtId="0" fontId="20" fillId="0" borderId="0" xfId="3" applyFont="1" applyAlignment="1" applyProtection="1">
      <alignment vertical="center"/>
      <protection locked="0"/>
    </xf>
    <xf numFmtId="0" fontId="6" fillId="0" borderId="0" xfId="3" applyProtection="1">
      <protection locked="0"/>
    </xf>
    <xf numFmtId="0" fontId="21" fillId="0" borderId="0" xfId="3" applyFont="1" applyAlignment="1" applyProtection="1">
      <alignment wrapText="1"/>
      <protection locked="0"/>
    </xf>
    <xf numFmtId="0" fontId="21" fillId="0" borderId="0" xfId="3" applyFont="1" applyAlignment="1">
      <alignment wrapText="1"/>
    </xf>
    <xf numFmtId="0" fontId="22" fillId="0" borderId="0" xfId="3" applyFont="1" applyAlignment="1">
      <alignment wrapText="1"/>
    </xf>
    <xf numFmtId="0" fontId="23" fillId="0" borderId="0" xfId="3" applyFont="1" applyAlignment="1">
      <alignment horizontal="center"/>
    </xf>
    <xf numFmtId="0" fontId="24" fillId="7" borderId="1" xfId="3" applyFont="1" applyFill="1" applyBorder="1" applyAlignment="1">
      <alignment wrapText="1"/>
    </xf>
    <xf numFmtId="0" fontId="24" fillId="0" borderId="0" xfId="3" applyFont="1" applyProtection="1">
      <protection locked="0"/>
    </xf>
    <xf numFmtId="0" fontId="21" fillId="0" borderId="2" xfId="3" applyFont="1" applyBorder="1"/>
    <xf numFmtId="0" fontId="26" fillId="0" borderId="2" xfId="3" applyFont="1" applyBorder="1"/>
    <xf numFmtId="0" fontId="26" fillId="0" borderId="3" xfId="3" applyFont="1" applyBorder="1"/>
    <xf numFmtId="0" fontId="6" fillId="5" borderId="1" xfId="4" applyFill="1" applyBorder="1"/>
    <xf numFmtId="0" fontId="6" fillId="6" borderId="2" xfId="4" applyFill="1" applyBorder="1"/>
    <xf numFmtId="0" fontId="6" fillId="4" borderId="2" xfId="4" applyFill="1" applyBorder="1"/>
    <xf numFmtId="0" fontId="6" fillId="8" borderId="2" xfId="4" applyFill="1" applyBorder="1"/>
    <xf numFmtId="0" fontId="28" fillId="9" borderId="2" xfId="4" applyFont="1" applyFill="1" applyBorder="1"/>
    <xf numFmtId="0" fontId="6" fillId="10" borderId="2" xfId="4" applyFill="1" applyBorder="1"/>
    <xf numFmtId="0" fontId="6" fillId="11" borderId="2" xfId="4" applyFill="1" applyBorder="1"/>
    <xf numFmtId="0" fontId="6" fillId="2" borderId="2" xfId="3" applyFill="1" applyBorder="1" applyAlignment="1">
      <alignment wrapText="1"/>
    </xf>
    <xf numFmtId="0" fontId="6" fillId="12" borderId="4" xfId="3" applyFill="1" applyBorder="1" applyAlignment="1">
      <alignment wrapText="1"/>
    </xf>
    <xf numFmtId="0" fontId="6" fillId="0" borderId="3" xfId="3" applyBorder="1"/>
    <xf numFmtId="0" fontId="29" fillId="3" borderId="1" xfId="3" applyFont="1" applyFill="1" applyBorder="1"/>
    <xf numFmtId="0" fontId="16" fillId="0" borderId="5" xfId="3" applyFont="1" applyBorder="1"/>
    <xf numFmtId="0" fontId="6" fillId="0" borderId="3" xfId="3" applyBorder="1" applyAlignment="1">
      <alignment wrapText="1"/>
    </xf>
    <xf numFmtId="0" fontId="6" fillId="0" borderId="0" xfId="3"/>
    <xf numFmtId="11" fontId="0" fillId="0" borderId="0" xfId="0" applyNumberFormat="1" applyAlignment="1" applyProtection="1">
      <alignment horizontal="center"/>
      <protection locked="0"/>
    </xf>
    <xf numFmtId="0" fontId="0" fillId="0" borderId="0" xfId="0" applyAlignment="1" applyProtection="1">
      <alignment horizontal="center"/>
      <protection locked="0"/>
    </xf>
    <xf numFmtId="0" fontId="8" fillId="0" borderId="0" xfId="0" applyFont="1" applyAlignment="1" applyProtection="1">
      <alignment horizontal="center" vertical="center"/>
      <protection locked="0"/>
    </xf>
    <xf numFmtId="0" fontId="6" fillId="0" borderId="0" xfId="0" applyFont="1" applyAlignment="1" applyProtection="1">
      <alignment horizontal="center" vertical="center"/>
      <protection locked="0"/>
    </xf>
    <xf numFmtId="0" fontId="2" fillId="0" borderId="0" xfId="0" applyFont="1" applyAlignment="1" applyProtection="1">
      <alignment horizontal="center"/>
      <protection locked="0"/>
    </xf>
    <xf numFmtId="0" fontId="5" fillId="0" borderId="0" xfId="0" applyFont="1" applyAlignment="1" applyProtection="1">
      <alignment horizontal="center" vertical="center"/>
      <protection locked="0"/>
    </xf>
    <xf numFmtId="0" fontId="8" fillId="0" borderId="0" xfId="2" applyFont="1" applyAlignment="1" applyProtection="1">
      <alignment horizontal="center"/>
      <protection locked="0"/>
    </xf>
    <xf numFmtId="0" fontId="1" fillId="0" borderId="0" xfId="0" applyFont="1" applyAlignment="1" applyProtection="1">
      <alignment horizontal="left"/>
    </xf>
    <xf numFmtId="11" fontId="0" fillId="0" borderId="0" xfId="0" applyNumberFormat="1" applyAlignment="1" applyProtection="1">
      <alignment horizontal="left"/>
    </xf>
    <xf numFmtId="0" fontId="0" fillId="6" borderId="0" xfId="0" applyFill="1" applyAlignment="1" applyProtection="1">
      <alignment horizontal="left"/>
    </xf>
    <xf numFmtId="0" fontId="0" fillId="0" borderId="0" xfId="0" applyAlignment="1" applyProtection="1">
      <alignment horizontal="left"/>
    </xf>
    <xf numFmtId="0" fontId="0" fillId="5" borderId="0" xfId="0" applyFill="1" applyAlignment="1" applyProtection="1">
      <alignment horizontal="left"/>
    </xf>
    <xf numFmtId="0" fontId="12" fillId="10" borderId="0" xfId="0" applyFont="1" applyFill="1" applyAlignment="1" applyProtection="1">
      <alignment horizontal="left"/>
    </xf>
    <xf numFmtId="11" fontId="17" fillId="10" borderId="0" xfId="0" applyNumberFormat="1" applyFont="1" applyFill="1" applyAlignment="1" applyProtection="1">
      <alignment horizontal="left"/>
    </xf>
    <xf numFmtId="11" fontId="19" fillId="10" borderId="0" xfId="0" applyNumberFormat="1" applyFont="1" applyFill="1" applyAlignment="1" applyProtection="1">
      <alignment horizontal="left"/>
    </xf>
    <xf numFmtId="0" fontId="17" fillId="0" borderId="0" xfId="0" applyFont="1" applyAlignment="1" applyProtection="1">
      <alignment horizontal="left"/>
    </xf>
    <xf numFmtId="11" fontId="0" fillId="11" borderId="0" xfId="0" applyNumberFormat="1" applyFill="1" applyAlignment="1" applyProtection="1">
      <alignment horizontal="left"/>
    </xf>
    <xf numFmtId="0" fontId="18" fillId="0" borderId="0" xfId="0" applyFont="1" applyAlignment="1" applyProtection="1">
      <alignment horizontal="left"/>
    </xf>
    <xf numFmtId="0" fontId="0" fillId="0" borderId="0" xfId="0" applyFont="1" applyAlignment="1" applyProtection="1">
      <alignment horizontal="left"/>
    </xf>
    <xf numFmtId="0" fontId="0" fillId="0" borderId="0" xfId="0" applyNumberFormat="1" applyAlignment="1" applyProtection="1">
      <alignment horizontal="left"/>
    </xf>
    <xf numFmtId="0" fontId="0" fillId="0" borderId="0" xfId="0" applyFill="1" applyAlignment="1" applyProtection="1">
      <alignment horizontal="left"/>
    </xf>
    <xf numFmtId="0" fontId="0" fillId="0" borderId="0" xfId="0" applyFont="1" applyFill="1" applyAlignment="1" applyProtection="1">
      <alignment horizontal="left"/>
    </xf>
    <xf numFmtId="0" fontId="0" fillId="0" borderId="0" xfId="0" applyNumberFormat="1" applyFill="1" applyAlignment="1" applyProtection="1">
      <alignment horizontal="left"/>
    </xf>
    <xf numFmtId="11" fontId="17" fillId="2" borderId="0" xfId="0" applyNumberFormat="1" applyFont="1" applyFill="1" applyAlignment="1">
      <alignment horizontal="left"/>
    </xf>
    <xf numFmtId="11" fontId="0" fillId="2" borderId="0" xfId="0" applyNumberFormat="1" applyFill="1" applyAlignment="1">
      <alignment horizontal="left"/>
    </xf>
    <xf numFmtId="11" fontId="17" fillId="4" borderId="0" xfId="0" applyNumberFormat="1" applyFont="1" applyFill="1" applyAlignment="1" applyProtection="1">
      <alignment horizontal="left"/>
    </xf>
    <xf numFmtId="11" fontId="17" fillId="2" borderId="0" xfId="0" applyNumberFormat="1" applyFont="1" applyFill="1" applyAlignment="1" applyProtection="1">
      <alignment horizontal="left"/>
    </xf>
    <xf numFmtId="0" fontId="17" fillId="4" borderId="0" xfId="0" applyFont="1" applyFill="1" applyAlignment="1" applyProtection="1">
      <alignment horizontal="left"/>
    </xf>
    <xf numFmtId="0" fontId="17" fillId="2" borderId="0" xfId="0" applyFont="1" applyFill="1" applyAlignment="1" applyProtection="1">
      <alignment horizontal="left"/>
    </xf>
    <xf numFmtId="11" fontId="0" fillId="4" borderId="0" xfId="0" applyNumberFormat="1" applyFill="1" applyAlignment="1" applyProtection="1">
      <alignment horizontal="left"/>
    </xf>
    <xf numFmtId="11" fontId="0" fillId="0" borderId="0" xfId="0" applyNumberFormat="1" applyFill="1" applyAlignment="1" applyProtection="1">
      <alignment horizontal="left"/>
    </xf>
    <xf numFmtId="11" fontId="19" fillId="2" borderId="0" xfId="0" applyNumberFormat="1" applyFont="1" applyFill="1" applyAlignment="1">
      <alignment horizontal="left"/>
    </xf>
    <xf numFmtId="11" fontId="32" fillId="9" borderId="0" xfId="0" applyNumberFormat="1" applyFont="1" applyFill="1" applyAlignment="1">
      <alignment horizontal="left"/>
    </xf>
    <xf numFmtId="11" fontId="0" fillId="8" borderId="0" xfId="0" applyNumberFormat="1" applyFill="1" applyAlignment="1">
      <alignment horizontal="left"/>
    </xf>
    <xf numFmtId="11" fontId="8" fillId="2" borderId="0" xfId="0" applyNumberFormat="1" applyFont="1" applyFill="1" applyAlignment="1">
      <alignment horizontal="left"/>
    </xf>
    <xf numFmtId="0" fontId="13" fillId="0" borderId="0" xfId="0" applyFont="1" applyAlignment="1" applyProtection="1">
      <alignment horizontal="left"/>
    </xf>
    <xf numFmtId="11" fontId="13" fillId="0" borderId="0" xfId="0" applyNumberFormat="1" applyFont="1" applyAlignment="1" applyProtection="1">
      <alignment horizontal="left"/>
    </xf>
    <xf numFmtId="11" fontId="1" fillId="0" borderId="0" xfId="0" applyNumberFormat="1" applyFont="1" applyAlignment="1" applyProtection="1">
      <alignment horizontal="left"/>
    </xf>
    <xf numFmtId="11" fontId="12" fillId="0" borderId="0" xfId="0" applyNumberFormat="1" applyFont="1" applyFill="1" applyBorder="1" applyAlignment="1" applyProtection="1">
      <alignment horizontal="left" vertical="center"/>
    </xf>
    <xf numFmtId="11" fontId="12" fillId="0" borderId="0" xfId="0" applyNumberFormat="1" applyFont="1" applyAlignment="1" applyProtection="1">
      <alignment horizontal="left" vertical="center"/>
    </xf>
    <xf numFmtId="0" fontId="12" fillId="0" borderId="0" xfId="0" applyFont="1" applyAlignment="1" applyProtection="1">
      <alignment horizontal="left"/>
    </xf>
    <xf numFmtId="11" fontId="5" fillId="3" borderId="0" xfId="0" applyNumberFormat="1" applyFont="1" applyFill="1" applyAlignment="1" applyProtection="1">
      <alignment horizontal="left"/>
    </xf>
    <xf numFmtId="0" fontId="0" fillId="0" borderId="0" xfId="0" applyProtection="1">
      <protection locked="0"/>
    </xf>
    <xf numFmtId="0" fontId="2" fillId="0" borderId="0" xfId="0" applyFont="1" applyProtection="1">
      <protection locked="0"/>
    </xf>
    <xf numFmtId="0" fontId="8" fillId="0" borderId="0" xfId="0" applyFont="1" applyAlignment="1" applyProtection="1">
      <alignment vertical="center"/>
      <protection locked="0"/>
    </xf>
    <xf numFmtId="0" fontId="9" fillId="0" borderId="0" xfId="1" applyProtection="1">
      <protection locked="0"/>
    </xf>
    <xf numFmtId="0" fontId="0" fillId="0" borderId="0" xfId="0" applyAlignment="1" applyProtection="1">
      <alignment vertical="center"/>
      <protection locked="0"/>
    </xf>
    <xf numFmtId="0" fontId="8" fillId="0" borderId="0" xfId="1" applyFont="1" applyProtection="1">
      <protection locked="0"/>
    </xf>
    <xf numFmtId="0" fontId="0" fillId="0" borderId="0" xfId="0" applyAlignment="1" applyProtection="1">
      <alignment horizontal="center" vertical="center"/>
      <protection locked="0"/>
    </xf>
    <xf numFmtId="0" fontId="8" fillId="0" borderId="0" xfId="2" applyFont="1" applyProtection="1">
      <protection locked="0"/>
    </xf>
    <xf numFmtId="0" fontId="11" fillId="0" borderId="0" xfId="0" applyFont="1" applyProtection="1">
      <protection locked="0"/>
    </xf>
    <xf numFmtId="0" fontId="30" fillId="3" borderId="0" xfId="0" applyFont="1" applyFill="1" applyAlignment="1" applyProtection="1">
      <alignment horizontal="center"/>
    </xf>
    <xf numFmtId="11" fontId="5" fillId="3" borderId="0" xfId="0" applyNumberFormat="1" applyFont="1" applyFill="1" applyAlignment="1" applyProtection="1">
      <alignment horizontal="center"/>
    </xf>
    <xf numFmtId="11" fontId="1" fillId="0" borderId="0" xfId="0" applyNumberFormat="1" applyFont="1" applyProtection="1"/>
    <xf numFmtId="11" fontId="0" fillId="0" borderId="0" xfId="0" applyNumberFormat="1" applyProtection="1"/>
    <xf numFmtId="0" fontId="8" fillId="0" borderId="0" xfId="0" applyFont="1" applyProtection="1">
      <protection locked="0"/>
    </xf>
    <xf numFmtId="0" fontId="5" fillId="3" borderId="0" xfId="0" applyFont="1" applyFill="1" applyAlignment="1" applyProtection="1">
      <alignment horizontal="center"/>
    </xf>
    <xf numFmtId="164" fontId="5" fillId="3" borderId="0" xfId="0" applyNumberFormat="1" applyFont="1" applyFill="1" applyAlignment="1" applyProtection="1">
      <alignment horizontal="center"/>
    </xf>
    <xf numFmtId="0" fontId="5" fillId="3" borderId="0" xfId="0" applyFont="1" applyFill="1" applyAlignment="1" applyProtection="1">
      <alignment horizontal="center" vertical="center"/>
    </xf>
    <xf numFmtId="0" fontId="3" fillId="17" borderId="0" xfId="0" applyFont="1" applyFill="1" applyAlignment="1" applyProtection="1">
      <alignment horizontal="center"/>
      <protection locked="0"/>
    </xf>
    <xf numFmtId="0" fontId="3" fillId="18" borderId="0" xfId="0" applyFont="1" applyFill="1" applyAlignment="1" applyProtection="1">
      <alignment horizontal="center"/>
      <protection locked="0"/>
    </xf>
    <xf numFmtId="0" fontId="3" fillId="0" borderId="0" xfId="0" applyFont="1" applyAlignment="1" applyProtection="1">
      <alignment horizontal="center"/>
      <protection locked="0"/>
    </xf>
    <xf numFmtId="0" fontId="3" fillId="13" borderId="0" xfId="0" applyFont="1" applyFill="1" applyAlignment="1" applyProtection="1">
      <alignment horizontal="center"/>
      <protection locked="0"/>
    </xf>
    <xf numFmtId="0" fontId="3" fillId="14" borderId="0" xfId="0" applyFont="1" applyFill="1" applyAlignment="1" applyProtection="1">
      <alignment horizontal="center"/>
      <protection locked="0"/>
    </xf>
    <xf numFmtId="0" fontId="3" fillId="6" borderId="0" xfId="0" applyFont="1" applyFill="1" applyAlignment="1" applyProtection="1">
      <alignment horizontal="center"/>
      <protection locked="0"/>
    </xf>
    <xf numFmtId="0" fontId="3" fillId="15" borderId="0" xfId="0" applyFont="1" applyFill="1" applyAlignment="1" applyProtection="1">
      <alignment horizontal="center"/>
      <protection locked="0"/>
    </xf>
    <xf numFmtId="0" fontId="3" fillId="16" borderId="0" xfId="0" applyFont="1" applyFill="1" applyAlignment="1" applyProtection="1">
      <alignment horizontal="center"/>
      <protection locked="0"/>
    </xf>
    <xf numFmtId="0" fontId="33" fillId="0" borderId="6" xfId="3" applyFont="1" applyBorder="1" applyAlignment="1">
      <alignment horizontal="left" vertical="center" wrapText="1"/>
    </xf>
  </cellXfs>
  <cellStyles count="5">
    <cellStyle name="Excel Built-in Normal" xfId="1" xr:uid="{00000000-0005-0000-0000-000000000000}"/>
    <cellStyle name="Excel Built-in Normal 2" xfId="2" xr:uid="{00000000-0005-0000-0000-000001000000}"/>
    <cellStyle name="Normal" xfId="0" builtinId="0"/>
    <cellStyle name="Normal 2" xfId="3" xr:uid="{79FD442C-BDA7-4B9B-9559-22E6E5A4DF0A}"/>
    <cellStyle name="Normal 2 2" xfId="4" xr:uid="{BD4A8FEF-E816-4540-BBD5-CDA53A3CB46C}"/>
  </cellStyles>
  <dxfs count="0"/>
  <tableStyles count="0" defaultTableStyle="TableStyleMedium2" defaultPivotStyle="PivotStyleLight16"/>
  <colors>
    <mruColors>
      <color rgb="FFCCCCFF"/>
      <color rgb="FF2C5AB6"/>
      <color rgb="FF3366CC"/>
      <color rgb="FF0066CC"/>
      <color rgb="FF003399"/>
      <color rgb="FF0033CC"/>
      <color rgb="FF000099"/>
      <color rgb="FFE9D9FF"/>
      <color rgb="FFCC66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9.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85CDC-3E70-4668-8C9F-368C6FC0C2CD}">
  <sheetPr codeName="Sheet1"/>
  <dimension ref="B1:N31"/>
  <sheetViews>
    <sheetView tabSelected="1" workbookViewId="0">
      <pane xSplit="1" ySplit="2" topLeftCell="B3" activePane="bottomRight" state="frozen"/>
      <selection pane="topRight" activeCell="B1" sqref="B1"/>
      <selection pane="bottomLeft" activeCell="A3" sqref="A3"/>
      <selection pane="bottomRight" activeCell="B3" sqref="B3"/>
    </sheetView>
  </sheetViews>
  <sheetFormatPr defaultRowHeight="12.75" x14ac:dyDescent="0.2"/>
  <cols>
    <col min="1" max="1" width="9" style="16"/>
    <col min="2" max="2" width="159.140625" style="39" bestFit="1" customWidth="1"/>
    <col min="3" max="257" width="9" style="16"/>
    <col min="258" max="258" width="118.85546875" style="16" bestFit="1" customWidth="1"/>
    <col min="259" max="513" width="9" style="16"/>
    <col min="514" max="514" width="118.85546875" style="16" bestFit="1" customWidth="1"/>
    <col min="515" max="769" width="9" style="16"/>
    <col min="770" max="770" width="118.85546875" style="16" bestFit="1" customWidth="1"/>
    <col min="771" max="1025" width="9" style="16"/>
    <col min="1026" max="1026" width="118.85546875" style="16" bestFit="1" customWidth="1"/>
    <col min="1027" max="1281" width="9" style="16"/>
    <col min="1282" max="1282" width="118.85546875" style="16" bestFit="1" customWidth="1"/>
    <col min="1283" max="1537" width="9" style="16"/>
    <col min="1538" max="1538" width="118.85546875" style="16" bestFit="1" customWidth="1"/>
    <col min="1539" max="1793" width="9" style="16"/>
    <col min="1794" max="1794" width="118.85546875" style="16" bestFit="1" customWidth="1"/>
    <col min="1795" max="2049" width="9" style="16"/>
    <col min="2050" max="2050" width="118.85546875" style="16" bestFit="1" customWidth="1"/>
    <col min="2051" max="2305" width="9" style="16"/>
    <col min="2306" max="2306" width="118.85546875" style="16" bestFit="1" customWidth="1"/>
    <col min="2307" max="2561" width="9" style="16"/>
    <col min="2562" max="2562" width="118.85546875" style="16" bestFit="1" customWidth="1"/>
    <col min="2563" max="2817" width="9" style="16"/>
    <col min="2818" max="2818" width="118.85546875" style="16" bestFit="1" customWidth="1"/>
    <col min="2819" max="3073" width="9" style="16"/>
    <col min="3074" max="3074" width="118.85546875" style="16" bestFit="1" customWidth="1"/>
    <col min="3075" max="3329" width="9" style="16"/>
    <col min="3330" max="3330" width="118.85546875" style="16" bestFit="1" customWidth="1"/>
    <col min="3331" max="3585" width="9" style="16"/>
    <col min="3586" max="3586" width="118.85546875" style="16" bestFit="1" customWidth="1"/>
    <col min="3587" max="3841" width="9" style="16"/>
    <col min="3842" max="3842" width="118.85546875" style="16" bestFit="1" customWidth="1"/>
    <col min="3843" max="4097" width="9" style="16"/>
    <col min="4098" max="4098" width="118.85546875" style="16" bestFit="1" customWidth="1"/>
    <col min="4099" max="4353" width="9" style="16"/>
    <col min="4354" max="4354" width="118.85546875" style="16" bestFit="1" customWidth="1"/>
    <col min="4355" max="4609" width="9" style="16"/>
    <col min="4610" max="4610" width="118.85546875" style="16" bestFit="1" customWidth="1"/>
    <col min="4611" max="4865" width="9" style="16"/>
    <col min="4866" max="4866" width="118.85546875" style="16" bestFit="1" customWidth="1"/>
    <col min="4867" max="5121" width="9" style="16"/>
    <col min="5122" max="5122" width="118.85546875" style="16" bestFit="1" customWidth="1"/>
    <col min="5123" max="5377" width="9" style="16"/>
    <col min="5378" max="5378" width="118.85546875" style="16" bestFit="1" customWidth="1"/>
    <col min="5379" max="5633" width="9" style="16"/>
    <col min="5634" max="5634" width="118.85546875" style="16" bestFit="1" customWidth="1"/>
    <col min="5635" max="5889" width="9" style="16"/>
    <col min="5890" max="5890" width="118.85546875" style="16" bestFit="1" customWidth="1"/>
    <col min="5891" max="6145" width="9" style="16"/>
    <col min="6146" max="6146" width="118.85546875" style="16" bestFit="1" customWidth="1"/>
    <col min="6147" max="6401" width="9" style="16"/>
    <col min="6402" max="6402" width="118.85546875" style="16" bestFit="1" customWidth="1"/>
    <col min="6403" max="6657" width="9" style="16"/>
    <col min="6658" max="6658" width="118.85546875" style="16" bestFit="1" customWidth="1"/>
    <col min="6659" max="6913" width="9" style="16"/>
    <col min="6914" max="6914" width="118.85546875" style="16" bestFit="1" customWidth="1"/>
    <col min="6915" max="7169" width="9" style="16"/>
    <col min="7170" max="7170" width="118.85546875" style="16" bestFit="1" customWidth="1"/>
    <col min="7171" max="7425" width="9" style="16"/>
    <col min="7426" max="7426" width="118.85546875" style="16" bestFit="1" customWidth="1"/>
    <col min="7427" max="7681" width="9" style="16"/>
    <col min="7682" max="7682" width="118.85546875" style="16" bestFit="1" customWidth="1"/>
    <col min="7683" max="7937" width="9" style="16"/>
    <col min="7938" max="7938" width="118.85546875" style="16" bestFit="1" customWidth="1"/>
    <col min="7939" max="8193" width="9" style="16"/>
    <col min="8194" max="8194" width="118.85546875" style="16" bestFit="1" customWidth="1"/>
    <col min="8195" max="8449" width="9" style="16"/>
    <col min="8450" max="8450" width="118.85546875" style="16" bestFit="1" customWidth="1"/>
    <col min="8451" max="8705" width="9" style="16"/>
    <col min="8706" max="8706" width="118.85546875" style="16" bestFit="1" customWidth="1"/>
    <col min="8707" max="8961" width="9" style="16"/>
    <col min="8962" max="8962" width="118.85546875" style="16" bestFit="1" customWidth="1"/>
    <col min="8963" max="9217" width="9" style="16"/>
    <col min="9218" max="9218" width="118.85546875" style="16" bestFit="1" customWidth="1"/>
    <col min="9219" max="9473" width="9" style="16"/>
    <col min="9474" max="9474" width="118.85546875" style="16" bestFit="1" customWidth="1"/>
    <col min="9475" max="9729" width="9" style="16"/>
    <col min="9730" max="9730" width="118.85546875" style="16" bestFit="1" customWidth="1"/>
    <col min="9731" max="9985" width="9" style="16"/>
    <col min="9986" max="9986" width="118.85546875" style="16" bestFit="1" customWidth="1"/>
    <col min="9987" max="10241" width="9" style="16"/>
    <col min="10242" max="10242" width="118.85546875" style="16" bestFit="1" customWidth="1"/>
    <col min="10243" max="10497" width="9" style="16"/>
    <col min="10498" max="10498" width="118.85546875" style="16" bestFit="1" customWidth="1"/>
    <col min="10499" max="10753" width="9" style="16"/>
    <col min="10754" max="10754" width="118.85546875" style="16" bestFit="1" customWidth="1"/>
    <col min="10755" max="11009" width="9" style="16"/>
    <col min="11010" max="11010" width="118.85546875" style="16" bestFit="1" customWidth="1"/>
    <col min="11011" max="11265" width="9" style="16"/>
    <col min="11266" max="11266" width="118.85546875" style="16" bestFit="1" customWidth="1"/>
    <col min="11267" max="11521" width="9" style="16"/>
    <col min="11522" max="11522" width="118.85546875" style="16" bestFit="1" customWidth="1"/>
    <col min="11523" max="11777" width="9" style="16"/>
    <col min="11778" max="11778" width="118.85546875" style="16" bestFit="1" customWidth="1"/>
    <col min="11779" max="12033" width="9" style="16"/>
    <col min="12034" max="12034" width="118.85546875" style="16" bestFit="1" customWidth="1"/>
    <col min="12035" max="12289" width="9" style="16"/>
    <col min="12290" max="12290" width="118.85546875" style="16" bestFit="1" customWidth="1"/>
    <col min="12291" max="12545" width="9" style="16"/>
    <col min="12546" max="12546" width="118.85546875" style="16" bestFit="1" customWidth="1"/>
    <col min="12547" max="12801" width="9" style="16"/>
    <col min="12802" max="12802" width="118.85546875" style="16" bestFit="1" customWidth="1"/>
    <col min="12803" max="13057" width="9" style="16"/>
    <col min="13058" max="13058" width="118.85546875" style="16" bestFit="1" customWidth="1"/>
    <col min="13059" max="13313" width="9" style="16"/>
    <col min="13314" max="13314" width="118.85546875" style="16" bestFit="1" customWidth="1"/>
    <col min="13315" max="13569" width="9" style="16"/>
    <col min="13570" max="13570" width="118.85546875" style="16" bestFit="1" customWidth="1"/>
    <col min="13571" max="13825" width="9" style="16"/>
    <col min="13826" max="13826" width="118.85546875" style="16" bestFit="1" customWidth="1"/>
    <col min="13827" max="14081" width="9" style="16"/>
    <col min="14082" max="14082" width="118.85546875" style="16" bestFit="1" customWidth="1"/>
    <col min="14083" max="14337" width="9" style="16"/>
    <col min="14338" max="14338" width="118.85546875" style="16" bestFit="1" customWidth="1"/>
    <col min="14339" max="14593" width="9" style="16"/>
    <col min="14594" max="14594" width="118.85546875" style="16" bestFit="1" customWidth="1"/>
    <col min="14595" max="14849" width="9" style="16"/>
    <col min="14850" max="14850" width="118.85546875" style="16" bestFit="1" customWidth="1"/>
    <col min="14851" max="15105" width="9" style="16"/>
    <col min="15106" max="15106" width="118.85546875" style="16" bestFit="1" customWidth="1"/>
    <col min="15107" max="15361" width="9" style="16"/>
    <col min="15362" max="15362" width="118.85546875" style="16" bestFit="1" customWidth="1"/>
    <col min="15363" max="15617" width="9" style="16"/>
    <col min="15618" max="15618" width="118.85546875" style="16" bestFit="1" customWidth="1"/>
    <col min="15619" max="15873" width="9" style="16"/>
    <col min="15874" max="15874" width="118.85546875" style="16" bestFit="1" customWidth="1"/>
    <col min="15875" max="16129" width="9" style="16"/>
    <col min="16130" max="16130" width="118.85546875" style="16" bestFit="1" customWidth="1"/>
    <col min="16131" max="16384" width="9" style="16"/>
  </cols>
  <sheetData>
    <row r="1" spans="2:14" ht="28.5" thickBot="1" x14ac:dyDescent="0.25">
      <c r="B1" s="14" t="s">
        <v>319</v>
      </c>
      <c r="C1" s="15"/>
      <c r="D1" s="15"/>
      <c r="E1" s="15"/>
      <c r="F1" s="15"/>
      <c r="G1" s="15"/>
      <c r="H1" s="15"/>
      <c r="I1" s="15"/>
      <c r="J1" s="15"/>
      <c r="K1" s="15"/>
      <c r="L1" s="15"/>
      <c r="M1" s="15"/>
      <c r="N1" s="15"/>
    </row>
    <row r="2" spans="2:14" ht="48" thickBot="1" x14ac:dyDescent="0.3">
      <c r="B2" s="107" t="s">
        <v>409</v>
      </c>
      <c r="C2" s="17"/>
      <c r="D2" s="17"/>
      <c r="E2" s="17"/>
      <c r="F2" s="17"/>
      <c r="G2" s="17"/>
      <c r="H2" s="17"/>
      <c r="I2" s="17"/>
      <c r="J2" s="17"/>
      <c r="K2" s="17"/>
      <c r="L2" s="17"/>
      <c r="M2" s="17"/>
      <c r="N2" s="17"/>
    </row>
    <row r="3" spans="2:14" ht="15" x14ac:dyDescent="0.25">
      <c r="B3" s="18"/>
      <c r="C3" s="17"/>
      <c r="D3" s="17"/>
      <c r="E3" s="17"/>
      <c r="F3" s="17"/>
      <c r="G3" s="17"/>
      <c r="H3" s="17"/>
      <c r="I3" s="17"/>
      <c r="J3" s="17"/>
      <c r="K3" s="17"/>
      <c r="L3" s="17"/>
      <c r="M3" s="17"/>
      <c r="N3" s="17"/>
    </row>
    <row r="4" spans="2:14" ht="60.75" x14ac:dyDescent="0.25">
      <c r="B4" s="19" t="s">
        <v>320</v>
      </c>
      <c r="C4" s="17"/>
      <c r="D4" s="17"/>
      <c r="E4" s="17"/>
      <c r="F4" s="17"/>
      <c r="G4" s="17"/>
      <c r="H4" s="17"/>
      <c r="I4" s="17"/>
      <c r="J4" s="17"/>
      <c r="K4" s="17"/>
      <c r="L4" s="17"/>
      <c r="M4" s="17"/>
      <c r="N4" s="17"/>
    </row>
    <row r="6" spans="2:14" ht="16.5" thickBot="1" x14ac:dyDescent="0.3">
      <c r="B6" s="20" t="s">
        <v>321</v>
      </c>
    </row>
    <row r="7" spans="2:14" ht="45" x14ac:dyDescent="0.25">
      <c r="B7" s="21" t="s">
        <v>322</v>
      </c>
      <c r="C7" s="22"/>
      <c r="D7" s="22"/>
      <c r="E7" s="22"/>
      <c r="F7" s="22"/>
      <c r="G7" s="22"/>
      <c r="H7" s="22"/>
      <c r="I7" s="22"/>
      <c r="J7" s="22"/>
      <c r="K7" s="22"/>
      <c r="L7" s="22"/>
      <c r="M7" s="22"/>
      <c r="N7" s="22"/>
    </row>
    <row r="8" spans="2:14" ht="15" x14ac:dyDescent="0.25">
      <c r="B8" s="23"/>
    </row>
    <row r="9" spans="2:14" ht="14.25" x14ac:dyDescent="0.2">
      <c r="B9" s="24" t="s">
        <v>323</v>
      </c>
    </row>
    <row r="10" spans="2:14" ht="14.25" x14ac:dyDescent="0.2">
      <c r="B10" s="24" t="s">
        <v>324</v>
      </c>
    </row>
    <row r="11" spans="2:14" ht="14.25" x14ac:dyDescent="0.2">
      <c r="B11" s="24"/>
    </row>
    <row r="12" spans="2:14" ht="14.25" x14ac:dyDescent="0.2">
      <c r="B12" s="24" t="s">
        <v>325</v>
      </c>
    </row>
    <row r="13" spans="2:14" ht="15" thickBot="1" x14ac:dyDescent="0.25">
      <c r="B13" s="25" t="s">
        <v>326</v>
      </c>
    </row>
    <row r="16" spans="2:14" ht="16.5" thickBot="1" x14ac:dyDescent="0.3">
      <c r="B16" s="20" t="s">
        <v>327</v>
      </c>
    </row>
    <row r="17" spans="2:2" x14ac:dyDescent="0.2">
      <c r="B17" s="26" t="s">
        <v>328</v>
      </c>
    </row>
    <row r="18" spans="2:2" x14ac:dyDescent="0.2">
      <c r="B18" s="27" t="s">
        <v>329</v>
      </c>
    </row>
    <row r="19" spans="2:2" x14ac:dyDescent="0.2">
      <c r="B19" s="28" t="s">
        <v>330</v>
      </c>
    </row>
    <row r="20" spans="2:2" x14ac:dyDescent="0.2">
      <c r="B20" s="29" t="s">
        <v>331</v>
      </c>
    </row>
    <row r="21" spans="2:2" x14ac:dyDescent="0.2">
      <c r="B21" s="30" t="s">
        <v>332</v>
      </c>
    </row>
    <row r="22" spans="2:2" x14ac:dyDescent="0.2">
      <c r="B22" s="31" t="s">
        <v>333</v>
      </c>
    </row>
    <row r="23" spans="2:2" x14ac:dyDescent="0.2">
      <c r="B23" s="32" t="s">
        <v>334</v>
      </c>
    </row>
    <row r="24" spans="2:2" x14ac:dyDescent="0.2">
      <c r="B24" s="33" t="s">
        <v>335</v>
      </c>
    </row>
    <row r="25" spans="2:2" x14ac:dyDescent="0.2">
      <c r="B25" s="34" t="s">
        <v>336</v>
      </c>
    </row>
    <row r="26" spans="2:2" ht="13.5" thickBot="1" x14ac:dyDescent="0.25">
      <c r="B26" s="35" t="s">
        <v>337</v>
      </c>
    </row>
    <row r="28" spans="2:2" ht="16.5" thickBot="1" x14ac:dyDescent="0.3">
      <c r="B28" s="20" t="s">
        <v>338</v>
      </c>
    </row>
    <row r="29" spans="2:2" x14ac:dyDescent="0.2">
      <c r="B29" s="36" t="s">
        <v>339</v>
      </c>
    </row>
    <row r="30" spans="2:2" x14ac:dyDescent="0.2">
      <c r="B30" s="37" t="s">
        <v>340</v>
      </c>
    </row>
    <row r="31" spans="2:2" ht="26.25" thickBot="1" x14ac:dyDescent="0.25">
      <c r="B31" s="38" t="s">
        <v>341</v>
      </c>
    </row>
  </sheetData>
  <sheetProtection algorithmName="SHA-512" hashValue="PhoSGDoYxbJYBQrCHbxxWtPBP65NGXkA9pPOhOyl7bDXd5PFo6KnWrPdKOUjC/SDWRL8qq/1AlRmecbFYFK31w==" saltValue="eWzWcFC/9EFb5Ju+ql7dhA==" spinCount="100000" sheet="1" formatColumns="0" formatRows="0"/>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
    <tabColor theme="9" tint="-0.499984740745262"/>
  </sheetPr>
  <dimension ref="A1:AJ76"/>
  <sheetViews>
    <sheetView zoomScale="90" zoomScaleNormal="90" workbookViewId="0">
      <pane xSplit="2" ySplit="1" topLeftCell="C2" activePane="bottomRight" state="frozen"/>
      <selection activeCell="AA1390" sqref="AA1390"/>
      <selection pane="topRight" activeCell="AA1390" sqref="AA1390"/>
      <selection pane="bottomLeft" activeCell="AA1390" sqref="AA1390"/>
      <selection pane="bottomRight" activeCell="C2" sqref="C2"/>
    </sheetView>
  </sheetViews>
  <sheetFormatPr defaultColWidth="9.140625" defaultRowHeight="15" x14ac:dyDescent="0.25"/>
  <cols>
    <col min="1" max="1" width="15.42578125" style="3" customWidth="1"/>
    <col min="2" max="2" width="13.28515625" style="3" bestFit="1" customWidth="1"/>
    <col min="3" max="3" width="14.42578125" style="2" bestFit="1" customWidth="1"/>
    <col min="4" max="4" width="14.5703125" style="2" bestFit="1" customWidth="1"/>
    <col min="5" max="5" width="14.28515625" style="2" bestFit="1" customWidth="1"/>
    <col min="6" max="8" width="14.140625" style="2" bestFit="1" customWidth="1"/>
    <col min="9" max="9" width="14" style="2" bestFit="1" customWidth="1"/>
    <col min="10" max="11" width="14.5703125" style="2" bestFit="1" customWidth="1"/>
    <col min="12" max="12" width="14.42578125" style="2" bestFit="1" customWidth="1"/>
    <col min="13" max="13" width="14.28515625" style="2" bestFit="1" customWidth="1"/>
    <col min="14" max="14" width="13.5703125" style="2" bestFit="1" customWidth="1"/>
    <col min="15" max="16" width="15.42578125" style="2" bestFit="1" customWidth="1"/>
    <col min="17" max="17" width="16.42578125" style="2" bestFit="1" customWidth="1"/>
    <col min="18" max="18" width="13.85546875" style="2" bestFit="1" customWidth="1"/>
    <col min="19" max="19" width="13.140625" style="2" bestFit="1" customWidth="1"/>
    <col min="20" max="21" width="14.85546875" style="2" bestFit="1" customWidth="1"/>
    <col min="22" max="22" width="16" style="2" bestFit="1" customWidth="1"/>
    <col min="23" max="24" width="13.5703125" style="2" bestFit="1" customWidth="1"/>
    <col min="25" max="25" width="15.42578125" style="2" bestFit="1" customWidth="1"/>
    <col min="26" max="26" width="13" style="2" bestFit="1" customWidth="1"/>
    <col min="27" max="27" width="14.140625" style="2" bestFit="1" customWidth="1"/>
    <col min="28" max="28" width="11.7109375" style="2" bestFit="1" customWidth="1"/>
    <col min="29" max="29" width="11.28515625" style="2" bestFit="1" customWidth="1"/>
    <col min="30" max="30" width="11.5703125" style="2" bestFit="1" customWidth="1"/>
    <col min="31" max="31" width="10.7109375" style="2" bestFit="1" customWidth="1"/>
    <col min="32" max="32" width="11" style="2" bestFit="1" customWidth="1"/>
    <col min="33" max="33" width="11.42578125" style="2" bestFit="1" customWidth="1"/>
    <col min="34" max="34" width="11.5703125" style="2" bestFit="1" customWidth="1"/>
    <col min="35" max="35" width="12" style="2" bestFit="1" customWidth="1"/>
    <col min="36" max="36" width="11.42578125" style="2" bestFit="1" customWidth="1"/>
    <col min="37" max="16384" width="9.140625" style="2"/>
  </cols>
  <sheetData>
    <row r="1" spans="1:36" x14ac:dyDescent="0.25">
      <c r="A1" s="47" t="s">
        <v>51</v>
      </c>
      <c r="B1" s="47" t="s">
        <v>274</v>
      </c>
      <c r="C1" s="48" t="s">
        <v>364</v>
      </c>
      <c r="D1" s="48" t="s">
        <v>365</v>
      </c>
      <c r="E1" s="48" t="s">
        <v>366</v>
      </c>
      <c r="F1" s="48" t="s">
        <v>367</v>
      </c>
      <c r="G1" s="65" t="s">
        <v>376</v>
      </c>
      <c r="H1" s="65" t="s">
        <v>377</v>
      </c>
      <c r="I1" s="65" t="s">
        <v>378</v>
      </c>
      <c r="J1" s="66" t="s">
        <v>379</v>
      </c>
      <c r="K1" s="66" t="s">
        <v>380</v>
      </c>
      <c r="L1" s="66" t="s">
        <v>381</v>
      </c>
      <c r="M1" s="66" t="s">
        <v>382</v>
      </c>
      <c r="N1" s="48" t="s">
        <v>368</v>
      </c>
      <c r="O1" s="50" t="s">
        <v>369</v>
      </c>
      <c r="P1" s="50" t="s">
        <v>370</v>
      </c>
      <c r="Q1" s="50" t="s">
        <v>371</v>
      </c>
      <c r="R1" s="50" t="s">
        <v>372</v>
      </c>
      <c r="S1" s="67" t="s">
        <v>394</v>
      </c>
      <c r="T1" s="67" t="s">
        <v>395</v>
      </c>
      <c r="U1" s="67" t="s">
        <v>396</v>
      </c>
      <c r="V1" s="67" t="s">
        <v>397</v>
      </c>
      <c r="W1" s="67" t="s">
        <v>398</v>
      </c>
      <c r="X1" s="68" t="s">
        <v>399</v>
      </c>
      <c r="Y1" s="68" t="s">
        <v>400</v>
      </c>
      <c r="Z1" s="68" t="s">
        <v>401</v>
      </c>
      <c r="AA1" s="68" t="s">
        <v>402</v>
      </c>
      <c r="AB1" s="68" t="s">
        <v>403</v>
      </c>
      <c r="AC1" s="50" t="s">
        <v>373</v>
      </c>
      <c r="AD1" s="50" t="s">
        <v>374</v>
      </c>
      <c r="AE1" s="50" t="s">
        <v>375</v>
      </c>
      <c r="AF1" s="67" t="s">
        <v>404</v>
      </c>
      <c r="AG1" s="67" t="s">
        <v>405</v>
      </c>
      <c r="AH1" s="68" t="s">
        <v>406</v>
      </c>
      <c r="AI1" s="68" t="s">
        <v>407</v>
      </c>
      <c r="AJ1" s="68" t="s">
        <v>408</v>
      </c>
    </row>
    <row r="2" spans="1:36" x14ac:dyDescent="0.25">
      <c r="A2" s="49" t="s">
        <v>12</v>
      </c>
      <c r="B2" s="50" t="s">
        <v>289</v>
      </c>
      <c r="C2" s="48">
        <f>IFERROR((s_TR/(s_RadSpec!I2*s_EF_iw*s_ED_ind*s_IRS_iw*(1/1000)))*1,".")</f>
        <v>402.78728803318961</v>
      </c>
      <c r="D2" s="48">
        <f>IFERROR(IF(A2="H-3",(s_TR/(s_RadSpec!G2*s_EF_iw*s_ED_ind*(s_ET_iw_o+s_ET_iw_i)*(1/24)*s_IRA_iw*(1/17)*1000))*1,(s_TR/(s_RadSpec!G2*s_EF_iw*s_ED_ind*(s_ET_iw_o+s_ET_iw_i)*(1/24)*s_IRA_iw*(1/s_PEF_wind)*1000))*1),".")</f>
        <v>1579.7913613208443</v>
      </c>
      <c r="E2" s="48">
        <f>IFERROR((s_TR/(s_RadSpec!F2*s_EF_iw*(1/365)*s_ED_ind*s_RadSpec!Q2*(s_ET_iw_o+s_ET_iw_i)*(1/24)*s_RadSpec!AA2))*1,".")</f>
        <v>5128.0717010750523</v>
      </c>
      <c r="F2" s="48">
        <f t="shared" ref="F2:F30" si="0">(IF(AND(ISNUMBER(C2),ISNUMBER(D2),ISNUMBER(E2)),1/((1/C2)+(1/D2)+(1/E2)),IF(AND(ISNUMBER(C2),ISNUMBER(D2),NOT(ISNUMBER(E2))), 1/((1/C2)+(1/D2)),IF(AND(ISNUMBER(C2),NOT(ISNUMBER(D2)),ISNUMBER(E2)),1/((1/C2)+(1/E2)),IF(AND(NOT(ISNUMBER(C2)),ISNUMBER(D2),ISNUMBER(E2)),1/((1/D2)+(1/E2)),IF(AND(ISNUMBER(C2),NOT(ISNUMBER(D2)),NOT(ISNUMBER(E2))),1/((1/C2)),IF(AND(NOT(ISNUMBER(C2)),NOT(ISNUMBER(D2)),ISNUMBER(E2)),1/((1/E2)),IF(AND(NOT(ISNUMBER(C2)),ISNUMBER(D2),NOT(ISNUMBER(E2))),1/((1/D2)),IF(AND(NOT(ISNUMBER(C2)),NOT(ISNUMBER(D2)),NOT(ISNUMBER(E2))),".")))))))))</f>
        <v>302.05092095409702</v>
      </c>
      <c r="G2" s="69">
        <f t="shared" ref="G2:G30" si="1">s_C*s_EF_iw*s_ED_ind*s_IRS_iw*(1/1000)*1</f>
        <v>1527762.5</v>
      </c>
      <c r="H2" s="69">
        <f t="shared" ref="H2:H30" si="2">s_C*s_EF_iw*s_ED_ind*(s_ET_iw_o+s_ET_iw_i)*(1/24)*s_IRA_iw*(1/s_PEF_wind)*1000*1</f>
        <v>1231.1313567072434</v>
      </c>
      <c r="I2" s="69">
        <f>s_C*s_EF_iw*(1/365)*s_ED_ind*(s_ET_iw_o+s_ET_iw_i)*(1/24)*s_RadSpec!AA2*s_RadSpec!Q2*1</f>
        <v>262.8383102435742</v>
      </c>
      <c r="J2" s="11"/>
      <c r="K2" s="11"/>
      <c r="L2" s="11"/>
      <c r="M2" s="11"/>
      <c r="N2" s="48">
        <f>IFERROR((s_TR/(s_RadSpec!F2*s_EF_iw*(1/365)*s_ED_ind*s_RadSpec!Q2*(s_ET_iw_o+s_ET_iw_i)*(1/24)*s_RadSpec!AA2))*1,".")</f>
        <v>5128.0717010750523</v>
      </c>
      <c r="O2" s="48">
        <f>IFERROR((s_TR/(s_RadSpec!M2*s_EF_iw*(1/365)*s_ED_ind*s_RadSpec!R2*(s_ET_iw_o+s_ET_iw_i)*(1/24)*s_RadSpec!AB2))*1,".")</f>
        <v>37015.853721315179</v>
      </c>
      <c r="P2" s="48">
        <f>IFERROR((s_TR/(s_RadSpec!N2*s_EF_iw*(1/365)*s_ED_ind*s_RadSpec!S2*(s_ET_iw_o+s_ET_iw_i)*(1/24)*s_RadSpec!AC2))*1,".")</f>
        <v>9710.6118258894112</v>
      </c>
      <c r="Q2" s="48">
        <f>IFERROR((s_TR/(s_RadSpec!O2*s_EF_iw*(1/365)*s_ED_ind*s_RadSpec!T2*(s_ET_iw_o+s_ET_iw_i)*(1/24)*s_RadSpec!AD2))*1,".")</f>
        <v>6006.8202255782053</v>
      </c>
      <c r="R2" s="48">
        <f>IFERROR((s_TR/(s_RadSpec!K2*s_EF_iw*(1/365)*s_ED_ind*s_RadSpec!P2*(s_ET_iw_o+s_ET_iw_i)*(1/24)*s_RadSpec!Z2))*1,".")</f>
        <v>281201.53399471869</v>
      </c>
      <c r="S2" s="69">
        <f>s_C*s_EF_iw*(1/365)*s_ED_ind*(s_ET_iw_o+s_ET_iw_i)*(1/24)*s_RadSpec!AA2*s_RadSpec!Q2*1</f>
        <v>262.8383102435742</v>
      </c>
      <c r="T2" s="69">
        <f>s_C*s_EF_iw*(1/365)*s_ED_ind*(s_ET_iw_o+s_ET_iw_i)*(1/24)*s_RadSpec!AB2*s_RadSpec!R2*1</f>
        <v>129.9933789954338</v>
      </c>
      <c r="U2" s="69">
        <f>s_C*s_EF_iw*(1/365)*s_ED_ind*(s_ET_iw_o+s_ET_iw_i)*(1/24)*s_RadSpec!AC2*s_RadSpec!S2*1</f>
        <v>191.39513815712453</v>
      </c>
      <c r="V2" s="69">
        <f>s_C*s_EF_iw*(1/365)*s_ED_ind*(s_ET_iw_o+s_ET_iw_i)*(1/24)*s_RadSpec!AD2*s_RadSpec!T2*1</f>
        <v>230.25781745420966</v>
      </c>
      <c r="W2" s="69">
        <f>s_C*s_EF_iw*(1/365)*s_ED_ind*(s_ET_iw_o+s_ET_iw_i)*(1/24)*s_RadSpec!Z2*s_RadSpec!P2*1</f>
        <v>16.427162398252925</v>
      </c>
      <c r="X2" s="11"/>
      <c r="Y2" s="11"/>
      <c r="Z2" s="11"/>
      <c r="AA2" s="11"/>
      <c r="AB2" s="11"/>
      <c r="AC2" s="48">
        <f>IFERROR(s_TR/(s_RadSpec!G2*s_EF_iw*s_ED_ind*(s_ET_iw_o+s_ET_iw_i)*(1/24)*s_IRA_iw),".")</f>
        <v>5.0922330715076833E-3</v>
      </c>
      <c r="AD2" s="48">
        <f>IFERROR(s_TR/(s_RadSpec!J2*s_EF_iw*(1/365)*s_ED_ind*(s_ET_iw_o+s_ET_iw_i)*(1/24)*s_GSF_a),".")</f>
        <v>15465.613066734286</v>
      </c>
      <c r="AE2" s="48">
        <f t="shared" ref="AE2" si="3">IFERROR(IF(AND(ISNUMBER(AC2),ISNUMBER(AD2)),1/((1/AC2)+(1/AD2)),IF(AND(ISNUMBER(AC2),NOT(ISNUMBER(AD2))),1/((1/AC2)),IF(AND(NOT(ISNUMBER(AC2)),ISNUMBER(AD2)),1/((1/AD2)),IF(AND(NOT(ISNUMBER(AC2)),NOT(ISNUMBER(AD2))),".")))),".")</f>
        <v>5.0922313948312389E-3</v>
      </c>
      <c r="AF2" s="69">
        <f t="shared" ref="AF2:AF30" si="4">s_C*s_EF_iw*s_ED_ind*(s_ET_iw_o+s_ET_iw_i)*(1/24)*s_IRA_iw*1</f>
        <v>381940625</v>
      </c>
      <c r="AG2" s="69">
        <f t="shared" ref="AG2:AG30" si="5">s_C*s_EF_iw*(1/365)*s_ED_ind*(s_ET_iw_o+s_ET_iw_i)*(1/24)*s_GSF_a*1</f>
        <v>69760.844748858435</v>
      </c>
      <c r="AH2" s="11"/>
      <c r="AI2" s="11"/>
      <c r="AJ2" s="11"/>
    </row>
    <row r="3" spans="1:36" x14ac:dyDescent="0.25">
      <c r="A3" s="51" t="s">
        <v>13</v>
      </c>
      <c r="B3" s="50" t="s">
        <v>275</v>
      </c>
      <c r="C3" s="48">
        <f>IFERROR((s_TR/(s_RadSpec!I3*s_EF_iw*s_ED_ind*s_IRS_iw*(1/1000)))*1,".")</f>
        <v>399.51259463454579</v>
      </c>
      <c r="D3" s="48">
        <f>IFERROR(IF(A3="H-3",(s_TR/(s_RadSpec!G3*s_EF_iw*s_ED_ind*(s_ET_iw_o+s_ET_iw_i)*(1/24)*s_IRA_iw*(1/17)*1000))*1,(s_TR/(s_RadSpec!G3*s_EF_iw*s_ED_ind*(s_ET_iw_o+s_ET_iw_i)*(1/24)*s_IRA_iw*(1/s_PEF_wind)*1000))*1),".")</f>
        <v>1195.685226411463</v>
      </c>
      <c r="E3" s="48">
        <f>IFERROR((s_TR/(s_RadSpec!F3*s_EF_iw*(1/365)*s_ED_ind*s_RadSpec!Q3*(s_ET_iw_o+s_ET_iw_i)*(1/24)*s_RadSpec!AA3))*1,".")</f>
        <v>1002083.6314600776</v>
      </c>
      <c r="F3" s="48">
        <f t="shared" si="0"/>
        <v>299.36638171186712</v>
      </c>
      <c r="G3" s="69">
        <f t="shared" si="1"/>
        <v>1527762.5</v>
      </c>
      <c r="H3" s="69">
        <f t="shared" si="2"/>
        <v>1231.1313567072434</v>
      </c>
      <c r="I3" s="69">
        <f>s_C*s_EF_iw*(1/365)*s_ED_ind*(s_ET_iw_o+s_ET_iw_i)*(1/24)*s_RadSpec!AA3*s_RadSpec!Q3*1</f>
        <v>2.003388362018498</v>
      </c>
      <c r="J3" s="4"/>
      <c r="K3" s="4"/>
      <c r="L3" s="4"/>
      <c r="M3" s="4"/>
      <c r="N3" s="48">
        <f>IFERROR((s_TR/(s_RadSpec!F3*s_EF_iw*(1/365)*s_ED_ind*s_RadSpec!Q3*(s_ET_iw_o+s_ET_iw_i)*(1/24)*s_RadSpec!AA3))*1,".")</f>
        <v>1002083.6314600776</v>
      </c>
      <c r="O3" s="48">
        <f>IFERROR((s_TR/(s_RadSpec!M3*s_EF_iw*(1/365)*s_ED_ind*s_RadSpec!R3*(s_ET_iw_o+s_ET_iw_i)*(1/24)*s_RadSpec!AB3))*1,".")</f>
        <v>2826868.7455595122</v>
      </c>
      <c r="P3" s="48">
        <f>IFERROR((s_TR/(s_RadSpec!N3*s_EF_iw*(1/365)*s_ED_ind*s_RadSpec!S3*(s_ET_iw_o+s_ET_iw_i)*(1/24)*s_RadSpec!AC3))*1,".")</f>
        <v>1143412.3760979606</v>
      </c>
      <c r="Q3" s="48">
        <f>IFERROR((s_TR/(s_RadSpec!O3*s_EF_iw*(1/365)*s_ED_ind*s_RadSpec!T3*(s_ET_iw_o+s_ET_iw_i)*(1/24)*s_RadSpec!AD3))*1,".")</f>
        <v>1098083.2857872064</v>
      </c>
      <c r="R3" s="48">
        <f>IFERROR((s_TR/(s_RadSpec!K3*s_EF_iw*(1/365)*s_ED_ind*s_RadSpec!P3*(s_ET_iw_o+s_ET_iw_i)*(1/24)*s_RadSpec!Z3))*1,".")</f>
        <v>3226898.173596736</v>
      </c>
      <c r="S3" s="69">
        <f>s_C*s_EF_iw*(1/365)*s_ED_ind*(s_ET_iw_o+s_ET_iw_i)*(1/24)*s_RadSpec!AA3*s_RadSpec!Q3*1</f>
        <v>2.003388362018498</v>
      </c>
      <c r="T3" s="69">
        <f>s_C*s_EF_iw*(1/365)*s_ED_ind*(s_ET_iw_o+s_ET_iw_i)*(1/24)*s_RadSpec!AB3*s_RadSpec!R3*1</f>
        <v>1.4287838286429371</v>
      </c>
      <c r="U3" s="69">
        <f>s_C*s_EF_iw*(1/365)*s_ED_ind*(s_ET_iw_o+s_ET_iw_i)*(1/24)*s_RadSpec!AC3*s_RadSpec!S3*1</f>
        <v>1.8845840148572204</v>
      </c>
      <c r="V3" s="69">
        <f>s_C*s_EF_iw*(1/365)*s_ED_ind*(s_ET_iw_o+s_ET_iw_i)*(1/24)*s_RadSpec!AD3*s_RadSpec!T3*1</f>
        <v>1.8282426397166667</v>
      </c>
      <c r="W3" s="69">
        <f>s_C*s_EF_iw*(1/365)*s_ED_ind*(s_ET_iw_o+s_ET_iw_i)*(1/24)*s_RadSpec!Z3*s_RadSpec!P3*1</f>
        <v>0.92153581155477782</v>
      </c>
      <c r="X3" s="11"/>
      <c r="Y3" s="11"/>
      <c r="Z3" s="11"/>
      <c r="AA3" s="11"/>
      <c r="AB3" s="11"/>
      <c r="AC3" s="48">
        <f>IFERROR(s_TR/(s_RadSpec!G3*s_EF_iw*s_ED_ind*(s_ET_iw_o+s_ET_iw_i)*(1/24)*s_IRA_iw),".")</f>
        <v>3.8541215011803258E-3</v>
      </c>
      <c r="AD3" s="48">
        <f>IFERROR(s_TR/(s_RadSpec!J3*s_EF_iw*(1/365)*s_ED_ind*(s_ET_iw_o+s_ET_iw_i)*(1/24)*s_GSF_a),".")</f>
        <v>13723.008777524785</v>
      </c>
      <c r="AE3" s="48">
        <f>IFERROR(IF(AND(ISNUMBER(AC3),ISNUMBER(AD3)),1/((1/AC3)+(1/AD3)),IF(AND(ISNUMBER(AC3),NOT(ISNUMBER(AD3))),1/((1/AC3)),IF(AND(NOT(ISNUMBER(AC3)),ISNUMBER(AD3)),1/((1/AD3)),IF(AND(NOT(ISNUMBER(AC3)),NOT(ISNUMBER(AD3))),".")))),".")</f>
        <v>3.8541204187465378E-3</v>
      </c>
      <c r="AF3" s="69">
        <f t="shared" si="4"/>
        <v>381940625</v>
      </c>
      <c r="AG3" s="69">
        <f t="shared" si="5"/>
        <v>69760.844748858435</v>
      </c>
      <c r="AH3" s="10"/>
      <c r="AI3" s="10"/>
      <c r="AJ3" s="10"/>
    </row>
    <row r="4" spans="1:36" x14ac:dyDescent="0.25">
      <c r="A4" s="49" t="s">
        <v>14</v>
      </c>
      <c r="B4" s="50" t="s">
        <v>289</v>
      </c>
      <c r="C4" s="48" t="str">
        <f>IFERROR((s_TR/(s_RadSpec!I4*s_EF_iw*s_ED_ind*s_IRS_iw*(1/1000)))*1,".")</f>
        <v>.</v>
      </c>
      <c r="D4" s="48" t="str">
        <f>IFERROR(IF(A4="H-3",(s_TR/(s_RadSpec!G4*s_EF_iw*s_ED_ind*(s_ET_iw_o+s_ET_iw_i)*(1/24)*s_IRA_iw*(1/17)*1000))*1,(s_TR/(s_RadSpec!G4*s_EF_iw*s_ED_ind*(s_ET_iw_o+s_ET_iw_i)*(1/24)*s_IRA_iw*(1/s_PEF_wind)*1000))*1),".")</f>
        <v>.</v>
      </c>
      <c r="E4" s="48">
        <f>IFERROR((s_TR/(s_RadSpec!F4*s_EF_iw*(1/365)*s_ED_ind*s_RadSpec!Q4*(s_ET_iw_o+s_ET_iw_i)*(1/24)*s_RadSpec!AA4))*1,".")</f>
        <v>110239.09563362134</v>
      </c>
      <c r="F4" s="48">
        <f t="shared" si="0"/>
        <v>110239.09563362136</v>
      </c>
      <c r="G4" s="69">
        <f t="shared" si="1"/>
        <v>1527762.5</v>
      </c>
      <c r="H4" s="69">
        <f t="shared" si="2"/>
        <v>1231.1313567072434</v>
      </c>
      <c r="I4" s="69">
        <f>s_C*s_EF_iw*(1/365)*s_ED_ind*(s_ET_iw_o+s_ET_iw_i)*(1/24)*s_RadSpec!AA4*s_RadSpec!Q4*1</f>
        <v>538.1550880626221</v>
      </c>
      <c r="J4" s="4"/>
      <c r="K4" s="4"/>
      <c r="L4" s="4"/>
      <c r="M4" s="4"/>
      <c r="N4" s="48">
        <f>IFERROR((s_TR/(s_RadSpec!F4*s_EF_iw*(1/365)*s_ED_ind*s_RadSpec!Q4*(s_ET_iw_o+s_ET_iw_i)*(1/24)*s_RadSpec!AA4))*1,".")</f>
        <v>110239.09563362134</v>
      </c>
      <c r="O4" s="48">
        <f>IFERROR((s_TR/(s_RadSpec!M4*s_EF_iw*(1/365)*s_ED_ind*s_RadSpec!R4*(s_ET_iw_o+s_ET_iw_i)*(1/24)*s_RadSpec!AB4))*1,".")</f>
        <v>777350.88887110434</v>
      </c>
      <c r="P4" s="48">
        <f>IFERROR((s_TR/(s_RadSpec!N4*s_EF_iw*(1/365)*s_ED_ind*s_RadSpec!S4*(s_ET_iw_o+s_ET_iw_i)*(1/24)*s_RadSpec!AC4))*1,".")</f>
        <v>202710.37507221772</v>
      </c>
      <c r="Q4" s="48">
        <f>IFERROR((s_TR/(s_RadSpec!O4*s_EF_iw*(1/365)*s_ED_ind*s_RadSpec!T4*(s_ET_iw_o+s_ET_iw_i)*(1/24)*s_RadSpec!AD4))*1,".")</f>
        <v>120142.05340315313</v>
      </c>
      <c r="R4" s="48">
        <f>IFERROR((s_TR/(s_RadSpec!K4*s_EF_iw*(1/365)*s_ED_ind*s_RadSpec!P4*(s_ET_iw_o+s_ET_iw_i)*(1/24)*s_RadSpec!Z4))*1,".")</f>
        <v>1463977.9359287298</v>
      </c>
      <c r="S4" s="69">
        <f>s_C*s_EF_iw*(1/365)*s_ED_ind*(s_ET_iw_o+s_ET_iw_i)*(1/24)*s_RadSpec!AA4*s_RadSpec!Q4*1</f>
        <v>538.1550880626221</v>
      </c>
      <c r="T4" s="69">
        <f>s_C*s_EF_iw*(1/365)*s_ED_ind*(s_ET_iw_o+s_ET_iw_i)*(1/24)*s_RadSpec!AB4*s_RadSpec!R4*1</f>
        <v>329.77853881278526</v>
      </c>
      <c r="U4" s="69">
        <f>s_C*s_EF_iw*(1/365)*s_ED_ind*(s_ET_iw_o+s_ET_iw_i)*(1/24)*s_RadSpec!AC4*s_RadSpec!S4*1</f>
        <v>458.42840834964124</v>
      </c>
      <c r="V4" s="69">
        <f>s_C*s_EF_iw*(1/365)*s_ED_ind*(s_ET_iw_o+s_ET_iw_i)*(1/24)*s_RadSpec!AD4*s_RadSpec!T4*1</f>
        <v>526.62875621989167</v>
      </c>
      <c r="W4" s="69">
        <f>s_C*s_EF_iw*(1/365)*s_ED_ind*(s_ET_iw_o+s_ET_iw_i)*(1/24)*s_RadSpec!Z4*s_RadSpec!P4*1</f>
        <v>178.57125111453357</v>
      </c>
      <c r="X4" s="11"/>
      <c r="Y4" s="11"/>
      <c r="Z4" s="11"/>
      <c r="AA4" s="11"/>
      <c r="AB4" s="11"/>
      <c r="AC4" s="48" t="str">
        <f>IFERROR(s_TR/(s_RadSpec!G4*s_EF_iw*s_ED_ind*(s_ET_iw_o+s_ET_iw_i)*(1/24)*s_IRA_iw),".")</f>
        <v>.</v>
      </c>
      <c r="AD4" s="48">
        <f>IFERROR(s_TR/(s_RadSpec!J4*s_EF_iw*(1/365)*s_ED_ind*(s_ET_iw_o+s_ET_iw_i)*(1/24)*s_GSF_a),".")</f>
        <v>815829.5888073945</v>
      </c>
      <c r="AE4" s="48">
        <f t="shared" ref="AE4:AE30" si="6">IFERROR(IF(AND(ISNUMBER(AC4),ISNUMBER(AD4)),1/((1/AC4)+(1/AD4)),IF(AND(ISNUMBER(AC4),NOT(ISNUMBER(AD4))),1/((1/AC4)),IF(AND(NOT(ISNUMBER(AC4)),ISNUMBER(AD4)),1/((1/AD4)),IF(AND(NOT(ISNUMBER(AC4)),NOT(ISNUMBER(AD4))),".")))),".")</f>
        <v>815829.5888073945</v>
      </c>
      <c r="AF4" s="69">
        <f t="shared" si="4"/>
        <v>381940625</v>
      </c>
      <c r="AG4" s="69">
        <f t="shared" si="5"/>
        <v>69760.844748858435</v>
      </c>
      <c r="AH4" s="10"/>
      <c r="AI4" s="10"/>
      <c r="AJ4" s="10"/>
    </row>
    <row r="5" spans="1:36" x14ac:dyDescent="0.25">
      <c r="A5" s="49" t="s">
        <v>15</v>
      </c>
      <c r="B5" s="50" t="s">
        <v>289</v>
      </c>
      <c r="C5" s="48" t="str">
        <f>IFERROR((s_TR/(s_RadSpec!I5*s_EF_iw*s_ED_ind*s_IRS_iw*(1/1000)))*1,".")</f>
        <v>.</v>
      </c>
      <c r="D5" s="48" t="str">
        <f>IFERROR(IF(A5="H-3",(s_TR/(s_RadSpec!G5*s_EF_iw*s_ED_ind*(s_ET_iw_o+s_ET_iw_i)*(1/24)*s_IRA_iw*(1/17)*1000))*1,(s_TR/(s_RadSpec!G5*s_EF_iw*s_ED_ind*(s_ET_iw_o+s_ET_iw_i)*(1/24)*s_IRA_iw*(1/s_PEF_wind)*1000))*1),".")</f>
        <v>.</v>
      </c>
      <c r="E5" s="48" t="str">
        <f>IFERROR((s_TR/(s_RadSpec!F5*s_EF_iw*(1/365)*s_ED_ind*s_RadSpec!Q5*(s_ET_iw_o+s_ET_iw_i)*(1/24)*s_RadSpec!AA5))*1,".")</f>
        <v>.</v>
      </c>
      <c r="F5" s="48" t="str">
        <f t="shared" si="0"/>
        <v>.</v>
      </c>
      <c r="G5" s="69">
        <f t="shared" si="1"/>
        <v>1527762.5</v>
      </c>
      <c r="H5" s="69">
        <f t="shared" si="2"/>
        <v>1231.1313567072434</v>
      </c>
      <c r="I5" s="69">
        <f>s_C*s_EF_iw*(1/365)*s_ED_ind*(s_ET_iw_o+s_ET_iw_i)*(1/24)*s_RadSpec!AA5*s_RadSpec!Q5*1</f>
        <v>0</v>
      </c>
      <c r="J5" s="4"/>
      <c r="K5" s="4"/>
      <c r="L5" s="4"/>
      <c r="M5" s="4"/>
      <c r="N5" s="48" t="str">
        <f>IFERROR((s_TR/(s_RadSpec!F5*s_EF_iw*(1/365)*s_ED_ind*s_RadSpec!Q5*(s_ET_iw_o+s_ET_iw_i)*(1/24)*s_RadSpec!AA5))*1,".")</f>
        <v>.</v>
      </c>
      <c r="O5" s="48" t="str">
        <f>IFERROR((s_TR/(s_RadSpec!M5*s_EF_iw*(1/365)*s_ED_ind*s_RadSpec!R5*(s_ET_iw_o+s_ET_iw_i)*(1/24)*s_RadSpec!AB5))*1,".")</f>
        <v>.</v>
      </c>
      <c r="P5" s="48" t="str">
        <f>IFERROR((s_TR/(s_RadSpec!N5*s_EF_iw*(1/365)*s_ED_ind*s_RadSpec!S5*(s_ET_iw_o+s_ET_iw_i)*(1/24)*s_RadSpec!AC5))*1,".")</f>
        <v>.</v>
      </c>
      <c r="Q5" s="48" t="str">
        <f>IFERROR((s_TR/(s_RadSpec!O5*s_EF_iw*(1/365)*s_ED_ind*s_RadSpec!T5*(s_ET_iw_o+s_ET_iw_i)*(1/24)*s_RadSpec!AD5))*1,".")</f>
        <v>.</v>
      </c>
      <c r="R5" s="48" t="str">
        <f>IFERROR((s_TR/(s_RadSpec!K5*s_EF_iw*(1/365)*s_ED_ind*s_RadSpec!P5*(s_ET_iw_o+s_ET_iw_i)*(1/24)*s_RadSpec!Z5))*1,".")</f>
        <v>.</v>
      </c>
      <c r="S5" s="69">
        <f>s_C*s_EF_iw*(1/365)*s_ED_ind*(s_ET_iw_o+s_ET_iw_i)*(1/24)*s_RadSpec!AA5*s_RadSpec!Q5*1</f>
        <v>0</v>
      </c>
      <c r="T5" s="69">
        <f>s_C*s_EF_iw*(1/365)*s_ED_ind*(s_ET_iw_o+s_ET_iw_i)*(1/24)*s_RadSpec!AB5*s_RadSpec!R5*1</f>
        <v>0</v>
      </c>
      <c r="U5" s="69">
        <f>s_C*s_EF_iw*(1/365)*s_ED_ind*(s_ET_iw_o+s_ET_iw_i)*(1/24)*s_RadSpec!AC5*s_RadSpec!S5*1</f>
        <v>0</v>
      </c>
      <c r="V5" s="69">
        <f>s_C*s_EF_iw*(1/365)*s_ED_ind*(s_ET_iw_o+s_ET_iw_i)*(1/24)*s_RadSpec!AD5*s_RadSpec!T5*1</f>
        <v>0</v>
      </c>
      <c r="W5" s="69">
        <f>s_C*s_EF_iw*(1/365)*s_ED_ind*(s_ET_iw_o+s_ET_iw_i)*(1/24)*s_RadSpec!Z5*s_RadSpec!P5*1</f>
        <v>0</v>
      </c>
      <c r="X5" s="11"/>
      <c r="Y5" s="11"/>
      <c r="Z5" s="11"/>
      <c r="AA5" s="11"/>
      <c r="AB5" s="11"/>
      <c r="AC5" s="48" t="str">
        <f>IFERROR(s_TR/(s_RadSpec!G5*s_EF_iw*s_ED_ind*(s_ET_iw_o+s_ET_iw_i)*(1/24)*s_IRA_iw),".")</f>
        <v>.</v>
      </c>
      <c r="AD5" s="48">
        <f>IFERROR(s_TR/(s_RadSpec!J5*s_EF_iw*(1/365)*s_ED_ind*(s_ET_iw_o+s_ET_iw_i)*(1/24)*s_GSF_a),".")</f>
        <v>25834603.645567492</v>
      </c>
      <c r="AE5" s="48">
        <f t="shared" si="6"/>
        <v>25834603.645567495</v>
      </c>
      <c r="AF5" s="69">
        <f t="shared" si="4"/>
        <v>381940625</v>
      </c>
      <c r="AG5" s="69">
        <f t="shared" si="5"/>
        <v>69760.844748858435</v>
      </c>
      <c r="AH5" s="10"/>
      <c r="AI5" s="10"/>
      <c r="AJ5" s="10"/>
    </row>
    <row r="6" spans="1:36" x14ac:dyDescent="0.25">
      <c r="A6" s="49" t="s">
        <v>16</v>
      </c>
      <c r="B6" s="50" t="s">
        <v>289</v>
      </c>
      <c r="C6" s="48" t="str">
        <f>IFERROR((s_TR/(s_RadSpec!I6*s_EF_iw*s_ED_ind*s_IRS_iw*(1/1000)))*1,".")</f>
        <v>.</v>
      </c>
      <c r="D6" s="48" t="str">
        <f>IFERROR(IF(A6="H-3",(s_TR/(s_RadSpec!G6*s_EF_iw*s_ED_ind*(s_ET_iw_o+s_ET_iw_i)*(1/24)*s_IRA_iw*(1/17)*1000))*1,(s_TR/(s_RadSpec!G6*s_EF_iw*s_ED_ind*(s_ET_iw_o+s_ET_iw_i)*(1/24)*s_IRA_iw*(1/s_PEF_wind)*1000))*1),".")</f>
        <v>.</v>
      </c>
      <c r="E6" s="48">
        <f>IFERROR((s_TR/(s_RadSpec!F6*s_EF_iw*(1/365)*s_ED_ind*s_RadSpec!Q6*(s_ET_iw_o+s_ET_iw_i)*(1/24)*s_RadSpec!AA6))*1,".")</f>
        <v>19.756987143303817</v>
      </c>
      <c r="F6" s="48">
        <f t="shared" si="0"/>
        <v>19.756987143303817</v>
      </c>
      <c r="G6" s="69">
        <f t="shared" si="1"/>
        <v>1527762.5</v>
      </c>
      <c r="H6" s="69">
        <f t="shared" si="2"/>
        <v>1231.1313567072434</v>
      </c>
      <c r="I6" s="69">
        <f>s_C*s_EF_iw*(1/365)*s_ED_ind*(s_ET_iw_o+s_ET_iw_i)*(1/24)*s_RadSpec!AA6*s_RadSpec!Q6*1</f>
        <v>1047.0535835874603</v>
      </c>
      <c r="J6" s="4"/>
      <c r="K6" s="4"/>
      <c r="L6" s="4"/>
      <c r="M6" s="4"/>
      <c r="N6" s="48">
        <f>IFERROR((s_TR/(s_RadSpec!F6*s_EF_iw*(1/365)*s_ED_ind*s_RadSpec!Q6*(s_ET_iw_o+s_ET_iw_i)*(1/24)*s_RadSpec!AA6))*1,".")</f>
        <v>19.756987143303817</v>
      </c>
      <c r="O6" s="48">
        <f>IFERROR((s_TR/(s_RadSpec!M6*s_EF_iw*(1/365)*s_ED_ind*s_RadSpec!R6*(s_ET_iw_o+s_ET_iw_i)*(1/24)*s_RadSpec!AB6))*1,".")</f>
        <v>180.95334571076805</v>
      </c>
      <c r="P6" s="48">
        <f>IFERROR((s_TR/(s_RadSpec!N6*s_EF_iw*(1/365)*s_ED_ind*s_RadSpec!S6*(s_ET_iw_o+s_ET_iw_i)*(1/24)*s_RadSpec!AC6))*1,".")</f>
        <v>45.345512757018319</v>
      </c>
      <c r="Q6" s="48">
        <f>IFERROR((s_TR/(s_RadSpec!O6*s_EF_iw*(1/365)*s_ED_ind*s_RadSpec!T6*(s_ET_iw_o+s_ET_iw_i)*(1/24)*s_RadSpec!AD6))*1,".")</f>
        <v>24.182309211867231</v>
      </c>
      <c r="R6" s="48">
        <f>IFERROR((s_TR/(s_RadSpec!K6*s_EF_iw*(1/365)*s_ED_ind*s_RadSpec!P6*(s_ET_iw_o+s_ET_iw_i)*(1/24)*s_RadSpec!Z6))*1,".")</f>
        <v>310.44691890470858</v>
      </c>
      <c r="S6" s="69">
        <f>s_C*s_EF_iw*(1/365)*s_ED_ind*(s_ET_iw_o+s_ET_iw_i)*(1/24)*s_RadSpec!AA6*s_RadSpec!Q6*1</f>
        <v>1047.0535835874603</v>
      </c>
      <c r="T6" s="69">
        <f>s_C*s_EF_iw*(1/365)*s_ED_ind*(s_ET_iw_o+s_ET_iw_i)*(1/24)*s_RadSpec!AB6*s_RadSpec!R6*1</f>
        <v>560.87132952496063</v>
      </c>
      <c r="U6" s="69">
        <f>s_C*s_EF_iw*(1/365)*s_ED_ind*(s_ET_iw_o+s_ET_iw_i)*(1/24)*s_RadSpec!AC6*s_RadSpec!S6*1</f>
        <v>793.69142541072324</v>
      </c>
      <c r="V6" s="69">
        <f>s_C*s_EF_iw*(1/365)*s_ED_ind*(s_ET_iw_o+s_ET_iw_i)*(1/24)*s_RadSpec!AD6*s_RadSpec!T6*1</f>
        <v>959.76703603525016</v>
      </c>
      <c r="W6" s="69">
        <f>s_C*s_EF_iw*(1/365)*s_ED_ind*(s_ET_iw_o+s_ET_iw_i)*(1/24)*s_RadSpec!Z6*s_RadSpec!P6*1</f>
        <v>333.90077054794506</v>
      </c>
      <c r="X6" s="11"/>
      <c r="Y6" s="11"/>
      <c r="Z6" s="11"/>
      <c r="AA6" s="11"/>
      <c r="AB6" s="11"/>
      <c r="AC6" s="48" t="str">
        <f>IFERROR(s_TR/(s_RadSpec!G6*s_EF_iw*s_ED_ind*(s_ET_iw_o+s_ET_iw_i)*(1/24)*s_IRA_iw),".")</f>
        <v>.</v>
      </c>
      <c r="AD6" s="48">
        <f>IFERROR(s_TR/(s_RadSpec!J6*s_EF_iw*(1/365)*s_ED_ind*(s_ET_iw_o+s_ET_iw_i)*(1/24)*s_GSF_a),".")</f>
        <v>315.7562667791583</v>
      </c>
      <c r="AE6" s="48">
        <f t="shared" si="6"/>
        <v>315.7562667791583</v>
      </c>
      <c r="AF6" s="69">
        <f t="shared" si="4"/>
        <v>381940625</v>
      </c>
      <c r="AG6" s="69">
        <f t="shared" si="5"/>
        <v>69760.844748858435</v>
      </c>
      <c r="AH6" s="10"/>
      <c r="AI6" s="10"/>
      <c r="AJ6" s="10"/>
    </row>
    <row r="7" spans="1:36" x14ac:dyDescent="0.25">
      <c r="A7" s="49" t="s">
        <v>17</v>
      </c>
      <c r="B7" s="50" t="s">
        <v>289</v>
      </c>
      <c r="C7" s="48">
        <f>IFERROR((s_TR/(s_RadSpec!I7*s_EF_iw*s_ED_ind*s_IRS_iw*(1/1000)))*1,".")</f>
        <v>9730.7028000097307</v>
      </c>
      <c r="D7" s="48">
        <f>IFERROR(IF(A7="H-3",(s_TR/(s_RadSpec!G7*s_EF_iw*s_ED_ind*(s_ET_iw_o+s_ET_iw_i)*(1/24)*s_IRA_iw*(1/17)*1000))*1,(s_TR/(s_RadSpec!G7*s_EF_iw*s_ED_ind*(s_ET_iw_o+s_ET_iw_i)*(1/24)*s_IRA_iw*(1/s_PEF_wind)*1000))*1),".")</f>
        <v>99154.384629243243</v>
      </c>
      <c r="E7" s="48">
        <f>IFERROR((s_TR/(s_RadSpec!F7*s_EF_iw*(1/365)*s_ED_ind*s_RadSpec!Q7*(s_ET_iw_o+s_ET_iw_i)*(1/24)*s_RadSpec!AA7))*1,".")</f>
        <v>41486.224832298147</v>
      </c>
      <c r="F7" s="48">
        <f t="shared" si="0"/>
        <v>7301.5527806688606</v>
      </c>
      <c r="G7" s="69">
        <f t="shared" si="1"/>
        <v>1527762.5</v>
      </c>
      <c r="H7" s="69">
        <f t="shared" si="2"/>
        <v>1231.1313567072434</v>
      </c>
      <c r="I7" s="69">
        <f>s_C*s_EF_iw*(1/365)*s_ED_ind*(s_ET_iw_o+s_ET_iw_i)*(1/24)*s_RadSpec!AA7*s_RadSpec!Q7*1</f>
        <v>483.91066990347383</v>
      </c>
      <c r="J7" s="4"/>
      <c r="K7" s="4"/>
      <c r="L7" s="4"/>
      <c r="M7" s="4"/>
      <c r="N7" s="48">
        <f>IFERROR((s_TR/(s_RadSpec!F7*s_EF_iw*(1/365)*s_ED_ind*s_RadSpec!Q7*(s_ET_iw_o+s_ET_iw_i)*(1/24)*s_RadSpec!AA7))*1,".")</f>
        <v>41486.224832298147</v>
      </c>
      <c r="O7" s="48">
        <f>IFERROR((s_TR/(s_RadSpec!M7*s_EF_iw*(1/365)*s_ED_ind*s_RadSpec!R7*(s_ET_iw_o+s_ET_iw_i)*(1/24)*s_RadSpec!AB7))*1,".")</f>
        <v>191314.52505623535</v>
      </c>
      <c r="P7" s="48">
        <f>IFERROR((s_TR/(s_RadSpec!N7*s_EF_iw*(1/365)*s_ED_ind*s_RadSpec!S7*(s_ET_iw_o+s_ET_iw_i)*(1/24)*s_RadSpec!AC7))*1,".")</f>
        <v>65111.827467156945</v>
      </c>
      <c r="Q7" s="48">
        <f>IFERROR((s_TR/(s_RadSpec!O7*s_EF_iw*(1/365)*s_ED_ind*s_RadSpec!T7*(s_ET_iw_o+s_ET_iw_i)*(1/24)*s_RadSpec!AD7))*1,".")</f>
        <v>45833.858587608665</v>
      </c>
      <c r="R7" s="48">
        <f>IFERROR((s_TR/(s_RadSpec!K7*s_EF_iw*(1/365)*s_ED_ind*s_RadSpec!P7*(s_ET_iw_o+s_ET_iw_i)*(1/24)*s_RadSpec!Z7))*1,".")</f>
        <v>64813.856990222586</v>
      </c>
      <c r="S7" s="69">
        <f>s_C*s_EF_iw*(1/365)*s_ED_ind*(s_ET_iw_o+s_ET_iw_i)*(1/24)*s_RadSpec!AA7*s_RadSpec!Q7*1</f>
        <v>483.91066990347383</v>
      </c>
      <c r="T7" s="69">
        <f>s_C*s_EF_iw*(1/365)*s_ED_ind*(s_ET_iw_o+s_ET_iw_i)*(1/24)*s_RadSpec!AB7*s_RadSpec!R7*1</f>
        <v>304.17858412632</v>
      </c>
      <c r="U7" s="69">
        <f>s_C*s_EF_iw*(1/365)*s_ED_ind*(s_ET_iw_o+s_ET_iw_i)*(1/24)*s_RadSpec!AC7*s_RadSpec!S7*1</f>
        <v>415.18811040339693</v>
      </c>
      <c r="V7" s="69">
        <f>s_C*s_EF_iw*(1/365)*s_ED_ind*(s_ET_iw_o+s_ET_iw_i)*(1/24)*s_RadSpec!AD7*s_RadSpec!T7*1</f>
        <v>451.3393553751622</v>
      </c>
      <c r="W7" s="69">
        <f>s_C*s_EF_iw*(1/365)*s_ED_ind*(s_ET_iw_o+s_ET_iw_i)*(1/24)*s_RadSpec!Z7*s_RadSpec!P7*1</f>
        <v>177.74587985645886</v>
      </c>
      <c r="X7" s="11"/>
      <c r="Y7" s="11"/>
      <c r="Z7" s="11"/>
      <c r="AA7" s="11"/>
      <c r="AB7" s="11"/>
      <c r="AC7" s="48">
        <f>IFERROR(s_TR/(s_RadSpec!G7*s_EF_iw*s_ED_ind*(s_ET_iw_o+s_ET_iw_i)*(1/24)*s_IRA_iw),".")</f>
        <v>0.31961007570763672</v>
      </c>
      <c r="AD7" s="48">
        <f>IFERROR(s_TR/(s_RadSpec!J7*s_EF_iw*(1/365)*s_ED_ind*(s_ET_iw_o+s_ET_iw_i)*(1/24)*s_GSF_a),".")</f>
        <v>150559.27952383706</v>
      </c>
      <c r="AE7" s="48">
        <f t="shared" si="6"/>
        <v>0.3196093972347856</v>
      </c>
      <c r="AF7" s="69">
        <f t="shared" si="4"/>
        <v>381940625</v>
      </c>
      <c r="AG7" s="69">
        <f t="shared" si="5"/>
        <v>69760.844748858435</v>
      </c>
      <c r="AH7" s="10"/>
      <c r="AI7" s="10"/>
      <c r="AJ7" s="10"/>
    </row>
    <row r="8" spans="1:36" x14ac:dyDescent="0.25">
      <c r="A8" s="49" t="s">
        <v>18</v>
      </c>
      <c r="B8" s="50" t="s">
        <v>289</v>
      </c>
      <c r="C8" s="48">
        <f>IFERROR((s_TR/(s_RadSpec!I8*s_EF_iw*s_ED_ind*s_IRS_iw*(1/1000)))*1,".")</f>
        <v>114679.22786475878</v>
      </c>
      <c r="D8" s="48">
        <f>IFERROR(IF(A8="H-3",(s_TR/(s_RadSpec!G8*s_EF_iw*s_ED_ind*(s_ET_iw_o+s_ET_iw_i)*(1/24)*s_IRA_iw*(1/17)*1000))*1,(s_TR/(s_RadSpec!G8*s_EF_iw*s_ED_ind*(s_ET_iw_o+s_ET_iw_i)*(1/24)*s_IRA_iw*(1/s_PEF_wind)*1000))*1),".")</f>
        <v>609799.46546984604</v>
      </c>
      <c r="E8" s="48">
        <f>IFERROR((s_TR/(s_RadSpec!F8*s_EF_iw*(1/365)*s_ED_ind*s_RadSpec!Q8*(s_ET_iw_o+s_ET_iw_i)*(1/24)*s_RadSpec!AA8))*1,".")</f>
        <v>121.55293820049579</v>
      </c>
      <c r="F8" s="48">
        <f t="shared" si="0"/>
        <v>121.40006259511144</v>
      </c>
      <c r="G8" s="69">
        <f t="shared" si="1"/>
        <v>1527762.5</v>
      </c>
      <c r="H8" s="69">
        <f t="shared" si="2"/>
        <v>1231.1313567072434</v>
      </c>
      <c r="I8" s="69">
        <f>s_C*s_EF_iw*(1/365)*s_ED_ind*(s_ET_iw_o+s_ET_iw_i)*(1/24)*s_RadSpec!AA8*s_RadSpec!Q8*1</f>
        <v>841.78085996955815</v>
      </c>
      <c r="J8" s="4"/>
      <c r="K8" s="4"/>
      <c r="L8" s="4"/>
      <c r="M8" s="4"/>
      <c r="N8" s="48">
        <f>IFERROR((s_TR/(s_RadSpec!F8*s_EF_iw*(1/365)*s_ED_ind*s_RadSpec!Q8*(s_ET_iw_o+s_ET_iw_i)*(1/24)*s_RadSpec!AA8))*1,".")</f>
        <v>121.55293820049579</v>
      </c>
      <c r="O8" s="48">
        <f>IFERROR((s_TR/(s_RadSpec!M8*s_EF_iw*(1/365)*s_ED_ind*s_RadSpec!R8*(s_ET_iw_o+s_ET_iw_i)*(1/24)*s_RadSpec!AB8))*1,".")</f>
        <v>1029.3416404710315</v>
      </c>
      <c r="P8" s="48">
        <f>IFERROR((s_TR/(s_RadSpec!N8*s_EF_iw*(1/365)*s_ED_ind*s_RadSpec!S8*(s_ET_iw_o+s_ET_iw_i)*(1/24)*s_RadSpec!AC8))*1,".")</f>
        <v>268.93969927670798</v>
      </c>
      <c r="Q8" s="48">
        <f>IFERROR((s_TR/(s_RadSpec!O8*s_EF_iw*(1/365)*s_ED_ind*s_RadSpec!T8*(s_ET_iw_o+s_ET_iw_i)*(1/24)*s_RadSpec!AD8))*1,".")</f>
        <v>162.99434476698733</v>
      </c>
      <c r="R8" s="48">
        <f>IFERROR((s_TR/(s_RadSpec!K8*s_EF_iw*(1/365)*s_ED_ind*s_RadSpec!P8*(s_ET_iw_o+s_ET_iw_i)*(1/24)*s_RadSpec!Z8))*1,".")</f>
        <v>1866.5151835671625</v>
      </c>
      <c r="S8" s="69">
        <f>s_C*s_EF_iw*(1/365)*s_ED_ind*(s_ET_iw_o+s_ET_iw_i)*(1/24)*s_RadSpec!AA8*s_RadSpec!Q8*1</f>
        <v>841.78085996955815</v>
      </c>
      <c r="T8" s="69">
        <f>s_C*s_EF_iw*(1/365)*s_ED_ind*(s_ET_iw_o+s_ET_iw_i)*(1/24)*s_RadSpec!AB8*s_RadSpec!R8*1</f>
        <v>458.56128614916281</v>
      </c>
      <c r="U8" s="69">
        <f>s_C*s_EF_iw*(1/365)*s_ED_ind*(s_ET_iw_o+s_ET_iw_i)*(1/24)*s_RadSpec!AC8*s_RadSpec!S8*1</f>
        <v>628.2462361382909</v>
      </c>
      <c r="V8" s="69">
        <f>s_C*s_EF_iw*(1/365)*s_ED_ind*(s_ET_iw_o+s_ET_iw_i)*(1/24)*s_RadSpec!AD8*s_RadSpec!T8*1</f>
        <v>685.22835391343483</v>
      </c>
      <c r="W8" s="69">
        <f>s_C*s_EF_iw*(1/365)*s_ED_ind*(s_ET_iw_o+s_ET_iw_i)*(1/24)*s_RadSpec!Z8*s_RadSpec!P8*1</f>
        <v>247.48490160904541</v>
      </c>
      <c r="X8" s="11"/>
      <c r="Y8" s="11"/>
      <c r="Z8" s="11"/>
      <c r="AA8" s="11"/>
      <c r="AB8" s="11"/>
      <c r="AC8" s="48">
        <f>IFERROR(s_TR/(s_RadSpec!G8*s_EF_iw*s_ED_ind*(s_ET_iw_o+s_ET_iw_i)*(1/24)*s_IRA_iw),".")</f>
        <v>1.9656019656019659</v>
      </c>
      <c r="AD8" s="48">
        <f>IFERROR(s_TR/(s_RadSpec!J8*s_EF_iw*(1/365)*s_ED_ind*(s_ET_iw_o+s_ET_iw_i)*(1/24)*s_GSF_a),".")</f>
        <v>1495.6875794802233</v>
      </c>
      <c r="AE8" s="48">
        <f t="shared" si="6"/>
        <v>1.9630222020525383</v>
      </c>
      <c r="AF8" s="69">
        <f t="shared" si="4"/>
        <v>381940625</v>
      </c>
      <c r="AG8" s="69">
        <f t="shared" si="5"/>
        <v>69760.844748858435</v>
      </c>
      <c r="AH8" s="10"/>
      <c r="AI8" s="10"/>
      <c r="AJ8" s="10"/>
    </row>
    <row r="9" spans="1:36" x14ac:dyDescent="0.25">
      <c r="A9" s="49" t="s">
        <v>19</v>
      </c>
      <c r="B9" s="50" t="s">
        <v>289</v>
      </c>
      <c r="C9" s="48">
        <f>IFERROR((s_TR/(s_RadSpec!I9*s_EF_iw*s_ED_ind*s_IRS_iw*(1/1000)))*1,".")</f>
        <v>246934.92030175446</v>
      </c>
      <c r="D9" s="48">
        <f>IFERROR(IF(A9="H-3",(s_TR/(s_RadSpec!G9*s_EF_iw*s_ED_ind*(s_ET_iw_o+s_ET_iw_i)*(1/24)*s_IRA_iw*(1/17)*1000))*1,(s_TR/(s_RadSpec!G9*s_EF_iw*s_ED_ind*(s_ET_iw_o+s_ET_iw_i)*(1/24)*s_IRA_iw*(1/s_PEF_wind)*1000))*1),".")</f>
        <v>730180.58972117468</v>
      </c>
      <c r="E9" s="48">
        <f>IFERROR((s_TR/(s_RadSpec!F9*s_EF_iw*(1/365)*s_ED_ind*s_RadSpec!Q9*(s_ET_iw_o+s_ET_iw_i)*(1/24)*s_RadSpec!AA9))*1,".")</f>
        <v>4.4255113465552229</v>
      </c>
      <c r="F9" s="48">
        <f t="shared" si="0"/>
        <v>4.4254052137569833</v>
      </c>
      <c r="G9" s="69">
        <f t="shared" si="1"/>
        <v>1527762.5</v>
      </c>
      <c r="H9" s="69">
        <f t="shared" si="2"/>
        <v>1231.1313567072434</v>
      </c>
      <c r="I9" s="69">
        <f>s_C*s_EF_iw*(1/365)*s_ED_ind*(s_ET_iw_o+s_ET_iw_i)*(1/24)*s_RadSpec!AA9*s_RadSpec!Q9*1</f>
        <v>1709.241216296238</v>
      </c>
      <c r="J9" s="4"/>
      <c r="K9" s="4"/>
      <c r="L9" s="4"/>
      <c r="M9" s="4"/>
      <c r="N9" s="48">
        <f>IFERROR((s_TR/(s_RadSpec!F9*s_EF_iw*(1/365)*s_ED_ind*s_RadSpec!Q9*(s_ET_iw_o+s_ET_iw_i)*(1/24)*s_RadSpec!AA9))*1,".")</f>
        <v>4.4255113465552229</v>
      </c>
      <c r="O9" s="48">
        <f>IFERROR((s_TR/(s_RadSpec!M9*s_EF_iw*(1/365)*s_ED_ind*s_RadSpec!R9*(s_ET_iw_o+s_ET_iw_i)*(1/24)*s_RadSpec!AB9))*1,".")</f>
        <v>50.188152218584307</v>
      </c>
      <c r="P9" s="48">
        <f>IFERROR((s_TR/(s_RadSpec!N9*s_EF_iw*(1/365)*s_ED_ind*s_RadSpec!S9*(s_ET_iw_o+s_ET_iw_i)*(1/24)*s_RadSpec!AC9))*1,".")</f>
        <v>12.290436206918352</v>
      </c>
      <c r="Q9" s="48">
        <f>IFERROR((s_TR/(s_RadSpec!O9*s_EF_iw*(1/365)*s_ED_ind*s_RadSpec!T9*(s_ET_iw_o+s_ET_iw_i)*(1/24)*s_RadSpec!AD9))*1,".")</f>
        <v>6.2867476551951302</v>
      </c>
      <c r="R9" s="48">
        <f>IFERROR((s_TR/(s_RadSpec!K9*s_EF_iw*(1/365)*s_ED_ind*s_RadSpec!P9*(s_ET_iw_o+s_ET_iw_i)*(1/24)*s_RadSpec!Z9))*1,".")</f>
        <v>91.806608837986346</v>
      </c>
      <c r="S9" s="69">
        <f>s_C*s_EF_iw*(1/365)*s_ED_ind*(s_ET_iw_o+s_ET_iw_i)*(1/24)*s_RadSpec!AA9*s_RadSpec!Q9*1</f>
        <v>1709.241216296238</v>
      </c>
      <c r="T9" s="69">
        <f>s_C*s_EF_iw*(1/365)*s_ED_ind*(s_ET_iw_o+s_ET_iw_i)*(1/24)*s_RadSpec!AB9*s_RadSpec!R9*1</f>
        <v>834.52225493961453</v>
      </c>
      <c r="U9" s="69">
        <f>s_C*s_EF_iw*(1/365)*s_ED_ind*(s_ET_iw_o+s_ET_iw_i)*(1/24)*s_RadSpec!AC9*s_RadSpec!S9*1</f>
        <v>1186.0418504759684</v>
      </c>
      <c r="V9" s="69">
        <f>s_C*s_EF_iw*(1/365)*s_ED_ind*(s_ET_iw_o+s_ET_iw_i)*(1/24)*s_RadSpec!AD9*s_RadSpec!T9*1</f>
        <v>1438.8174229452054</v>
      </c>
      <c r="W9" s="69">
        <f>s_C*s_EF_iw*(1/365)*s_ED_ind*(s_ET_iw_o+s_ET_iw_i)*(1/24)*s_RadSpec!Z9*s_RadSpec!P9*1</f>
        <v>471.14092465753401</v>
      </c>
      <c r="X9" s="11"/>
      <c r="Y9" s="11"/>
      <c r="Z9" s="11"/>
      <c r="AA9" s="11"/>
      <c r="AB9" s="11"/>
      <c r="AC9" s="48">
        <f>IFERROR(s_TR/(s_RadSpec!G9*s_EF_iw*s_ED_ind*(s_ET_iw_o+s_ET_iw_i)*(1/24)*s_IRA_iw),".")</f>
        <v>2.3536334215945867</v>
      </c>
      <c r="AD9" s="48">
        <f>IFERROR(s_TR/(s_RadSpec!J9*s_EF_iw*(1/365)*s_ED_ind*(s_ET_iw_o+s_ET_iw_i)*(1/24)*s_GSF_a),".")</f>
        <v>119.02854035654136</v>
      </c>
      <c r="AE9" s="48">
        <f t="shared" si="6"/>
        <v>2.3079958282740685</v>
      </c>
      <c r="AF9" s="69">
        <f t="shared" si="4"/>
        <v>381940625</v>
      </c>
      <c r="AG9" s="69">
        <f t="shared" si="5"/>
        <v>69760.844748858435</v>
      </c>
      <c r="AH9" s="10"/>
      <c r="AI9" s="10"/>
      <c r="AJ9" s="10"/>
    </row>
    <row r="10" spans="1:36" x14ac:dyDescent="0.25">
      <c r="A10" s="51" t="s">
        <v>20</v>
      </c>
      <c r="B10" s="50" t="s">
        <v>275</v>
      </c>
      <c r="C10" s="48">
        <f>IFERROR((s_TR/(s_RadSpec!I10*s_EF_iw*s_ED_ind*s_IRS_iw*(1/1000)))*1,".")</f>
        <v>1144.1222151350205</v>
      </c>
      <c r="D10" s="48">
        <f>IFERROR(IF(A10="H-3",(s_TR/(s_RadSpec!G10*s_EF_iw*s_ED_ind*(s_ET_iw_o+s_ET_iw_i)*(1/24)*s_IRA_iw*(1/17)*1000))*1,(s_TR/(s_RadSpec!G10*s_EF_iw*s_ED_ind*(s_ET_iw_o+s_ET_iw_i)*(1/24)*s_IRA_iw*(1/s_PEF_wind)*1000))*1),".")</f>
        <v>401183.85886174068</v>
      </c>
      <c r="E10" s="48">
        <f>IFERROR((s_TR/(s_RadSpec!F10*s_EF_iw*(1/365)*s_ED_ind*s_RadSpec!Q10*(s_ET_iw_o+s_ET_iw_i)*(1/24)*s_RadSpec!AA10))*1,".")</f>
        <v>112607.97336539716</v>
      </c>
      <c r="F10" s="48">
        <f t="shared" si="0"/>
        <v>1129.4260233584521</v>
      </c>
      <c r="G10" s="69">
        <f t="shared" si="1"/>
        <v>1527762.5</v>
      </c>
      <c r="H10" s="69">
        <f t="shared" si="2"/>
        <v>1231.1313567072434</v>
      </c>
      <c r="I10" s="69">
        <f>s_C*s_EF_iw*(1/365)*s_ED_ind*(s_ET_iw_o+s_ET_iw_i)*(1/24)*s_RadSpec!AA10*s_RadSpec!Q10*1</f>
        <v>893.2791095890409</v>
      </c>
      <c r="J10" s="4"/>
      <c r="K10" s="4"/>
      <c r="L10" s="4"/>
      <c r="M10" s="4"/>
      <c r="N10" s="48">
        <f>IFERROR((s_TR/(s_RadSpec!F10*s_EF_iw*(1/365)*s_ED_ind*s_RadSpec!Q10*(s_ET_iw_o+s_ET_iw_i)*(1/24)*s_RadSpec!AA10))*1,".")</f>
        <v>112607.97336539716</v>
      </c>
      <c r="O10" s="48">
        <f>IFERROR((s_TR/(s_RadSpec!M10*s_EF_iw*(1/365)*s_ED_ind*s_RadSpec!R10*(s_ET_iw_o+s_ET_iw_i)*(1/24)*s_RadSpec!AB10))*1,".")</f>
        <v>503633.43522334518</v>
      </c>
      <c r="P10" s="48">
        <f>IFERROR((s_TR/(s_RadSpec!N10*s_EF_iw*(1/365)*s_ED_ind*s_RadSpec!S10*(s_ET_iw_o+s_ET_iw_i)*(1/24)*s_RadSpec!AC10))*1,".")</f>
        <v>163193.82147996814</v>
      </c>
      <c r="Q10" s="48">
        <f>IFERROR((s_TR/(s_RadSpec!O10*s_EF_iw*(1/365)*s_ED_ind*s_RadSpec!T10*(s_ET_iw_o+s_ET_iw_i)*(1/24)*s_RadSpec!AD10))*1,".")</f>
        <v>116834.41009563266</v>
      </c>
      <c r="R10" s="48">
        <f>IFERROR((s_TR/(s_RadSpec!K10*s_EF_iw*(1/365)*s_ED_ind*s_RadSpec!P10*(s_ET_iw_o+s_ET_iw_i)*(1/24)*s_RadSpec!Z10))*1,".")</f>
        <v>294362.65840635524</v>
      </c>
      <c r="S10" s="69">
        <f>s_C*s_EF_iw*(1/365)*s_ED_ind*(s_ET_iw_o+s_ET_iw_i)*(1/24)*s_RadSpec!AA10*s_RadSpec!Q10*1</f>
        <v>893.2791095890409</v>
      </c>
      <c r="T10" s="69">
        <f>s_C*s_EF_iw*(1/365)*s_ED_ind*(s_ET_iw_o+s_ET_iw_i)*(1/24)*s_RadSpec!AB10*s_RadSpec!R10*1</f>
        <v>573.25215902322816</v>
      </c>
      <c r="U10" s="69">
        <f>s_C*s_EF_iw*(1/365)*s_ED_ind*(s_ET_iw_o+s_ET_iw_i)*(1/24)*s_RadSpec!AC10*s_RadSpec!S10*1</f>
        <v>802.72706973200218</v>
      </c>
      <c r="V10" s="69">
        <f>s_C*s_EF_iw*(1/365)*s_ED_ind*(s_ET_iw_o+s_ET_iw_i)*(1/24)*s_RadSpec!AD10*s_RadSpec!T10*1</f>
        <v>877.66485940879591</v>
      </c>
      <c r="W10" s="69">
        <f>s_C*s_EF_iw*(1/365)*s_ED_ind*(s_ET_iw_o+s_ET_iw_i)*(1/24)*s_RadSpec!Z10*s_RadSpec!P10*1</f>
        <v>341.00158897617342</v>
      </c>
      <c r="X10" s="11"/>
      <c r="Y10" s="11"/>
      <c r="Z10" s="11"/>
      <c r="AA10" s="11"/>
      <c r="AB10" s="11"/>
      <c r="AC10" s="48">
        <f>IFERROR(s_TR/(s_RadSpec!G10*s_EF_iw*s_ED_ind*(s_ET_iw_o+s_ET_iw_i)*(1/24)*s_IRA_iw),".")</f>
        <v>1.29315918789603</v>
      </c>
      <c r="AD10" s="48">
        <f>IFERROR(s_TR/(s_RadSpec!J10*s_EF_iw*(1/365)*s_ED_ind*(s_ET_iw_o+s_ET_iw_i)*(1/24)*s_GSF_a),".")</f>
        <v>490671.60880790063</v>
      </c>
      <c r="AE10" s="48">
        <f t="shared" si="6"/>
        <v>1.2931557797993558</v>
      </c>
      <c r="AF10" s="69">
        <f t="shared" si="4"/>
        <v>381940625</v>
      </c>
      <c r="AG10" s="69">
        <f t="shared" si="5"/>
        <v>69760.844748858435</v>
      </c>
      <c r="AH10" s="10"/>
      <c r="AI10" s="10"/>
      <c r="AJ10" s="10"/>
    </row>
    <row r="11" spans="1:36" x14ac:dyDescent="0.25">
      <c r="A11" s="49" t="s">
        <v>21</v>
      </c>
      <c r="B11" s="50" t="s">
        <v>289</v>
      </c>
      <c r="C11" s="48" t="str">
        <f>IFERROR((s_TR/(s_RadSpec!I11*s_EF_iw*s_ED_ind*s_IRS_iw*(1/1000)))*1,".")</f>
        <v>.</v>
      </c>
      <c r="D11" s="48" t="str">
        <f>IFERROR(IF(A11="H-3",(s_TR/(s_RadSpec!G11*s_EF_iw*s_ED_ind*(s_ET_iw_o+s_ET_iw_i)*(1/24)*s_IRA_iw*(1/17)*1000))*1,(s_TR/(s_RadSpec!G11*s_EF_iw*s_ED_ind*(s_ET_iw_o+s_ET_iw_i)*(1/24)*s_IRA_iw*(1/s_PEF_wind)*1000))*1),".")</f>
        <v>.</v>
      </c>
      <c r="E11" s="48">
        <f>IFERROR((s_TR/(s_RadSpec!F11*s_EF_iw*(1/365)*s_ED_ind*s_RadSpec!Q11*(s_ET_iw_o+s_ET_iw_i)*(1/24)*s_RadSpec!AA11))*1,".")</f>
        <v>1773.5642875698577</v>
      </c>
      <c r="F11" s="48">
        <f t="shared" si="0"/>
        <v>1773.5642875698577</v>
      </c>
      <c r="G11" s="69">
        <f t="shared" si="1"/>
        <v>1527762.5</v>
      </c>
      <c r="H11" s="69">
        <f t="shared" si="2"/>
        <v>1231.1313567072434</v>
      </c>
      <c r="I11" s="69">
        <f>s_C*s_EF_iw*(1/365)*s_ED_ind*(s_ET_iw_o+s_ET_iw_i)*(1/24)*s_RadSpec!AA11*s_RadSpec!Q11*1</f>
        <v>298.74055868922909</v>
      </c>
      <c r="J11" s="4"/>
      <c r="K11" s="4"/>
      <c r="L11" s="4"/>
      <c r="M11" s="4"/>
      <c r="N11" s="48">
        <f>IFERROR((s_TR/(s_RadSpec!F11*s_EF_iw*(1/365)*s_ED_ind*s_RadSpec!Q11*(s_ET_iw_o+s_ET_iw_i)*(1/24)*s_RadSpec!AA11))*1,".")</f>
        <v>1773.5642875698577</v>
      </c>
      <c r="O11" s="48">
        <f>IFERROR((s_TR/(s_RadSpec!M11*s_EF_iw*(1/365)*s_ED_ind*s_RadSpec!R11*(s_ET_iw_o+s_ET_iw_i)*(1/24)*s_RadSpec!AB11))*1,".")</f>
        <v>9193.6232315342204</v>
      </c>
      <c r="P11" s="48">
        <f>IFERROR((s_TR/(s_RadSpec!N11*s_EF_iw*(1/365)*s_ED_ind*s_RadSpec!S11*(s_ET_iw_o+s_ET_iw_i)*(1/24)*s_RadSpec!AC11))*1,".")</f>
        <v>2586.0048827301293</v>
      </c>
      <c r="Q11" s="48">
        <f>IFERROR((s_TR/(s_RadSpec!O11*s_EF_iw*(1/365)*s_ED_ind*s_RadSpec!T11*(s_ET_iw_o+s_ET_iw_i)*(1/24)*s_RadSpec!AD11))*1,".")</f>
        <v>1722.3235577501018</v>
      </c>
      <c r="R11" s="48">
        <f>IFERROR((s_TR/(s_RadSpec!K11*s_EF_iw*(1/365)*s_ED_ind*s_RadSpec!P11*(s_ET_iw_o+s_ET_iw_i)*(1/24)*s_RadSpec!Z11))*1,".")</f>
        <v>17368.608424555099</v>
      </c>
      <c r="S11" s="69">
        <f>s_C*s_EF_iw*(1/365)*s_ED_ind*(s_ET_iw_o+s_ET_iw_i)*(1/24)*s_RadSpec!AA11*s_RadSpec!Q11*1</f>
        <v>298.74055868922909</v>
      </c>
      <c r="T11" s="69">
        <f>s_C*s_EF_iw*(1/365)*s_ED_ind*(s_ET_iw_o+s_ET_iw_i)*(1/24)*s_RadSpec!AB11*s_RadSpec!R11*1</f>
        <v>236.09685894691779</v>
      </c>
      <c r="U11" s="69">
        <f>s_C*s_EF_iw*(1/365)*s_ED_ind*(s_ET_iw_o+s_ET_iw_i)*(1/24)*s_RadSpec!AC11*s_RadSpec!S11*1</f>
        <v>304.21199749306123</v>
      </c>
      <c r="V11" s="69">
        <f>s_C*s_EF_iw*(1/365)*s_ED_ind*(s_ET_iw_o+s_ET_iw_i)*(1/24)*s_RadSpec!AD11*s_RadSpec!T11*1</f>
        <v>319.36447969238151</v>
      </c>
      <c r="W11" s="69">
        <f>s_C*s_EF_iw*(1/365)*s_ED_ind*(s_ET_iw_o+s_ET_iw_i)*(1/24)*s_RadSpec!Z11*s_RadSpec!P11*1</f>
        <v>126.82319369995365</v>
      </c>
      <c r="X11" s="11"/>
      <c r="Y11" s="11"/>
      <c r="Z11" s="11"/>
      <c r="AA11" s="11"/>
      <c r="AB11" s="11"/>
      <c r="AC11" s="48" t="str">
        <f>IFERROR(s_TR/(s_RadSpec!G11*s_EF_iw*s_ED_ind*(s_ET_iw_o+s_ET_iw_i)*(1/24)*s_IRA_iw),".")</f>
        <v>.</v>
      </c>
      <c r="AD11" s="48">
        <f>IFERROR(s_TR/(s_RadSpec!J11*s_EF_iw*(1/365)*s_ED_ind*(s_ET_iw_o+s_ET_iw_i)*(1/24)*s_GSF_a),".")</f>
        <v>6910.1675404557436</v>
      </c>
      <c r="AE11" s="48">
        <f t="shared" si="6"/>
        <v>6910.1675404557436</v>
      </c>
      <c r="AF11" s="69">
        <f t="shared" si="4"/>
        <v>381940625</v>
      </c>
      <c r="AG11" s="69">
        <f t="shared" si="5"/>
        <v>69760.844748858435</v>
      </c>
      <c r="AH11" s="10"/>
      <c r="AI11" s="10"/>
      <c r="AJ11" s="10"/>
    </row>
    <row r="12" spans="1:36" x14ac:dyDescent="0.25">
      <c r="A12" s="49" t="s">
        <v>22</v>
      </c>
      <c r="B12" s="50" t="s">
        <v>289</v>
      </c>
      <c r="C12" s="48" t="str">
        <f>IFERROR((s_TR/(s_RadSpec!I12*s_EF_iw*s_ED_ind*s_IRS_iw*(1/1000)))*1,".")</f>
        <v>.</v>
      </c>
      <c r="D12" s="48" t="str">
        <f>IFERROR(IF(A12="H-3",(s_TR/(s_RadSpec!G12*s_EF_iw*s_ED_ind*(s_ET_iw_o+s_ET_iw_i)*(1/24)*s_IRA_iw*(1/17)*1000))*1,(s_TR/(s_RadSpec!G12*s_EF_iw*s_ED_ind*(s_ET_iw_o+s_ET_iw_i)*(1/24)*s_IRA_iw*(1/s_PEF_wind)*1000))*1),".")</f>
        <v>.</v>
      </c>
      <c r="E12" s="48">
        <f>IFERROR((s_TR/(s_RadSpec!F12*s_EF_iw*(1/365)*s_ED_ind*s_RadSpec!Q12*(s_ET_iw_o+s_ET_iw_i)*(1/24)*s_RadSpec!AA12))*1,".")</f>
        <v>184.32498723547903</v>
      </c>
      <c r="F12" s="48">
        <f t="shared" si="0"/>
        <v>184.32498723547903</v>
      </c>
      <c r="G12" s="69">
        <f t="shared" si="1"/>
        <v>1527762.5</v>
      </c>
      <c r="H12" s="69">
        <f t="shared" si="2"/>
        <v>1231.1313567072434</v>
      </c>
      <c r="I12" s="69">
        <f>s_C*s_EF_iw*(1/365)*s_ED_ind*(s_ET_iw_o+s_ET_iw_i)*(1/24)*s_RadSpec!AA12*s_RadSpec!Q12*1</f>
        <v>623.49490247714971</v>
      </c>
      <c r="J12" s="4"/>
      <c r="K12" s="4"/>
      <c r="L12" s="4"/>
      <c r="M12" s="4"/>
      <c r="N12" s="48">
        <f>IFERROR((s_TR/(s_RadSpec!F12*s_EF_iw*(1/365)*s_ED_ind*s_RadSpec!Q12*(s_ET_iw_o+s_ET_iw_i)*(1/24)*s_RadSpec!AA12))*1,".")</f>
        <v>184.32498723547903</v>
      </c>
      <c r="O12" s="48">
        <f>IFERROR((s_TR/(s_RadSpec!M12*s_EF_iw*(1/365)*s_ED_ind*s_RadSpec!R12*(s_ET_iw_o+s_ET_iw_i)*(1/24)*s_RadSpec!AB12))*1,".")</f>
        <v>1455.2084558453043</v>
      </c>
      <c r="P12" s="48">
        <f>IFERROR((s_TR/(s_RadSpec!N12*s_EF_iw*(1/365)*s_ED_ind*s_RadSpec!S12*(s_ET_iw_o+s_ET_iw_i)*(1/24)*s_RadSpec!AC12))*1,".")</f>
        <v>378.31118960796323</v>
      </c>
      <c r="Q12" s="48">
        <f>IFERROR((s_TR/(s_RadSpec!O12*s_EF_iw*(1/365)*s_ED_ind*s_RadSpec!T12*(s_ET_iw_o+s_ET_iw_i)*(1/24)*s_RadSpec!AD12))*1,".")</f>
        <v>226.53293322457196</v>
      </c>
      <c r="R12" s="48">
        <f>IFERROR((s_TR/(s_RadSpec!K12*s_EF_iw*(1/365)*s_ED_ind*s_RadSpec!P12*(s_ET_iw_o+s_ET_iw_i)*(1/24)*s_RadSpec!Z12))*1,".")</f>
        <v>2469.5287322469512</v>
      </c>
      <c r="S12" s="69">
        <f>s_C*s_EF_iw*(1/365)*s_ED_ind*(s_ET_iw_o+s_ET_iw_i)*(1/24)*s_RadSpec!AA12*s_RadSpec!Q12*1</f>
        <v>623.49490247714971</v>
      </c>
      <c r="T12" s="69">
        <f>s_C*s_EF_iw*(1/365)*s_ED_ind*(s_ET_iw_o+s_ET_iw_i)*(1/24)*s_RadSpec!AB12*s_RadSpec!R12*1</f>
        <v>347.53211422240122</v>
      </c>
      <c r="U12" s="69">
        <f>s_C*s_EF_iw*(1/365)*s_ED_ind*(s_ET_iw_o+s_ET_iw_i)*(1/24)*s_RadSpec!AC12*s_RadSpec!S12*1</f>
        <v>479.29670471841723</v>
      </c>
      <c r="V12" s="69">
        <f>s_C*s_EF_iw*(1/365)*s_ED_ind*(s_ET_iw_o+s_ET_iw_i)*(1/24)*s_RadSpec!AD12*s_RadSpec!T12*1</f>
        <v>542.71915161140896</v>
      </c>
      <c r="W12" s="69">
        <f>s_C*s_EF_iw*(1/365)*s_ED_ind*(s_ET_iw_o+s_ET_iw_i)*(1/24)*s_RadSpec!Z12*s_RadSpec!P12*1</f>
        <v>201.32209429363809</v>
      </c>
      <c r="X12" s="11"/>
      <c r="Y12" s="11"/>
      <c r="Z12" s="11"/>
      <c r="AA12" s="11"/>
      <c r="AB12" s="11"/>
      <c r="AC12" s="48" t="str">
        <f>IFERROR(s_TR/(s_RadSpec!G12*s_EF_iw*s_ED_ind*(s_ET_iw_o+s_ET_iw_i)*(1/24)*s_IRA_iw),".")</f>
        <v>.</v>
      </c>
      <c r="AD12" s="48">
        <f>IFERROR(s_TR/(s_RadSpec!J12*s_EF_iw*(1/365)*s_ED_ind*(s_ET_iw_o+s_ET_iw_i)*(1/24)*s_GSF_a),".")</f>
        <v>1604.7847911599572</v>
      </c>
      <c r="AE12" s="48">
        <f t="shared" si="6"/>
        <v>1604.7847911599572</v>
      </c>
      <c r="AF12" s="69">
        <f t="shared" si="4"/>
        <v>381940625</v>
      </c>
      <c r="AG12" s="69">
        <f t="shared" si="5"/>
        <v>69760.844748858435</v>
      </c>
      <c r="AH12" s="10"/>
      <c r="AI12" s="10"/>
      <c r="AJ12" s="10"/>
    </row>
    <row r="13" spans="1:36" x14ac:dyDescent="0.25">
      <c r="A13" s="49" t="s">
        <v>23</v>
      </c>
      <c r="B13" s="50" t="s">
        <v>289</v>
      </c>
      <c r="C13" s="48">
        <f>IFERROR((s_TR/(s_RadSpec!I13*s_EF_iw*s_ED_ind*s_IRS_iw*(1/1000)))*1,".")</f>
        <v>773.85904157557695</v>
      </c>
      <c r="D13" s="48">
        <f>IFERROR(IF(A13="H-3",(s_TR/(s_RadSpec!G13*s_EF_iw*s_ED_ind*(s_ET_iw_o+s_ET_iw_i)*(1/24)*s_IRA_iw*(1/17)*1000))*1,(s_TR/(s_RadSpec!G13*s_EF_iw*s_ED_ind*(s_ET_iw_o+s_ET_iw_i)*(1/24)*s_IRA_iw*(1/s_PEF_wind)*1000))*1),".")</f>
        <v>1573.676039922183</v>
      </c>
      <c r="E13" s="48">
        <f>IFERROR((s_TR/(s_RadSpec!F13*s_EF_iw*(1/365)*s_ED_ind*s_RadSpec!Q13*(s_ET_iw_o+s_ET_iw_i)*(1/24)*s_RadSpec!AA13))*1,".")</f>
        <v>13240.573454870782</v>
      </c>
      <c r="F13" s="48">
        <f t="shared" si="0"/>
        <v>499.19997362621893</v>
      </c>
      <c r="G13" s="69">
        <f t="shared" si="1"/>
        <v>1527762.5</v>
      </c>
      <c r="H13" s="69">
        <f t="shared" si="2"/>
        <v>1231.1313567072434</v>
      </c>
      <c r="I13" s="69">
        <f>s_C*s_EF_iw*(1/365)*s_ED_ind*(s_ET_iw_o+s_ET_iw_i)*(1/24)*s_RadSpec!AA13*s_RadSpec!Q13*1</f>
        <v>81.116077142285704</v>
      </c>
      <c r="J13" s="4"/>
      <c r="K13" s="4"/>
      <c r="L13" s="4"/>
      <c r="M13" s="4"/>
      <c r="N13" s="48">
        <f>IFERROR((s_TR/(s_RadSpec!F13*s_EF_iw*(1/365)*s_ED_ind*s_RadSpec!Q13*(s_ET_iw_o+s_ET_iw_i)*(1/24)*s_RadSpec!AA13))*1,".")</f>
        <v>13240.573454870782</v>
      </c>
      <c r="O13" s="48">
        <f>IFERROR((s_TR/(s_RadSpec!M13*s_EF_iw*(1/365)*s_ED_ind*s_RadSpec!R13*(s_ET_iw_o+s_ET_iw_i)*(1/24)*s_RadSpec!AB13))*1,".")</f>
        <v>86080.288071535833</v>
      </c>
      <c r="P13" s="48">
        <f>IFERROR((s_TR/(s_RadSpec!N13*s_EF_iw*(1/365)*s_ED_ind*s_RadSpec!S13*(s_ET_iw_o+s_ET_iw_i)*(1/24)*s_RadSpec!AC13))*1,".")</f>
        <v>21491.396813221476</v>
      </c>
      <c r="Q13" s="48">
        <f>IFERROR((s_TR/(s_RadSpec!O13*s_EF_iw*(1/365)*s_ED_ind*s_RadSpec!T13*(s_ET_iw_o+s_ET_iw_i)*(1/24)*s_RadSpec!AD13))*1,".")</f>
        <v>14225.431201218375</v>
      </c>
      <c r="R13" s="48">
        <f>IFERROR((s_TR/(s_RadSpec!K13*s_EF_iw*(1/365)*s_ED_ind*s_RadSpec!P13*(s_ET_iw_o+s_ET_iw_i)*(1/24)*s_RadSpec!Z13))*1,".")</f>
        <v>683668.70262451633</v>
      </c>
      <c r="S13" s="69">
        <f>s_C*s_EF_iw*(1/365)*s_ED_ind*(s_ET_iw_o+s_ET_iw_i)*(1/24)*s_RadSpec!AA13*s_RadSpec!Q13*1</f>
        <v>81.116077142285704</v>
      </c>
      <c r="T13" s="69">
        <f>s_C*s_EF_iw*(1/365)*s_ED_ind*(s_ET_iw_o+s_ET_iw_i)*(1/24)*s_RadSpec!AB13*s_RadSpec!R13*1</f>
        <v>37.195888710774305</v>
      </c>
      <c r="U13" s="69">
        <f>s_C*s_EF_iw*(1/365)*s_ED_ind*(s_ET_iw_o+s_ET_iw_i)*(1/24)*s_RadSpec!AC13*s_RadSpec!S13*1</f>
        <v>62.609546989487114</v>
      </c>
      <c r="V13" s="69">
        <f>s_C*s_EF_iw*(1/365)*s_ED_ind*(s_ET_iw_o+s_ET_iw_i)*(1/24)*s_RadSpec!AD13*s_RadSpec!T13*1</f>
        <v>75.842638218373438</v>
      </c>
      <c r="W13" s="69">
        <f>s_C*s_EF_iw*(1/365)*s_ED_ind*(s_ET_iw_o+s_ET_iw_i)*(1/24)*s_RadSpec!Z13*s_RadSpec!P13*1</f>
        <v>3.8663330038130219</v>
      </c>
      <c r="X13" s="11"/>
      <c r="Y13" s="11"/>
      <c r="Z13" s="11"/>
      <c r="AA13" s="11"/>
      <c r="AB13" s="11"/>
      <c r="AC13" s="48">
        <f>IFERROR(s_TR/(s_RadSpec!G13*s_EF_iw*s_ED_ind*(s_ET_iw_o+s_ET_iw_i)*(1/24)*s_IRA_iw),".")</f>
        <v>5.0725212015534605E-3</v>
      </c>
      <c r="AD13" s="48">
        <f>IFERROR(s_TR/(s_RadSpec!J13*s_EF_iw*(1/365)*s_ED_ind*(s_ET_iw_o+s_ET_iw_i)*(1/24)*s_GSF_a),".")</f>
        <v>10381.027948903833</v>
      </c>
      <c r="AE13" s="48">
        <f t="shared" si="6"/>
        <v>5.0725187229493287E-3</v>
      </c>
      <c r="AF13" s="69">
        <f t="shared" si="4"/>
        <v>381940625</v>
      </c>
      <c r="AG13" s="69">
        <f t="shared" si="5"/>
        <v>69760.844748858435</v>
      </c>
      <c r="AH13" s="10"/>
      <c r="AI13" s="10"/>
      <c r="AJ13" s="10"/>
    </row>
    <row r="14" spans="1:36" x14ac:dyDescent="0.25">
      <c r="A14" s="49" t="s">
        <v>24</v>
      </c>
      <c r="B14" s="50" t="s">
        <v>289</v>
      </c>
      <c r="C14" s="48">
        <f>IFERROR((s_TR/(s_RadSpec!I14*s_EF_iw*s_ED_ind*s_IRS_iw*(1/1000)))*1,".")</f>
        <v>14080.243306604336</v>
      </c>
      <c r="D14" s="48">
        <f>IFERROR(IF(A14="H-3",(s_TR/(s_RadSpec!G14*s_EF_iw*s_ED_ind*(s_ET_iw_o+s_ET_iw_i)*(1/24)*s_IRA_iw*(1/17)*1000))*1,(s_TR/(s_RadSpec!G14*s_EF_iw*s_ED_ind*(s_ET_iw_o+s_ET_iw_i)*(1/24)*s_IRA_iw*(1/s_PEF_wind)*1000))*1),".")</f>
        <v>2953024.0458588176</v>
      </c>
      <c r="E14" s="48">
        <f>IFERROR((s_TR/(s_RadSpec!F14*s_EF_iw*(1/365)*s_ED_ind*s_RadSpec!Q14*(s_ET_iw_o+s_ET_iw_i)*(1/24)*s_RadSpec!AA14))*1,".")</f>
        <v>127.98313308492541</v>
      </c>
      <c r="F14" s="48">
        <f t="shared" si="0"/>
        <v>126.82485515517222</v>
      </c>
      <c r="G14" s="69">
        <f t="shared" si="1"/>
        <v>1527762.5</v>
      </c>
      <c r="H14" s="69">
        <f t="shared" si="2"/>
        <v>1231.1313567072434</v>
      </c>
      <c r="I14" s="69">
        <f>s_C*s_EF_iw*(1/365)*s_ED_ind*(s_ET_iw_o+s_ET_iw_i)*(1/24)*s_RadSpec!AA14*s_RadSpec!Q14*1</f>
        <v>540.3514047681773</v>
      </c>
      <c r="J14" s="4"/>
      <c r="K14" s="4"/>
      <c r="L14" s="4"/>
      <c r="M14" s="4"/>
      <c r="N14" s="48">
        <f>IFERROR((s_TR/(s_RadSpec!F14*s_EF_iw*(1/365)*s_ED_ind*s_RadSpec!Q14*(s_ET_iw_o+s_ET_iw_i)*(1/24)*s_RadSpec!AA14))*1,".")</f>
        <v>127.98313308492541</v>
      </c>
      <c r="O14" s="48">
        <f>IFERROR((s_TR/(s_RadSpec!M14*s_EF_iw*(1/365)*s_ED_ind*s_RadSpec!R14*(s_ET_iw_o+s_ET_iw_i)*(1/24)*s_RadSpec!AB14))*1,".")</f>
        <v>979.85451220618324</v>
      </c>
      <c r="P14" s="48">
        <f>IFERROR((s_TR/(s_RadSpec!N14*s_EF_iw*(1/365)*s_ED_ind*s_RadSpec!S14*(s_ET_iw_o+s_ET_iw_i)*(1/24)*s_RadSpec!AC14))*1,".")</f>
        <v>263.90650123532635</v>
      </c>
      <c r="Q14" s="48">
        <f>IFERROR((s_TR/(s_RadSpec!O14*s_EF_iw*(1/365)*s_ED_ind*s_RadSpec!T14*(s_ET_iw_o+s_ET_iw_i)*(1/24)*s_RadSpec!AD14))*1,".")</f>
        <v>159.14692339484878</v>
      </c>
      <c r="R14" s="48">
        <f>IFERROR((s_TR/(s_RadSpec!K14*s_EF_iw*(1/365)*s_ED_ind*s_RadSpec!P14*(s_ET_iw_o+s_ET_iw_i)*(1/24)*s_RadSpec!Z14))*1,".")</f>
        <v>2771.4177710221911</v>
      </c>
      <c r="S14" s="69">
        <f>s_C*s_EF_iw*(1/365)*s_ED_ind*(s_ET_iw_o+s_ET_iw_i)*(1/24)*s_RadSpec!AA14*s_RadSpec!Q14*1</f>
        <v>540.3514047681773</v>
      </c>
      <c r="T14" s="69">
        <f>s_C*s_EF_iw*(1/365)*s_ED_ind*(s_ET_iw_o+s_ET_iw_i)*(1/24)*s_RadSpec!AB14*s_RadSpec!R14*1</f>
        <v>297.53338930265528</v>
      </c>
      <c r="U14" s="69">
        <f>s_C*s_EF_iw*(1/365)*s_ED_ind*(s_ET_iw_o+s_ET_iw_i)*(1/24)*s_RadSpec!AC14*s_RadSpec!S14*1</f>
        <v>402.4290817947188</v>
      </c>
      <c r="V14" s="69">
        <f>s_C*s_EF_iw*(1/365)*s_ED_ind*(s_ET_iw_o+s_ET_iw_i)*(1/24)*s_RadSpec!AD14*s_RadSpec!T14*1</f>
        <v>459.23843141552504</v>
      </c>
      <c r="W14" s="69">
        <f>s_C*s_EF_iw*(1/365)*s_ED_ind*(s_ET_iw_o+s_ET_iw_i)*(1/24)*s_RadSpec!Z14*s_RadSpec!P14*1</f>
        <v>106.6324990025269</v>
      </c>
      <c r="X14" s="11"/>
      <c r="Y14" s="11"/>
      <c r="Z14" s="11"/>
      <c r="AA14" s="11"/>
      <c r="AB14" s="11"/>
      <c r="AC14" s="48">
        <f>IFERROR(s_TR/(s_RadSpec!G14*s_EF_iw*s_ED_ind*(s_ET_iw_o+s_ET_iw_i)*(1/24)*s_IRA_iw),".")</f>
        <v>9.5186535864501973</v>
      </c>
      <c r="AD14" s="48">
        <f>IFERROR(s_TR/(s_RadSpec!J14*s_EF_iw*(1/365)*s_ED_ind*(s_ET_iw_o+s_ET_iw_i)*(1/24)*s_GSF_a),".")</f>
        <v>933.01441346509137</v>
      </c>
      <c r="AE14" s="48">
        <f t="shared" si="6"/>
        <v>9.4225245812554252</v>
      </c>
      <c r="AF14" s="69">
        <f t="shared" si="4"/>
        <v>381940625</v>
      </c>
      <c r="AG14" s="69">
        <f t="shared" si="5"/>
        <v>69760.844748858435</v>
      </c>
      <c r="AH14" s="10"/>
      <c r="AI14" s="10"/>
      <c r="AJ14" s="10"/>
    </row>
    <row r="15" spans="1:36" x14ac:dyDescent="0.25">
      <c r="A15" s="49" t="s">
        <v>25</v>
      </c>
      <c r="B15" s="50" t="s">
        <v>289</v>
      </c>
      <c r="C15" s="48">
        <f>IFERROR((s_TR/(s_RadSpec!I15*s_EF_iw*s_ED_ind*s_IRS_iw*(1/1000)))*1,".")</f>
        <v>297818.47963666136</v>
      </c>
      <c r="D15" s="48">
        <f>IFERROR(IF(A15="H-3",(s_TR/(s_RadSpec!G15*s_EF_iw*s_ED_ind*(s_ET_iw_o+s_ET_iw_i)*(1/24)*s_IRA_iw*(1/17)*1000))*1,(s_TR/(s_RadSpec!G15*s_EF_iw*s_ED_ind*(s_ET_iw_o+s_ET_iw_i)*(1/24)*s_IRA_iw*(1/s_PEF_wind)*1000))*1),".")</f>
        <v>217010485.93232954</v>
      </c>
      <c r="E15" s="48" t="str">
        <f>IFERROR((s_TR/(s_RadSpec!F15*s_EF_iw*(1/365)*s_ED_ind*s_RadSpec!Q15*(s_ET_iw_o+s_ET_iw_i)*(1/24)*s_RadSpec!AA15))*1,".")</f>
        <v>.</v>
      </c>
      <c r="F15" s="48">
        <f t="shared" si="0"/>
        <v>297410.32290720224</v>
      </c>
      <c r="G15" s="69">
        <f t="shared" si="1"/>
        <v>1527762.5</v>
      </c>
      <c r="H15" s="69">
        <f t="shared" si="2"/>
        <v>1231.1313567072434</v>
      </c>
      <c r="I15" s="69">
        <f>s_C*s_EF_iw*(1/365)*s_ED_ind*(s_ET_iw_o+s_ET_iw_i)*(1/24)*s_RadSpec!AA15*s_RadSpec!Q15*1</f>
        <v>0</v>
      </c>
      <c r="J15" s="4"/>
      <c r="K15" s="4"/>
      <c r="L15" s="4"/>
      <c r="M15" s="4"/>
      <c r="N15" s="48" t="str">
        <f>IFERROR((s_TR/(s_RadSpec!F15*s_EF_iw*(1/365)*s_ED_ind*s_RadSpec!Q15*(s_ET_iw_o+s_ET_iw_i)*(1/24)*s_RadSpec!AA15))*1,".")</f>
        <v>.</v>
      </c>
      <c r="O15" s="48" t="str">
        <f>IFERROR((s_TR/(s_RadSpec!M15*s_EF_iw*(1/365)*s_ED_ind*s_RadSpec!R15*(s_ET_iw_o+s_ET_iw_i)*(1/24)*s_RadSpec!AB15))*1,".")</f>
        <v>.</v>
      </c>
      <c r="P15" s="48" t="str">
        <f>IFERROR((s_TR/(s_RadSpec!N15*s_EF_iw*(1/365)*s_ED_ind*s_RadSpec!S15*(s_ET_iw_o+s_ET_iw_i)*(1/24)*s_RadSpec!AC15))*1,".")</f>
        <v>.</v>
      </c>
      <c r="Q15" s="48" t="str">
        <f>IFERROR((s_TR/(s_RadSpec!O15*s_EF_iw*(1/365)*s_ED_ind*s_RadSpec!T15*(s_ET_iw_o+s_ET_iw_i)*(1/24)*s_RadSpec!AD15))*1,".")</f>
        <v>.</v>
      </c>
      <c r="R15" s="48" t="str">
        <f>IFERROR((s_TR/(s_RadSpec!K15*s_EF_iw*(1/365)*s_ED_ind*s_RadSpec!P15*(s_ET_iw_o+s_ET_iw_i)*(1/24)*s_RadSpec!Z15))*1,".")</f>
        <v>.</v>
      </c>
      <c r="S15" s="69">
        <f>s_C*s_EF_iw*(1/365)*s_ED_ind*(s_ET_iw_o+s_ET_iw_i)*(1/24)*s_RadSpec!AA15*s_RadSpec!Q15*1</f>
        <v>0</v>
      </c>
      <c r="T15" s="69">
        <f>s_C*s_EF_iw*(1/365)*s_ED_ind*(s_ET_iw_o+s_ET_iw_i)*(1/24)*s_RadSpec!AB15*s_RadSpec!R15*1</f>
        <v>0</v>
      </c>
      <c r="U15" s="69">
        <f>s_C*s_EF_iw*(1/365)*s_ED_ind*(s_ET_iw_o+s_ET_iw_i)*(1/24)*s_RadSpec!AC15*s_RadSpec!S15*1</f>
        <v>0</v>
      </c>
      <c r="V15" s="69">
        <f>s_C*s_EF_iw*(1/365)*s_ED_ind*(s_ET_iw_o+s_ET_iw_i)*(1/24)*s_RadSpec!AD15*s_RadSpec!T15*1</f>
        <v>0</v>
      </c>
      <c r="W15" s="69">
        <f>s_C*s_EF_iw*(1/365)*s_ED_ind*(s_ET_iw_o+s_ET_iw_i)*(1/24)*s_RadSpec!Z15*s_RadSpec!P15*1</f>
        <v>0</v>
      </c>
      <c r="X15" s="11"/>
      <c r="Y15" s="11"/>
      <c r="Z15" s="11"/>
      <c r="AA15" s="11"/>
      <c r="AB15" s="11"/>
      <c r="AC15" s="48">
        <f>IFERROR(s_TR/(s_RadSpec!G15*s_EF_iw*s_ED_ind*(s_ET_iw_o+s_ET_iw_i)*(1/24)*s_IRA_iw),".")</f>
        <v>699.50247886190959</v>
      </c>
      <c r="AD15" s="48">
        <f>IFERROR(s_TR/(s_RadSpec!J15*s_EF_iw*(1/365)*s_ED_ind*(s_ET_iw_o+s_ET_iw_i)*(1/24)*s_GSF_a),".")</f>
        <v>467146.25770067237</v>
      </c>
      <c r="AE15" s="48">
        <f t="shared" si="6"/>
        <v>698.45661340884624</v>
      </c>
      <c r="AF15" s="69">
        <f t="shared" si="4"/>
        <v>381940625</v>
      </c>
      <c r="AG15" s="69">
        <f t="shared" si="5"/>
        <v>69760.844748858435</v>
      </c>
      <c r="AH15" s="10"/>
      <c r="AI15" s="10"/>
      <c r="AJ15" s="10"/>
    </row>
    <row r="16" spans="1:36" x14ac:dyDescent="0.25">
      <c r="A16" s="49" t="s">
        <v>26</v>
      </c>
      <c r="B16" s="50" t="s">
        <v>289</v>
      </c>
      <c r="C16" s="48">
        <f>IFERROR((s_TR/(s_RadSpec!I16*s_EF_iw*s_ED_ind*s_IRS_iw*(1/1000)))*1,".")</f>
        <v>60.666727333394</v>
      </c>
      <c r="D16" s="48">
        <f>IFERROR(IF(A16="H-3",(s_TR/(s_RadSpec!G16*s_EF_iw*s_ED_ind*(s_ET_iw_o+s_ET_iw_i)*(1/24)*s_IRA_iw*(1/17)*1000))*1,(s_TR/(s_RadSpec!G16*s_EF_iw*s_ED_ind*(s_ET_iw_o+s_ET_iw_i)*(1/24)*s_IRA_iw*(1/s_PEF_wind)*1000))*1),".")</f>
        <v>2842.8879509083722</v>
      </c>
      <c r="E16" s="48">
        <f>IFERROR((s_TR/(s_RadSpec!F16*s_EF_iw*(1/365)*s_ED_ind*s_RadSpec!Q16*(s_ET_iw_o+s_ET_iw_i)*(1/24)*s_RadSpec!AA16))*1,".")</f>
        <v>644809599.23567688</v>
      </c>
      <c r="F16" s="48">
        <f t="shared" si="0"/>
        <v>59.399154271810858</v>
      </c>
      <c r="G16" s="69">
        <f t="shared" si="1"/>
        <v>1527762.5</v>
      </c>
      <c r="H16" s="69">
        <f t="shared" si="2"/>
        <v>1231.1313567072434</v>
      </c>
      <c r="I16" s="69">
        <f>s_C*s_EF_iw*(1/365)*s_ED_ind*(s_ET_iw_o+s_ET_iw_i)*(1/24)*s_RadSpec!AA16*s_RadSpec!Q16*1</f>
        <v>5.8100817840834922E-2</v>
      </c>
      <c r="J16" s="4"/>
      <c r="K16" s="4"/>
      <c r="L16" s="4"/>
      <c r="M16" s="4"/>
      <c r="N16" s="48">
        <f>IFERROR((s_TR/(s_RadSpec!F16*s_EF_iw*(1/365)*s_ED_ind*s_RadSpec!Q16*(s_ET_iw_o+s_ET_iw_i)*(1/24)*s_RadSpec!AA16))*1,".")</f>
        <v>644809599.23567688</v>
      </c>
      <c r="O16" s="48">
        <f>IFERROR((s_TR/(s_RadSpec!M16*s_EF_iw*(1/365)*s_ED_ind*s_RadSpec!R16*(s_ET_iw_o+s_ET_iw_i)*(1/24)*s_RadSpec!AB16))*1,".")</f>
        <v>1787312978.8768268</v>
      </c>
      <c r="P16" s="48">
        <f>IFERROR((s_TR/(s_RadSpec!N16*s_EF_iw*(1/365)*s_ED_ind*s_RadSpec!S16*(s_ET_iw_o+s_ET_iw_i)*(1/24)*s_RadSpec!AC16))*1,".")</f>
        <v>697569733.94444859</v>
      </c>
      <c r="Q16" s="48">
        <f>IFERROR((s_TR/(s_RadSpec!O16*s_EF_iw*(1/365)*s_ED_ind*s_RadSpec!T16*(s_ET_iw_o+s_ET_iw_i)*(1/24)*s_RadSpec!AD16))*1,".")</f>
        <v>693444551.586308</v>
      </c>
      <c r="R16" s="48">
        <f>IFERROR((s_TR/(s_RadSpec!K16*s_EF_iw*(1/365)*s_ED_ind*s_RadSpec!P16*(s_ET_iw_o+s_ET_iw_i)*(1/24)*s_RadSpec!Z16))*1,".")</f>
        <v>23198419600.101421</v>
      </c>
      <c r="S16" s="69">
        <f>s_C*s_EF_iw*(1/365)*s_ED_ind*(s_ET_iw_o+s_ET_iw_i)*(1/24)*s_RadSpec!AA16*s_RadSpec!Q16*1</f>
        <v>5.8100817840834922E-2</v>
      </c>
      <c r="T16" s="69">
        <f>s_C*s_EF_iw*(1/365)*s_ED_ind*(s_ET_iw_o+s_ET_iw_i)*(1/24)*s_RadSpec!AB16*s_RadSpec!R16*1</f>
        <v>3.262321009087208E-2</v>
      </c>
      <c r="U16" s="69">
        <f>s_C*s_EF_iw*(1/365)*s_ED_ind*(s_ET_iw_o+s_ET_iw_i)*(1/24)*s_RadSpec!AC16*s_RadSpec!S16*1</f>
        <v>5.4305046780513365E-2</v>
      </c>
      <c r="V16" s="69">
        <f>s_C*s_EF_iw*(1/365)*s_ED_ind*(s_ET_iw_o+s_ET_iw_i)*(1/24)*s_RadSpec!AD16*s_RadSpec!T16*1</f>
        <v>5.4025898655504785E-2</v>
      </c>
      <c r="W16" s="69">
        <f>s_C*s_EF_iw*(1/365)*s_ED_ind*(s_ET_iw_o+s_ET_iw_i)*(1/24)*s_RadSpec!Z16*s_RadSpec!P16*1</f>
        <v>1.3952168949771687E-3</v>
      </c>
      <c r="X16" s="11"/>
      <c r="Y16" s="11"/>
      <c r="Z16" s="11"/>
      <c r="AA16" s="11"/>
      <c r="AB16" s="11"/>
      <c r="AC16" s="48">
        <f>IFERROR(s_TR/(s_RadSpec!G16*s_EF_iw*s_ED_ind*(s_ET_iw_o+s_ET_iw_i)*(1/24)*s_IRA_iw),".")</f>
        <v>9.1636455272818898E-3</v>
      </c>
      <c r="AD16" s="48">
        <f>IFERROR(s_TR/(s_RadSpec!J16*s_EF_iw*(1/365)*s_ED_ind*(s_ET_iw_o+s_ET_iw_i)*(1/24)*s_GSF_a),".")</f>
        <v>202383.83864776907</v>
      </c>
      <c r="AE16" s="48">
        <f t="shared" si="6"/>
        <v>9.1636451123653824E-3</v>
      </c>
      <c r="AF16" s="69">
        <f t="shared" si="4"/>
        <v>381940625</v>
      </c>
      <c r="AG16" s="69">
        <f t="shared" si="5"/>
        <v>69760.844748858435</v>
      </c>
      <c r="AH16" s="10"/>
      <c r="AI16" s="10"/>
      <c r="AJ16" s="10"/>
    </row>
    <row r="17" spans="1:36" x14ac:dyDescent="0.25">
      <c r="A17" s="49" t="s">
        <v>27</v>
      </c>
      <c r="B17" s="50" t="s">
        <v>289</v>
      </c>
      <c r="C17" s="48">
        <f>IFERROR((s_TR/(s_RadSpec!I17*s_EF_iw*s_ED_ind*s_IRS_iw*(1/1000)))*1,".")</f>
        <v>164899.49375855413</v>
      </c>
      <c r="D17" s="48">
        <f>IFERROR(IF(A17="H-3",(s_TR/(s_RadSpec!G17*s_EF_iw*s_ED_ind*(s_ET_iw_o+s_ET_iw_i)*(1/24)*s_IRA_iw*(1/17)*1000))*1,(s_TR/(s_RadSpec!G17*s_EF_iw*s_ED_ind*(s_ET_iw_o+s_ET_iw_i)*(1/24)*s_IRA_iw*(1/s_PEF_wind)*1000))*1),".")</f>
        <v>580761.3956855674</v>
      </c>
      <c r="E17" s="48">
        <f>IFERROR((s_TR/(s_RadSpec!F17*s_EF_iw*(1/365)*s_ED_ind*s_RadSpec!Q17*(s_ET_iw_o+s_ET_iw_i)*(1/24)*s_RadSpec!AA17))*1,".")</f>
        <v>88.471699575218508</v>
      </c>
      <c r="F17" s="48">
        <f t="shared" si="0"/>
        <v>88.41079723528118</v>
      </c>
      <c r="G17" s="69">
        <f t="shared" si="1"/>
        <v>1527762.5</v>
      </c>
      <c r="H17" s="69">
        <f t="shared" si="2"/>
        <v>1231.1313567072434</v>
      </c>
      <c r="I17" s="69">
        <f>s_C*s_EF_iw*(1/365)*s_ED_ind*(s_ET_iw_o+s_ET_iw_i)*(1/24)*s_RadSpec!AA17*s_RadSpec!Q17*1</f>
        <v>631.95118184260036</v>
      </c>
      <c r="J17" s="4"/>
      <c r="K17" s="4"/>
      <c r="L17" s="4"/>
      <c r="M17" s="4"/>
      <c r="N17" s="48">
        <f>IFERROR((s_TR/(s_RadSpec!F17*s_EF_iw*(1/365)*s_ED_ind*s_RadSpec!Q17*(s_ET_iw_o+s_ET_iw_i)*(1/24)*s_RadSpec!AA17))*1,".")</f>
        <v>88.471699575218508</v>
      </c>
      <c r="O17" s="48">
        <f>IFERROR((s_TR/(s_RadSpec!M17*s_EF_iw*(1/365)*s_ED_ind*s_RadSpec!R17*(s_ET_iw_o+s_ET_iw_i)*(1/24)*s_RadSpec!AB17))*1,".")</f>
        <v>679.6694246961689</v>
      </c>
      <c r="P17" s="48">
        <f>IFERROR((s_TR/(s_RadSpec!N17*s_EF_iw*(1/365)*s_ED_ind*s_RadSpec!S17*(s_ET_iw_o+s_ET_iw_i)*(1/24)*s_RadSpec!AC17))*1,".")</f>
        <v>183.85994880560443</v>
      </c>
      <c r="Q17" s="48">
        <f>IFERROR((s_TR/(s_RadSpec!O17*s_EF_iw*(1/365)*s_ED_ind*s_RadSpec!T17*(s_ET_iw_o+s_ET_iw_i)*(1/24)*s_RadSpec!AD17))*1,".")</f>
        <v>110.60977852259114</v>
      </c>
      <c r="R17" s="48">
        <f>IFERROR((s_TR/(s_RadSpec!K17*s_EF_iw*(1/365)*s_ED_ind*s_RadSpec!P17*(s_ET_iw_o+s_ET_iw_i)*(1/24)*s_RadSpec!Z17))*1,".")</f>
        <v>1320.0673011504271</v>
      </c>
      <c r="S17" s="69">
        <f>s_C*s_EF_iw*(1/365)*s_ED_ind*(s_ET_iw_o+s_ET_iw_i)*(1/24)*s_RadSpec!AA17*s_RadSpec!Q17*1</f>
        <v>631.95118184260036</v>
      </c>
      <c r="T17" s="69">
        <f>s_C*s_EF_iw*(1/365)*s_ED_ind*(s_ET_iw_o+s_ET_iw_i)*(1/24)*s_RadSpec!AB17*s_RadSpec!R17*1</f>
        <v>361.58830413082711</v>
      </c>
      <c r="U17" s="69">
        <f>s_C*s_EF_iw*(1/365)*s_ED_ind*(s_ET_iw_o+s_ET_iw_i)*(1/24)*s_RadSpec!AC17*s_RadSpec!S17*1</f>
        <v>479.93281160816207</v>
      </c>
      <c r="V17" s="69">
        <f>s_C*s_EF_iw*(1/365)*s_ED_ind*(s_ET_iw_o+s_ET_iw_i)*(1/24)*s_RadSpec!AD17*s_RadSpec!T17*1</f>
        <v>539.71640220700169</v>
      </c>
      <c r="W17" s="69">
        <f>s_C*s_EF_iw*(1/365)*s_ED_ind*(s_ET_iw_o+s_ET_iw_i)*(1/24)*s_RadSpec!Z17*s_RadSpec!P17*1</f>
        <v>188.7070041942435</v>
      </c>
      <c r="X17" s="11"/>
      <c r="Y17" s="11"/>
      <c r="Z17" s="11"/>
      <c r="AA17" s="11"/>
      <c r="AB17" s="11"/>
      <c r="AC17" s="48">
        <f>IFERROR(s_TR/(s_RadSpec!G17*s_EF_iw*s_ED_ind*(s_ET_iw_o+s_ET_iw_i)*(1/24)*s_IRA_iw),".")</f>
        <v>1.8720018720018716</v>
      </c>
      <c r="AD17" s="48">
        <f>IFERROR(s_TR/(s_RadSpec!J17*s_EF_iw*(1/365)*s_ED_ind*(s_ET_iw_o+s_ET_iw_i)*(1/24)*s_GSF_a),".")</f>
        <v>781.2526188350306</v>
      </c>
      <c r="AE17" s="48">
        <f t="shared" si="6"/>
        <v>1.8675269890571691</v>
      </c>
      <c r="AF17" s="69">
        <f t="shared" si="4"/>
        <v>381940625</v>
      </c>
      <c r="AG17" s="69">
        <f t="shared" si="5"/>
        <v>69760.844748858435</v>
      </c>
      <c r="AH17" s="10"/>
      <c r="AI17" s="10"/>
      <c r="AJ17" s="10"/>
    </row>
    <row r="18" spans="1:36" x14ac:dyDescent="0.25">
      <c r="A18" s="49" t="s">
        <v>28</v>
      </c>
      <c r="B18" s="50" t="s">
        <v>289</v>
      </c>
      <c r="C18" s="48">
        <f>IFERROR((s_TR/(s_RadSpec!I18*s_EF_iw*s_ED_ind*s_IRS_iw*(1/1000)))*1,".")</f>
        <v>25.329922237138728</v>
      </c>
      <c r="D18" s="48">
        <f>IFERROR(IF(A18="H-3",(s_TR/(s_RadSpec!G18*s_EF_iw*s_ED_ind*(s_ET_iw_o+s_ET_iw_i)*(1/24)*s_IRA_iw*(1/17)*1000))*1,(s_TR/(s_RadSpec!G18*s_EF_iw*s_ED_ind*(s_ET_iw_o+s_ET_iw_i)*(1/24)*s_IRA_iw*(1/s_PEF_wind)*1000))*1),".")</f>
        <v>3111.2217626012548</v>
      </c>
      <c r="E18" s="48">
        <f>IFERROR((s_TR/(s_RadSpec!F18*s_EF_iw*(1/365)*s_ED_ind*s_RadSpec!Q18*(s_ET_iw_o+s_ET_iw_i)*(1/24)*s_RadSpec!AA18))*1,".")</f>
        <v>993417.36458497483</v>
      </c>
      <c r="F18" s="48">
        <f t="shared" si="0"/>
        <v>25.12472935339213</v>
      </c>
      <c r="G18" s="69">
        <f t="shared" si="1"/>
        <v>1527762.5</v>
      </c>
      <c r="H18" s="69">
        <f t="shared" si="2"/>
        <v>1231.1313567072434</v>
      </c>
      <c r="I18" s="69">
        <f>s_C*s_EF_iw*(1/365)*s_ED_ind*(s_ET_iw_o+s_ET_iw_i)*(1/24)*s_RadSpec!AA18*s_RadSpec!Q18*1</f>
        <v>1240.790355389938</v>
      </c>
      <c r="J18" s="4"/>
      <c r="K18" s="4"/>
      <c r="L18" s="4"/>
      <c r="M18" s="4"/>
      <c r="N18" s="48">
        <f>IFERROR((s_TR/(s_RadSpec!F18*s_EF_iw*(1/365)*s_ED_ind*s_RadSpec!Q18*(s_ET_iw_o+s_ET_iw_i)*(1/24)*s_RadSpec!AA18))*1,".")</f>
        <v>993417.36458497483</v>
      </c>
      <c r="O18" s="48">
        <f>IFERROR((s_TR/(s_RadSpec!M18*s_EF_iw*(1/365)*s_ED_ind*s_RadSpec!R18*(s_ET_iw_o+s_ET_iw_i)*(1/24)*s_RadSpec!AB18))*1,".")</f>
        <v>9900238.23887337</v>
      </c>
      <c r="P18" s="48">
        <f>IFERROR((s_TR/(s_RadSpec!N18*s_EF_iw*(1/365)*s_ED_ind*s_RadSpec!S18*(s_ET_iw_o+s_ET_iw_i)*(1/24)*s_RadSpec!AC18))*1,".")</f>
        <v>2441876.1400580145</v>
      </c>
      <c r="Q18" s="48">
        <f>IFERROR((s_TR/(s_RadSpec!O18*s_EF_iw*(1/365)*s_ED_ind*s_RadSpec!T18*(s_ET_iw_o+s_ET_iw_i)*(1/24)*s_RadSpec!AD18))*1,".")</f>
        <v>1298628.1234334791</v>
      </c>
      <c r="R18" s="48">
        <f>IFERROR((s_TR/(s_RadSpec!K18*s_EF_iw*(1/365)*s_ED_ind*s_RadSpec!P18*(s_ET_iw_o+s_ET_iw_i)*(1/24)*s_RadSpec!Z18))*1,".")</f>
        <v>17311985.30301838</v>
      </c>
      <c r="S18" s="69">
        <f>s_C*s_EF_iw*(1/365)*s_ED_ind*(s_ET_iw_o+s_ET_iw_i)*(1/24)*s_RadSpec!AA18*s_RadSpec!Q18*1</f>
        <v>1240.790355389938</v>
      </c>
      <c r="T18" s="69">
        <f>s_C*s_EF_iw*(1/365)*s_ED_ind*(s_ET_iw_o+s_ET_iw_i)*(1/24)*s_RadSpec!AB18*s_RadSpec!R18*1</f>
        <v>627.07042621997732</v>
      </c>
      <c r="U18" s="69">
        <f>s_C*s_EF_iw*(1/365)*s_ED_ind*(s_ET_iw_o+s_ET_iw_i)*(1/24)*s_RadSpec!AC18*s_RadSpec!S18*1</f>
        <v>895.43679936591457</v>
      </c>
      <c r="V18" s="69">
        <f>s_C*s_EF_iw*(1/365)*s_ED_ind*(s_ET_iw_o+s_ET_iw_i)*(1/24)*s_RadSpec!AD18*s_RadSpec!T18*1</f>
        <v>1080.7691979352785</v>
      </c>
      <c r="W18" s="69">
        <f>s_C*s_EF_iw*(1/365)*s_ED_ind*(s_ET_iw_o+s_ET_iw_i)*(1/24)*s_RadSpec!Z18*s_RadSpec!P18*1</f>
        <v>368.90480612955656</v>
      </c>
      <c r="X18" s="11"/>
      <c r="Y18" s="11"/>
      <c r="Z18" s="11"/>
      <c r="AA18" s="11"/>
      <c r="AB18" s="11"/>
      <c r="AC18" s="48">
        <f>IFERROR(s_TR/(s_RadSpec!G18*s_EF_iw*s_ED_ind*(s_ET_iw_o+s_ET_iw_i)*(1/24)*s_IRA_iw),".")</f>
        <v>1.0028581457152885E-2</v>
      </c>
      <c r="AD18" s="48">
        <f>IFERROR(s_TR/(s_RadSpec!J18*s_EF_iw*(1/365)*s_ED_ind*(s_ET_iw_o+s_ET_iw_i)*(1/24)*s_GSF_a),".")</f>
        <v>19051216.096172679</v>
      </c>
      <c r="AE18" s="48">
        <f t="shared" si="6"/>
        <v>1.0028581451873828E-2</v>
      </c>
      <c r="AF18" s="69">
        <f t="shared" si="4"/>
        <v>381940625</v>
      </c>
      <c r="AG18" s="69">
        <f t="shared" si="5"/>
        <v>69760.844748858435</v>
      </c>
      <c r="AH18" s="10"/>
      <c r="AI18" s="10"/>
      <c r="AJ18" s="10"/>
    </row>
    <row r="19" spans="1:36" x14ac:dyDescent="0.25">
      <c r="A19" s="49" t="s">
        <v>29</v>
      </c>
      <c r="B19" s="50" t="s">
        <v>289</v>
      </c>
      <c r="C19" s="48" t="str">
        <f>IFERROR((s_TR/(s_RadSpec!I19*s_EF_iw*s_ED_ind*s_IRS_iw*(1/1000)))*1,".")</f>
        <v>.</v>
      </c>
      <c r="D19" s="48" t="str">
        <f>IFERROR(IF(A19="H-3",(s_TR/(s_RadSpec!G19*s_EF_iw*s_ED_ind*(s_ET_iw_o+s_ET_iw_i)*(1/24)*s_IRA_iw*(1/17)*1000))*1,(s_TR/(s_RadSpec!G19*s_EF_iw*s_ED_ind*(s_ET_iw_o+s_ET_iw_i)*(1/24)*s_IRA_iw*(1/s_PEF_wind)*1000))*1),".")</f>
        <v>.</v>
      </c>
      <c r="E19" s="48">
        <f>IFERROR((s_TR/(s_RadSpec!F19*s_EF_iw*(1/365)*s_ED_ind*s_RadSpec!Q19*(s_ET_iw_o+s_ET_iw_i)*(1/24)*s_RadSpec!AA19))*1,".")</f>
        <v>264377.9744493452</v>
      </c>
      <c r="F19" s="48">
        <f t="shared" si="0"/>
        <v>264377.9744493452</v>
      </c>
      <c r="G19" s="69">
        <f t="shared" si="1"/>
        <v>1527762.5</v>
      </c>
      <c r="H19" s="69">
        <f t="shared" si="2"/>
        <v>1231.1313567072434</v>
      </c>
      <c r="I19" s="69">
        <f>s_C*s_EF_iw*(1/365)*s_ED_ind*(s_ET_iw_o+s_ET_iw_i)*(1/24)*s_RadSpec!AA19*s_RadSpec!Q19*1</f>
        <v>1215.9913189823874</v>
      </c>
      <c r="J19" s="4"/>
      <c r="K19" s="4"/>
      <c r="L19" s="4"/>
      <c r="M19" s="4"/>
      <c r="N19" s="48">
        <f>IFERROR((s_TR/(s_RadSpec!F19*s_EF_iw*(1/365)*s_ED_ind*s_RadSpec!Q19*(s_ET_iw_o+s_ET_iw_i)*(1/24)*s_RadSpec!AA19))*1,".")</f>
        <v>264377.9744493452</v>
      </c>
      <c r="O19" s="48">
        <f>IFERROR((s_TR/(s_RadSpec!M19*s_EF_iw*(1/365)*s_ED_ind*s_RadSpec!R19*(s_ET_iw_o+s_ET_iw_i)*(1/24)*s_RadSpec!AB19))*1,".")</f>
        <v>2621841.114621981</v>
      </c>
      <c r="P19" s="48">
        <f>IFERROR((s_TR/(s_RadSpec!N19*s_EF_iw*(1/365)*s_ED_ind*s_RadSpec!S19*(s_ET_iw_o+s_ET_iw_i)*(1/24)*s_RadSpec!AC19))*1,".")</f>
        <v>645354.64114054537</v>
      </c>
      <c r="Q19" s="48">
        <f>IFERROR((s_TR/(s_RadSpec!O19*s_EF_iw*(1/365)*s_ED_ind*s_RadSpec!T19*(s_ET_iw_o+s_ET_iw_i)*(1/24)*s_RadSpec!AD19))*1,".")</f>
        <v>345625.10282583529</v>
      </c>
      <c r="R19" s="48">
        <f>IFERROR((s_TR/(s_RadSpec!K19*s_EF_iw*(1/365)*s_ED_ind*s_RadSpec!P19*(s_ET_iw_o+s_ET_iw_i)*(1/24)*s_RadSpec!Z19))*1,".")</f>
        <v>4640295.9544211896</v>
      </c>
      <c r="S19" s="69">
        <f>s_C*s_EF_iw*(1/365)*s_ED_ind*(s_ET_iw_o+s_ET_iw_i)*(1/24)*s_RadSpec!AA19*s_RadSpec!Q19*1</f>
        <v>1215.9913189823874</v>
      </c>
      <c r="T19" s="69">
        <f>s_C*s_EF_iw*(1/365)*s_ED_ind*(s_ET_iw_o+s_ET_iw_i)*(1/24)*s_RadSpec!AB19*s_RadSpec!R19*1</f>
        <v>613.08314998123456</v>
      </c>
      <c r="U19" s="69">
        <f>s_C*s_EF_iw*(1/365)*s_ED_ind*(s_ET_iw_o+s_ET_iw_i)*(1/24)*s_RadSpec!AC19*s_RadSpec!S19*1</f>
        <v>884.42562495162861</v>
      </c>
      <c r="V19" s="69">
        <f>s_C*s_EF_iw*(1/365)*s_ED_ind*(s_ET_iw_o+s_ET_iw_i)*(1/24)*s_RadSpec!AD19*s_RadSpec!T19*1</f>
        <v>1058.9338484954924</v>
      </c>
      <c r="W19" s="69">
        <f>s_C*s_EF_iw*(1/365)*s_ED_ind*(s_ET_iw_o+s_ET_iw_i)*(1/24)*s_RadSpec!Z19*s_RadSpec!P19*1</f>
        <v>356.02401422703406</v>
      </c>
      <c r="X19" s="11"/>
      <c r="Y19" s="11"/>
      <c r="Z19" s="11"/>
      <c r="AA19" s="11"/>
      <c r="AB19" s="11"/>
      <c r="AC19" s="48" t="str">
        <f>IFERROR(s_TR/(s_RadSpec!G19*s_EF_iw*s_ED_ind*(s_ET_iw_o+s_ET_iw_i)*(1/24)*s_IRA_iw),".")</f>
        <v>.</v>
      </c>
      <c r="AD19" s="48">
        <f>IFERROR(s_TR/(s_RadSpec!J19*s_EF_iw*(1/365)*s_ED_ind*(s_ET_iw_o+s_ET_iw_i)*(1/24)*s_GSF_a),".")</f>
        <v>4942272.001760737</v>
      </c>
      <c r="AE19" s="48">
        <f t="shared" si="6"/>
        <v>4942272.001760737</v>
      </c>
      <c r="AF19" s="69">
        <f t="shared" si="4"/>
        <v>381940625</v>
      </c>
      <c r="AG19" s="69">
        <f t="shared" si="5"/>
        <v>69760.844748858435</v>
      </c>
      <c r="AH19" s="10"/>
      <c r="AI19" s="10"/>
      <c r="AJ19" s="10"/>
    </row>
    <row r="20" spans="1:36" x14ac:dyDescent="0.25">
      <c r="A20" s="49" t="s">
        <v>30</v>
      </c>
      <c r="B20" s="50" t="s">
        <v>289</v>
      </c>
      <c r="C20" s="48" t="str">
        <f>IFERROR((s_TR/(s_RadSpec!I20*s_EF_iw*s_ED_ind*s_IRS_iw*(1/1000)))*1,".")</f>
        <v>.</v>
      </c>
      <c r="D20" s="48" t="str">
        <f>IFERROR(IF(A20="H-3",(s_TR/(s_RadSpec!G20*s_EF_iw*s_ED_ind*(s_ET_iw_o+s_ET_iw_i)*(1/24)*s_IRA_iw*(1/17)*1000))*1,(s_TR/(s_RadSpec!G20*s_EF_iw*s_ED_ind*(s_ET_iw_o+s_ET_iw_i)*(1/24)*s_IRA_iw*(1/s_PEF_wind)*1000))*1),".")</f>
        <v>.</v>
      </c>
      <c r="E20" s="48">
        <f>IFERROR((s_TR/(s_RadSpec!F20*s_EF_iw*(1/365)*s_ED_ind*s_RadSpec!Q20*(s_ET_iw_o+s_ET_iw_i)*(1/24)*s_RadSpec!AA20))*1,".")</f>
        <v>116590.0112181469</v>
      </c>
      <c r="F20" s="48">
        <f t="shared" si="0"/>
        <v>116590.0112181469</v>
      </c>
      <c r="G20" s="69">
        <f t="shared" si="1"/>
        <v>1527762.5</v>
      </c>
      <c r="H20" s="69">
        <f t="shared" si="2"/>
        <v>1231.1313567072434</v>
      </c>
      <c r="I20" s="69">
        <f>s_C*s_EF_iw*(1/365)*s_ED_ind*(s_ET_iw_o+s_ET_iw_i)*(1/24)*s_RadSpec!AA20*s_RadSpec!Q20*1</f>
        <v>1236.6368303676511</v>
      </c>
      <c r="J20" s="4"/>
      <c r="K20" s="4"/>
      <c r="L20" s="4"/>
      <c r="M20" s="4"/>
      <c r="N20" s="48">
        <f>IFERROR((s_TR/(s_RadSpec!F20*s_EF_iw*(1/365)*s_ED_ind*s_RadSpec!Q20*(s_ET_iw_o+s_ET_iw_i)*(1/24)*s_RadSpec!AA20))*1,".")</f>
        <v>116590.0112181469</v>
      </c>
      <c r="O20" s="48">
        <f>IFERROR((s_TR/(s_RadSpec!M20*s_EF_iw*(1/365)*s_ED_ind*s_RadSpec!R20*(s_ET_iw_o+s_ET_iw_i)*(1/24)*s_RadSpec!AB20))*1,".")</f>
        <v>1162312.4943171202</v>
      </c>
      <c r="P20" s="48">
        <f>IFERROR((s_TR/(s_RadSpec!N20*s_EF_iw*(1/365)*s_ED_ind*s_RadSpec!S20*(s_ET_iw_o+s_ET_iw_i)*(1/24)*s_RadSpec!AC20))*1,".")</f>
        <v>288525.49460828496</v>
      </c>
      <c r="Q20" s="48">
        <f>IFERROR((s_TR/(s_RadSpec!O20*s_EF_iw*(1/365)*s_ED_ind*s_RadSpec!T20*(s_ET_iw_o+s_ET_iw_i)*(1/24)*s_RadSpec!AD20))*1,".")</f>
        <v>154246.9041868471</v>
      </c>
      <c r="R20" s="48">
        <f>IFERROR((s_TR/(s_RadSpec!K20*s_EF_iw*(1/365)*s_ED_ind*s_RadSpec!P20*(s_ET_iw_o+s_ET_iw_i)*(1/24)*s_RadSpec!Z20))*1,".")</f>
        <v>2032852.0489989158</v>
      </c>
      <c r="S20" s="69">
        <f>s_C*s_EF_iw*(1/365)*s_ED_ind*(s_ET_iw_o+s_ET_iw_i)*(1/24)*s_RadSpec!AA20*s_RadSpec!Q20*1</f>
        <v>1236.6368303676511</v>
      </c>
      <c r="T20" s="69">
        <f>s_C*s_EF_iw*(1/365)*s_ED_ind*(s_ET_iw_o+s_ET_iw_i)*(1/24)*s_RadSpec!AB20*s_RadSpec!R20*1</f>
        <v>627.06766782949023</v>
      </c>
      <c r="U20" s="69">
        <f>s_C*s_EF_iw*(1/365)*s_ED_ind*(s_ET_iw_o+s_ET_iw_i)*(1/24)*s_RadSpec!AC20*s_RadSpec!S20*1</f>
        <v>896.22167606768699</v>
      </c>
      <c r="V20" s="69">
        <f>s_C*s_EF_iw*(1/365)*s_ED_ind*(s_ET_iw_o+s_ET_iw_i)*(1/24)*s_RadSpec!AD20*s_RadSpec!T20*1</f>
        <v>1067.3409246575336</v>
      </c>
      <c r="W20" s="69">
        <f>s_C*s_EF_iw*(1/365)*s_ED_ind*(s_ET_iw_o+s_ET_iw_i)*(1/24)*s_RadSpec!Z20*s_RadSpec!P20*1</f>
        <v>368.00572358605712</v>
      </c>
      <c r="X20" s="11"/>
      <c r="Y20" s="11"/>
      <c r="Z20" s="11"/>
      <c r="AA20" s="11"/>
      <c r="AB20" s="11"/>
      <c r="AC20" s="48" t="str">
        <f>IFERROR(s_TR/(s_RadSpec!G20*s_EF_iw*s_ED_ind*(s_ET_iw_o+s_ET_iw_i)*(1/24)*s_IRA_iw),".")</f>
        <v>.</v>
      </c>
      <c r="AD20" s="48">
        <f>IFERROR(s_TR/(s_RadSpec!J20*s_EF_iw*(1/365)*s_ED_ind*(s_ET_iw_o+s_ET_iw_i)*(1/24)*s_GSF_a),".")</f>
        <v>2228867.7654999401</v>
      </c>
      <c r="AE20" s="48">
        <f t="shared" si="6"/>
        <v>2228867.7654999401</v>
      </c>
      <c r="AF20" s="69">
        <f t="shared" si="4"/>
        <v>381940625</v>
      </c>
      <c r="AG20" s="69">
        <f t="shared" si="5"/>
        <v>69760.844748858435</v>
      </c>
      <c r="AH20" s="10"/>
      <c r="AI20" s="10"/>
      <c r="AJ20" s="10"/>
    </row>
    <row r="21" spans="1:36" x14ac:dyDescent="0.25">
      <c r="A21" s="49" t="s">
        <v>31</v>
      </c>
      <c r="B21" s="50" t="s">
        <v>289</v>
      </c>
      <c r="C21" s="48" t="str">
        <f>IFERROR((s_TR/(s_RadSpec!I21*s_EF_iw*s_ED_ind*s_IRS_iw*(1/1000)))*1,".")</f>
        <v>.</v>
      </c>
      <c r="D21" s="48">
        <f>IFERROR(IF(A21="H-3",(s_TR/(s_RadSpec!G21*s_EF_iw*s_ED_ind*(s_ET_iw_o+s_ET_iw_i)*(1/24)*s_IRA_iw*(1/17)*1000))*1,(s_TR/(s_RadSpec!G21*s_EF_iw*s_ED_ind*(s_ET_iw_o+s_ET_iw_i)*(1/24)*s_IRA_iw*(1/s_PEF_wind)*1000))*1),".")</f>
        <v>3246414.4204869489</v>
      </c>
      <c r="E21" s="48" t="str">
        <f>IFERROR((s_TR/(s_RadSpec!F21*s_EF_iw*(1/365)*s_ED_ind*s_RadSpec!Q21*(s_ET_iw_o+s_ET_iw_i)*(1/24)*s_RadSpec!AA21))*1,".")</f>
        <v>.</v>
      </c>
      <c r="F21" s="48">
        <f t="shared" si="0"/>
        <v>3246414.4204869489</v>
      </c>
      <c r="G21" s="69">
        <f t="shared" si="1"/>
        <v>1527762.5</v>
      </c>
      <c r="H21" s="69">
        <f t="shared" si="2"/>
        <v>1231.1313567072434</v>
      </c>
      <c r="I21" s="69">
        <f>s_C*s_EF_iw*(1/365)*s_ED_ind*(s_ET_iw_o+s_ET_iw_i)*(1/24)*s_RadSpec!AA21*s_RadSpec!Q21*1</f>
        <v>0</v>
      </c>
      <c r="J21" s="4"/>
      <c r="K21" s="4"/>
      <c r="L21" s="4"/>
      <c r="M21" s="4"/>
      <c r="N21" s="48" t="str">
        <f>IFERROR((s_TR/(s_RadSpec!F21*s_EF_iw*(1/365)*s_ED_ind*s_RadSpec!Q21*(s_ET_iw_o+s_ET_iw_i)*(1/24)*s_RadSpec!AA21))*1,".")</f>
        <v>.</v>
      </c>
      <c r="O21" s="48" t="str">
        <f>IFERROR((s_TR/(s_RadSpec!M21*s_EF_iw*(1/365)*s_ED_ind*s_RadSpec!R21*(s_ET_iw_o+s_ET_iw_i)*(1/24)*s_RadSpec!AB21))*1,".")</f>
        <v>.</v>
      </c>
      <c r="P21" s="48" t="str">
        <f>IFERROR((s_TR/(s_RadSpec!N21*s_EF_iw*(1/365)*s_ED_ind*s_RadSpec!S21*(s_ET_iw_o+s_ET_iw_i)*(1/24)*s_RadSpec!AC21))*1,".")</f>
        <v>.</v>
      </c>
      <c r="Q21" s="48" t="str">
        <f>IFERROR((s_TR/(s_RadSpec!O21*s_EF_iw*(1/365)*s_ED_ind*s_RadSpec!T21*(s_ET_iw_o+s_ET_iw_i)*(1/24)*s_RadSpec!AD21))*1,".")</f>
        <v>.</v>
      </c>
      <c r="R21" s="48" t="str">
        <f>IFERROR((s_TR/(s_RadSpec!K21*s_EF_iw*(1/365)*s_ED_ind*s_RadSpec!P21*(s_ET_iw_o+s_ET_iw_i)*(1/24)*s_RadSpec!Z21))*1,".")</f>
        <v>.</v>
      </c>
      <c r="S21" s="69">
        <f>s_C*s_EF_iw*(1/365)*s_ED_ind*(s_ET_iw_o+s_ET_iw_i)*(1/24)*s_RadSpec!AA21*s_RadSpec!Q21*1</f>
        <v>0</v>
      </c>
      <c r="T21" s="69">
        <f>s_C*s_EF_iw*(1/365)*s_ED_ind*(s_ET_iw_o+s_ET_iw_i)*(1/24)*s_RadSpec!AB21*s_RadSpec!R21*1</f>
        <v>0</v>
      </c>
      <c r="U21" s="69">
        <f>s_C*s_EF_iw*(1/365)*s_ED_ind*(s_ET_iw_o+s_ET_iw_i)*(1/24)*s_RadSpec!AC21*s_RadSpec!S21*1</f>
        <v>0</v>
      </c>
      <c r="V21" s="69">
        <f>s_C*s_EF_iw*(1/365)*s_ED_ind*(s_ET_iw_o+s_ET_iw_i)*(1/24)*s_RadSpec!AD21*s_RadSpec!T21*1</f>
        <v>0</v>
      </c>
      <c r="W21" s="69">
        <f>s_C*s_EF_iw*(1/365)*s_ED_ind*(s_ET_iw_o+s_ET_iw_i)*(1/24)*s_RadSpec!Z21*s_RadSpec!P21*1</f>
        <v>0</v>
      </c>
      <c r="X21" s="11"/>
      <c r="Y21" s="11"/>
      <c r="Z21" s="11"/>
      <c r="AA21" s="11"/>
      <c r="AB21" s="11"/>
      <c r="AC21" s="48">
        <f>IFERROR(s_TR/(s_RadSpec!G21*s_EF_iw*s_ED_ind*(s_ET_iw_o+s_ET_iw_i)*(1/24)*s_IRA_iw),".")</f>
        <v>10.464355788096794</v>
      </c>
      <c r="AD21" s="48">
        <f>IFERROR(s_TR/(s_RadSpec!J21*s_EF_iw*(1/365)*s_ED_ind*(s_ET_iw_o+s_ET_iw_i)*(1/24)*s_GSF_a),".")</f>
        <v>20178506989.437328</v>
      </c>
      <c r="AE21" s="48">
        <f t="shared" si="6"/>
        <v>10.464355782670093</v>
      </c>
      <c r="AF21" s="69">
        <f t="shared" si="4"/>
        <v>381940625</v>
      </c>
      <c r="AG21" s="69">
        <f t="shared" si="5"/>
        <v>69760.844748858435</v>
      </c>
      <c r="AH21" s="10"/>
      <c r="AI21" s="10"/>
      <c r="AJ21" s="10"/>
    </row>
    <row r="22" spans="1:36" x14ac:dyDescent="0.25">
      <c r="A22" s="49" t="s">
        <v>32</v>
      </c>
      <c r="B22" s="50" t="s">
        <v>289</v>
      </c>
      <c r="C22" s="48">
        <f>IFERROR((s_TR/(s_RadSpec!I22*s_EF_iw*s_ED_ind*s_IRS_iw*(1/1000)))*1,".")</f>
        <v>488.95571283631</v>
      </c>
      <c r="D22" s="48">
        <f>IFERROR(IF(A22="H-3",(s_TR/(s_RadSpec!G22*s_EF_iw*s_ED_ind*(s_ET_iw_o+s_ET_iw_i)*(1/24)*s_IRA_iw*(1/17)*1000))*1,(s_TR/(s_RadSpec!G22*s_EF_iw*s_ED_ind*(s_ET_iw_o+s_ET_iw_i)*(1/24)*s_IRA_iw*(1/s_PEF_wind)*1000))*1),".")</f>
        <v>1725.0338485709926</v>
      </c>
      <c r="E22" s="48">
        <f>IFERROR((s_TR/(s_RadSpec!F22*s_EF_iw*(1/365)*s_ED_ind*s_RadSpec!Q22*(s_ET_iw_o+s_ET_iw_i)*(1/24)*s_RadSpec!AA22))*1,".")</f>
        <v>31287389291.353718</v>
      </c>
      <c r="F22" s="48">
        <f t="shared" si="0"/>
        <v>380.97069630635644</v>
      </c>
      <c r="G22" s="69">
        <f t="shared" si="1"/>
        <v>1527762.5</v>
      </c>
      <c r="H22" s="69">
        <f t="shared" si="2"/>
        <v>1231.1313567072434</v>
      </c>
      <c r="I22" s="69">
        <f>s_C*s_EF_iw*(1/365)*s_ED_ind*(s_ET_iw_o+s_ET_iw_i)*(1/24)*s_RadSpec!AA22*s_RadSpec!Q22*1</f>
        <v>2.9076789071793088E-4</v>
      </c>
      <c r="J22" s="4"/>
      <c r="K22" s="4"/>
      <c r="L22" s="4"/>
      <c r="M22" s="4"/>
      <c r="N22" s="48">
        <f>IFERROR((s_TR/(s_RadSpec!F22*s_EF_iw*(1/365)*s_ED_ind*s_RadSpec!Q22*(s_ET_iw_o+s_ET_iw_i)*(1/24)*s_RadSpec!AA22))*1,".")</f>
        <v>31287389291.353718</v>
      </c>
      <c r="O22" s="48">
        <f>IFERROR((s_TR/(s_RadSpec!M22*s_EF_iw*(1/365)*s_ED_ind*s_RadSpec!R22*(s_ET_iw_o+s_ET_iw_i)*(1/24)*s_RadSpec!AB22))*1,".")</f>
        <v>39375093841.032318</v>
      </c>
      <c r="P22" s="48">
        <f>IFERROR((s_TR/(s_RadSpec!N22*s_EF_iw*(1/365)*s_ED_ind*s_RadSpec!S22*(s_ET_iw_o+s_ET_iw_i)*(1/24)*s_RadSpec!AC22))*1,".")</f>
        <v>22152758358.002178</v>
      </c>
      <c r="Q22" s="48">
        <f>IFERROR((s_TR/(s_RadSpec!O22*s_EF_iw*(1/365)*s_ED_ind*s_RadSpec!T22*(s_ET_iw_o+s_ET_iw_i)*(1/24)*s_RadSpec!AD22))*1,".")</f>
        <v>22740348954.461639</v>
      </c>
      <c r="R22" s="48">
        <f>IFERROR((s_TR/(s_RadSpec!K22*s_EF_iw*(1/365)*s_ED_ind*s_RadSpec!P22*(s_ET_iw_o+s_ET_iw_i)*(1/24)*s_RadSpec!Z22))*1,".")</f>
        <v>111267041236.7211</v>
      </c>
      <c r="S22" s="69">
        <f>s_C*s_EF_iw*(1/365)*s_ED_ind*(s_ET_iw_o+s_ET_iw_i)*(1/24)*s_RadSpec!AA22*s_RadSpec!Q22*1</f>
        <v>2.9076789071793088E-4</v>
      </c>
      <c r="T22" s="69">
        <f>s_C*s_EF_iw*(1/365)*s_ED_ind*(s_ET_iw_o+s_ET_iw_i)*(1/24)*s_RadSpec!AB22*s_RadSpec!R22*1</f>
        <v>3.1732107670893355E-4</v>
      </c>
      <c r="U22" s="69">
        <f>s_C*s_EF_iw*(1/365)*s_ED_ind*(s_ET_iw_o+s_ET_iw_i)*(1/24)*s_RadSpec!AC22*s_RadSpec!S22*1</f>
        <v>4.1303447899954744E-4</v>
      </c>
      <c r="V22" s="69">
        <f>s_C*s_EF_iw*(1/365)*s_ED_ind*(s_ET_iw_o+s_ET_iw_i)*(1/24)*s_RadSpec!AD22*s_RadSpec!T22*1</f>
        <v>4.0082041471663324E-4</v>
      </c>
      <c r="W22" s="69">
        <f>s_C*s_EF_iw*(1/365)*s_ED_ind*(s_ET_iw_o+s_ET_iw_i)*(1/24)*s_RadSpec!Z22*s_RadSpec!P22*1</f>
        <v>5.6487849530994965E-5</v>
      </c>
      <c r="X22" s="11"/>
      <c r="Y22" s="11"/>
      <c r="Z22" s="11"/>
      <c r="AA22" s="11"/>
      <c r="AB22" s="11"/>
      <c r="AC22" s="48">
        <f>IFERROR(s_TR/(s_RadSpec!G22*s_EF_iw*s_ED_ind*(s_ET_iw_o+s_ET_iw_i)*(1/24)*s_IRA_iw),".")</f>
        <v>5.5604016000055604E-3</v>
      </c>
      <c r="AD22" s="48">
        <f>IFERROR(s_TR/(s_RadSpec!J22*s_EF_iw*(1/365)*s_ED_ind*(s_ET_iw_o+s_ET_iw_i)*(1/24)*s_GSF_a),".")</f>
        <v>43166.679509049485</v>
      </c>
      <c r="AE22" s="48">
        <f t="shared" si="6"/>
        <v>5.5604008837572341E-3</v>
      </c>
      <c r="AF22" s="69">
        <f t="shared" si="4"/>
        <v>381940625</v>
      </c>
      <c r="AG22" s="69">
        <f t="shared" si="5"/>
        <v>69760.844748858435</v>
      </c>
      <c r="AH22" s="10"/>
      <c r="AI22" s="10"/>
      <c r="AJ22" s="10"/>
    </row>
    <row r="23" spans="1:36" x14ac:dyDescent="0.25">
      <c r="A23" s="51" t="s">
        <v>33</v>
      </c>
      <c r="B23" s="50" t="s">
        <v>275</v>
      </c>
      <c r="C23" s="48">
        <f>IFERROR((s_TR/(s_RadSpec!I23*s_EF_iw*s_ED_ind*s_IRS_iw*(1/1000)))*1,".")</f>
        <v>123.46746015087723</v>
      </c>
      <c r="D23" s="48">
        <f>IFERROR(IF(A23="H-3",(s_TR/(s_RadSpec!G23*s_EF_iw*s_ED_ind*(s_ET_iw_o+s_ET_iw_i)*(1/24)*s_IRA_iw*(1/17)*1000))*1,(s_TR/(s_RadSpec!G23*s_EF_iw*s_ED_ind*(s_ET_iw_o+s_ET_iw_i)*(1/24)*s_IRA_iw*(1/s_PEF_wind)*1000))*1),".")</f>
        <v>1602.6267160836946</v>
      </c>
      <c r="E23" s="48">
        <f>IFERROR((s_TR/(s_RadSpec!F23*s_EF_iw*(1/365)*s_ED_ind*s_RadSpec!Q23*(s_ET_iw_o+s_ET_iw_i)*(1/24)*s_RadSpec!AA23))*1,".")</f>
        <v>1751.0851899855995</v>
      </c>
      <c r="F23" s="48">
        <f t="shared" si="0"/>
        <v>107.59224616150827</v>
      </c>
      <c r="G23" s="69">
        <f t="shared" si="1"/>
        <v>1527762.5</v>
      </c>
      <c r="H23" s="69">
        <f t="shared" si="2"/>
        <v>1231.1313567072434</v>
      </c>
      <c r="I23" s="69">
        <f>s_C*s_EF_iw*(1/365)*s_ED_ind*(s_ET_iw_o+s_ET_iw_i)*(1/24)*s_RadSpec!AA23*s_RadSpec!Q23*1</f>
        <v>1269.6862384095855</v>
      </c>
      <c r="J23" s="4"/>
      <c r="K23" s="4"/>
      <c r="L23" s="4"/>
      <c r="M23" s="4"/>
      <c r="N23" s="48">
        <f>IFERROR((s_TR/(s_RadSpec!F23*s_EF_iw*(1/365)*s_ED_ind*s_RadSpec!Q23*(s_ET_iw_o+s_ET_iw_i)*(1/24)*s_RadSpec!AA23))*1,".")</f>
        <v>1751.0851899855995</v>
      </c>
      <c r="O23" s="48">
        <f>IFERROR((s_TR/(s_RadSpec!M23*s_EF_iw*(1/365)*s_ED_ind*s_RadSpec!R23*(s_ET_iw_o+s_ET_iw_i)*(1/24)*s_RadSpec!AB23))*1,".")</f>
        <v>12297.758488276284</v>
      </c>
      <c r="P23" s="48">
        <f>IFERROR((s_TR/(s_RadSpec!N23*s_EF_iw*(1/365)*s_ED_ind*s_RadSpec!S23*(s_ET_iw_o+s_ET_iw_i)*(1/24)*s_RadSpec!AC23))*1,".")</f>
        <v>3180.5402407971865</v>
      </c>
      <c r="Q23" s="48">
        <f>IFERROR((s_TR/(s_RadSpec!O23*s_EF_iw*(1/365)*s_ED_ind*s_RadSpec!T23*(s_ET_iw_o+s_ET_iw_i)*(1/24)*s_RadSpec!AD23))*1,".")</f>
        <v>1855.7019820643254</v>
      </c>
      <c r="R23" s="48">
        <f>IFERROR((s_TR/(s_RadSpec!K23*s_EF_iw*(1/365)*s_ED_ind*s_RadSpec!P23*(s_ET_iw_o+s_ET_iw_i)*(1/24)*s_RadSpec!Z23))*1,".")</f>
        <v>19626.35553501004</v>
      </c>
      <c r="S23" s="69">
        <f>s_C*s_EF_iw*(1/365)*s_ED_ind*(s_ET_iw_o+s_ET_iw_i)*(1/24)*s_RadSpec!AA23*s_RadSpec!Q23*1</f>
        <v>1269.6862384095855</v>
      </c>
      <c r="T23" s="69">
        <f>s_C*s_EF_iw*(1/365)*s_ED_ind*(s_ET_iw_o+s_ET_iw_i)*(1/24)*s_RadSpec!AB23*s_RadSpec!R23*1</f>
        <v>713.29933658103232</v>
      </c>
      <c r="U23" s="69">
        <f>s_C*s_EF_iw*(1/365)*s_ED_ind*(s_ET_iw_o+s_ET_iw_i)*(1/24)*s_RadSpec!AC23*s_RadSpec!S23*1</f>
        <v>1008.7311100795296</v>
      </c>
      <c r="V23" s="69">
        <f>s_C*s_EF_iw*(1/365)*s_ED_ind*(s_ET_iw_o+s_ET_iw_i)*(1/24)*s_RadSpec!AD23*s_RadSpec!T23*1</f>
        <v>1232.6673538147804</v>
      </c>
      <c r="W23" s="69">
        <f>s_C*s_EF_iw*(1/365)*s_ED_ind*(s_ET_iw_o+s_ET_iw_i)*(1/24)*s_RadSpec!Z23*s_RadSpec!P23*1</f>
        <v>453.13125282817066</v>
      </c>
      <c r="X23" s="11"/>
      <c r="Y23" s="11"/>
      <c r="Z23" s="11"/>
      <c r="AA23" s="11"/>
      <c r="AB23" s="11"/>
      <c r="AC23" s="48">
        <f>IFERROR(s_TR/(s_RadSpec!G23*s_EF_iw*s_ED_ind*(s_ET_iw_o+s_ET_iw_i)*(1/24)*s_IRA_iw),".")</f>
        <v>5.1658395942232992E-3</v>
      </c>
      <c r="AD23" s="48">
        <f>IFERROR(s_TR/(s_RadSpec!J23*s_EF_iw*(1/365)*s_ED_ind*(s_ET_iw_o+s_ET_iw_i)*(1/24)*s_GSF_a),".")</f>
        <v>27952.194108318923</v>
      </c>
      <c r="AE23" s="48">
        <f t="shared" si="6"/>
        <v>5.165838639525658E-3</v>
      </c>
      <c r="AF23" s="69">
        <f t="shared" si="4"/>
        <v>381940625</v>
      </c>
      <c r="AG23" s="69">
        <f t="shared" si="5"/>
        <v>69760.844748858435</v>
      </c>
      <c r="AH23" s="10"/>
      <c r="AI23" s="10"/>
      <c r="AJ23" s="10"/>
    </row>
    <row r="24" spans="1:36" x14ac:dyDescent="0.25">
      <c r="A24" s="49" t="s">
        <v>34</v>
      </c>
      <c r="B24" s="50" t="s">
        <v>289</v>
      </c>
      <c r="C24" s="48" t="str">
        <f>IFERROR((s_TR/(s_RadSpec!I24*s_EF_iw*s_ED_ind*s_IRS_iw*(1/1000)))*1,".")</f>
        <v>.</v>
      </c>
      <c r="D24" s="48" t="str">
        <f>IFERROR(IF(A24="H-3",(s_TR/(s_RadSpec!G24*s_EF_iw*s_ED_ind*(s_ET_iw_o+s_ET_iw_i)*(1/24)*s_IRA_iw*(1/17)*1000))*1,(s_TR/(s_RadSpec!G24*s_EF_iw*s_ED_ind*(s_ET_iw_o+s_ET_iw_i)*(1/24)*s_IRA_iw*(1/s_PEF_wind)*1000))*1),".")</f>
        <v>.</v>
      </c>
      <c r="E24" s="48">
        <f>IFERROR((s_TR/(s_RadSpec!F24*s_EF_iw*(1/365)*s_ED_ind*s_RadSpec!Q24*(s_ET_iw_o+s_ET_iw_i)*(1/24)*s_RadSpec!AA24))*1,".")</f>
        <v>16939.454395884855</v>
      </c>
      <c r="F24" s="48">
        <f t="shared" si="0"/>
        <v>16939.454395884855</v>
      </c>
      <c r="G24" s="69">
        <f t="shared" si="1"/>
        <v>1527762.5</v>
      </c>
      <c r="H24" s="69">
        <f t="shared" si="2"/>
        <v>1231.1313567072434</v>
      </c>
      <c r="I24" s="69">
        <f>s_C*s_EF_iw*(1/365)*s_ED_ind*(s_ET_iw_o+s_ET_iw_i)*(1/24)*s_RadSpec!AA24*s_RadSpec!Q24*1</f>
        <v>968.5455383791226</v>
      </c>
      <c r="J24" s="4"/>
      <c r="K24" s="4"/>
      <c r="L24" s="4"/>
      <c r="M24" s="4"/>
      <c r="N24" s="48">
        <f>IFERROR((s_TR/(s_RadSpec!F24*s_EF_iw*(1/365)*s_ED_ind*s_RadSpec!Q24*(s_ET_iw_o+s_ET_iw_i)*(1/24)*s_RadSpec!AA24))*1,".")</f>
        <v>16939.454395884855</v>
      </c>
      <c r="O24" s="48">
        <f>IFERROR((s_TR/(s_RadSpec!M24*s_EF_iw*(1/365)*s_ED_ind*s_RadSpec!R24*(s_ET_iw_o+s_ET_iw_i)*(1/24)*s_RadSpec!AB24))*1,".")</f>
        <v>149234.75943466387</v>
      </c>
      <c r="P24" s="48">
        <f>IFERROR((s_TR/(s_RadSpec!N24*s_EF_iw*(1/365)*s_ED_ind*s_RadSpec!S24*(s_ET_iw_o+s_ET_iw_i)*(1/24)*s_RadSpec!AC24))*1,".")</f>
        <v>37431.219060007556</v>
      </c>
      <c r="Q24" s="48">
        <f>IFERROR((s_TR/(s_RadSpec!O24*s_EF_iw*(1/365)*s_ED_ind*s_RadSpec!T24*(s_ET_iw_o+s_ET_iw_i)*(1/24)*s_RadSpec!AD24))*1,".")</f>
        <v>20197.150512987777</v>
      </c>
      <c r="R24" s="48">
        <f>IFERROR((s_TR/(s_RadSpec!K24*s_EF_iw*(1/365)*s_ED_ind*s_RadSpec!P24*(s_ET_iw_o+s_ET_iw_i)*(1/24)*s_RadSpec!Z24))*1,".")</f>
        <v>253900.10632384385</v>
      </c>
      <c r="S24" s="69">
        <f>s_C*s_EF_iw*(1/365)*s_ED_ind*(s_ET_iw_o+s_ET_iw_i)*(1/24)*s_RadSpec!AA24*s_RadSpec!Q24*1</f>
        <v>968.5455383791226</v>
      </c>
      <c r="T24" s="69">
        <f>s_C*s_EF_iw*(1/365)*s_ED_ind*(s_ET_iw_o+s_ET_iw_i)*(1/24)*s_RadSpec!AB24*s_RadSpec!R24*1</f>
        <v>534.21817144043166</v>
      </c>
      <c r="U24" s="69">
        <f>s_C*s_EF_iw*(1/365)*s_ED_ind*(s_ET_iw_o+s_ET_iw_i)*(1/24)*s_RadSpec!AC24*s_RadSpec!S24*1</f>
        <v>756.61371186106919</v>
      </c>
      <c r="V24" s="69">
        <f>s_C*s_EF_iw*(1/365)*s_ED_ind*(s_ET_iw_o+s_ET_iw_i)*(1/24)*s_RadSpec!AD24*s_RadSpec!T24*1</f>
        <v>906.05385159817342</v>
      </c>
      <c r="W24" s="69">
        <f>s_C*s_EF_iw*(1/365)*s_ED_ind*(s_ET_iw_o+s_ET_iw_i)*(1/24)*s_RadSpec!Z24*s_RadSpec!P24*1</f>
        <v>321.42971504537314</v>
      </c>
      <c r="X24" s="11"/>
      <c r="Y24" s="11"/>
      <c r="Z24" s="11"/>
      <c r="AA24" s="11"/>
      <c r="AB24" s="11"/>
      <c r="AC24" s="48" t="str">
        <f>IFERROR(s_TR/(s_RadSpec!G24*s_EF_iw*s_ED_ind*(s_ET_iw_o+s_ET_iw_i)*(1/24)*s_IRA_iw),".")</f>
        <v>.</v>
      </c>
      <c r="AD24" s="48">
        <f>IFERROR(s_TR/(s_RadSpec!J24*s_EF_iw*(1/365)*s_ED_ind*(s_ET_iw_o+s_ET_iw_i)*(1/24)*s_GSF_a),".")</f>
        <v>249829.13415493842</v>
      </c>
      <c r="AE24" s="48">
        <f t="shared" si="6"/>
        <v>249829.13415493842</v>
      </c>
      <c r="AF24" s="69">
        <f t="shared" si="4"/>
        <v>381940625</v>
      </c>
      <c r="AG24" s="69">
        <f t="shared" si="5"/>
        <v>69760.844748858435</v>
      </c>
      <c r="AH24" s="10"/>
      <c r="AI24" s="10"/>
      <c r="AJ24" s="10"/>
    </row>
    <row r="25" spans="1:36" x14ac:dyDescent="0.25">
      <c r="A25" s="51" t="s">
        <v>35</v>
      </c>
      <c r="B25" s="50" t="s">
        <v>275</v>
      </c>
      <c r="C25" s="48" t="str">
        <f>IFERROR((s_TR/(s_RadSpec!I25*s_EF_iw*s_ED_ind*s_IRS_iw*(1/1000)))*1,".")</f>
        <v>.</v>
      </c>
      <c r="D25" s="48">
        <f>IFERROR(IF(A25="H-3",(s_TR/(s_RadSpec!G25*s_EF_iw*s_ED_ind*(s_ET_iw_o+s_ET_iw_i)*(1/24)*s_IRA_iw*(1/17)*1000))*1,(s_TR/(s_RadSpec!G25*s_EF_iw*s_ED_ind*(s_ET_iw_o+s_ET_iw_i)*(1/24)*s_IRA_iw*(1/s_PEF_wind)*1000))*1),".")</f>
        <v>19791737.037179209</v>
      </c>
      <c r="E25" s="48">
        <f>IFERROR((s_TR/(s_RadSpec!F25*s_EF_iw*(1/365)*s_ED_ind*s_RadSpec!Q25*(s_ET_iw_o+s_ET_iw_i)*(1/24)*s_RadSpec!AA25))*1,".")</f>
        <v>37780.558717240368</v>
      </c>
      <c r="F25" s="48">
        <f t="shared" si="0"/>
        <v>37708.576602189707</v>
      </c>
      <c r="G25" s="69">
        <f t="shared" si="1"/>
        <v>1527762.5</v>
      </c>
      <c r="H25" s="69">
        <f t="shared" si="2"/>
        <v>1231.1313567072434</v>
      </c>
      <c r="I25" s="69">
        <f>s_C*s_EF_iw*(1/365)*s_ED_ind*(s_ET_iw_o+s_ET_iw_i)*(1/24)*s_RadSpec!AA25*s_RadSpec!Q25*1</f>
        <v>868.52251712328757</v>
      </c>
      <c r="J25" s="4"/>
      <c r="K25" s="4"/>
      <c r="L25" s="4"/>
      <c r="M25" s="4"/>
      <c r="N25" s="48">
        <f>IFERROR((s_TR/(s_RadSpec!F25*s_EF_iw*(1/365)*s_ED_ind*s_RadSpec!Q25*(s_ET_iw_o+s_ET_iw_i)*(1/24)*s_RadSpec!AA25))*1,".")</f>
        <v>37780.558717240368</v>
      </c>
      <c r="O25" s="48">
        <f>IFERROR((s_TR/(s_RadSpec!M25*s_EF_iw*(1/365)*s_ED_ind*s_RadSpec!R25*(s_ET_iw_o+s_ET_iw_i)*(1/24)*s_RadSpec!AB25))*1,".")</f>
        <v>321017.19255572004</v>
      </c>
      <c r="P25" s="48">
        <f>IFERROR((s_TR/(s_RadSpec!N25*s_EF_iw*(1/365)*s_ED_ind*s_RadSpec!S25*(s_ET_iw_o+s_ET_iw_i)*(1/24)*s_RadSpec!AC25))*1,".")</f>
        <v>81597.529065042079</v>
      </c>
      <c r="Q25" s="48">
        <f>IFERROR((s_TR/(s_RadSpec!O25*s_EF_iw*(1/365)*s_ED_ind*s_RadSpec!T25*(s_ET_iw_o+s_ET_iw_i)*(1/24)*s_RadSpec!AD25))*1,".")</f>
        <v>47604.832445548098</v>
      </c>
      <c r="R25" s="48">
        <f>IFERROR((s_TR/(s_RadSpec!K25*s_EF_iw*(1/365)*s_ED_ind*s_RadSpec!P25*(s_ET_iw_o+s_ET_iw_i)*(1/24)*s_RadSpec!Z25))*1,".")</f>
        <v>586292.14665968216</v>
      </c>
      <c r="S25" s="69">
        <f>s_C*s_EF_iw*(1/365)*s_ED_ind*(s_ET_iw_o+s_ET_iw_i)*(1/24)*s_RadSpec!AA25*s_RadSpec!Q25*1</f>
        <v>868.52251712328757</v>
      </c>
      <c r="T25" s="69">
        <f>s_C*s_EF_iw*(1/365)*s_ED_ind*(s_ET_iw_o+s_ET_iw_i)*(1/24)*s_RadSpec!AB25*s_RadSpec!R25*1</f>
        <v>484.99338881133133</v>
      </c>
      <c r="U25" s="69">
        <f>s_C*s_EF_iw*(1/365)*s_ED_ind*(s_ET_iw_o+s_ET_iw_i)*(1/24)*s_RadSpec!AC25*s_RadSpec!S25*1</f>
        <v>676.13233402663195</v>
      </c>
      <c r="V25" s="69">
        <f>s_C*s_EF_iw*(1/365)*s_ED_ind*(s_ET_iw_o+s_ET_iw_i)*(1/24)*s_RadSpec!AD25*s_RadSpec!T25*1</f>
        <v>757.1684139958644</v>
      </c>
      <c r="W25" s="69">
        <f>s_C*s_EF_iw*(1/365)*s_ED_ind*(s_ET_iw_o+s_ET_iw_i)*(1/24)*s_RadSpec!Z25*s_RadSpec!P25*1</f>
        <v>270.50925553319922</v>
      </c>
      <c r="X25" s="11"/>
      <c r="Y25" s="11"/>
      <c r="Z25" s="11"/>
      <c r="AA25" s="11"/>
      <c r="AB25" s="11"/>
      <c r="AC25" s="48">
        <f>IFERROR(s_TR/(s_RadSpec!G25*s_EF_iw*s_ED_ind*(s_ET_iw_o+s_ET_iw_i)*(1/24)*s_IRA_iw),".")</f>
        <v>63.795853269537481</v>
      </c>
      <c r="AD25" s="48">
        <f>IFERROR(s_TR/(s_RadSpec!J25*s_EF_iw*(1/365)*s_ED_ind*(s_ET_iw_o+s_ET_iw_i)*(1/24)*s_GSF_a),".")</f>
        <v>490671.60880790063</v>
      </c>
      <c r="AE25" s="48">
        <f t="shared" si="6"/>
        <v>63.78755977602605</v>
      </c>
      <c r="AF25" s="69">
        <f t="shared" si="4"/>
        <v>381940625</v>
      </c>
      <c r="AG25" s="69">
        <f t="shared" si="5"/>
        <v>69760.844748858435</v>
      </c>
      <c r="AH25" s="10"/>
      <c r="AI25" s="10"/>
      <c r="AJ25" s="10"/>
    </row>
    <row r="26" spans="1:36" x14ac:dyDescent="0.25">
      <c r="A26" s="49" t="s">
        <v>36</v>
      </c>
      <c r="B26" s="50" t="s">
        <v>289</v>
      </c>
      <c r="C26" s="48">
        <f>IFERROR((s_TR/(s_RadSpec!I26*s_EF_iw*s_ED_ind*s_IRS_iw*(1/1000)))*1,".")</f>
        <v>184.73702684228999</v>
      </c>
      <c r="D26" s="48">
        <f>IFERROR(IF(A26="H-3",(s_TR/(s_RadSpec!G26*s_EF_iw*s_ED_ind*(s_ET_iw_o+s_ET_iw_i)*(1/24)*s_IRA_iw*(1/17)*1000))*1,(s_TR/(s_RadSpec!G26*s_EF_iw*s_ED_ind*(s_ET_iw_o+s_ET_iw_i)*(1/24)*s_IRA_iw*(1/s_PEF_wind)*1000))*1),".")</f>
        <v>258.38960401264654</v>
      </c>
      <c r="E26" s="48">
        <f>IFERROR((s_TR/(s_RadSpec!F26*s_EF_iw*(1/365)*s_ED_ind*s_RadSpec!Q26*(s_ET_iw_o+s_ET_iw_i)*(1/24)*s_RadSpec!AA26))*1,".")</f>
        <v>1555.6231893297172</v>
      </c>
      <c r="F26" s="48">
        <f t="shared" si="0"/>
        <v>100.74496938466277</v>
      </c>
      <c r="G26" s="69">
        <f t="shared" si="1"/>
        <v>1527762.5</v>
      </c>
      <c r="H26" s="69">
        <f t="shared" si="2"/>
        <v>1231.1313567072434</v>
      </c>
      <c r="I26" s="69">
        <f>s_C*s_EF_iw*(1/365)*s_ED_ind*(s_ET_iw_o+s_ET_iw_i)*(1/24)*s_RadSpec!AA26*s_RadSpec!Q26*1</f>
        <v>159.29855033914089</v>
      </c>
      <c r="J26" s="4"/>
      <c r="K26" s="4"/>
      <c r="L26" s="4"/>
      <c r="M26" s="4"/>
      <c r="N26" s="48">
        <f>IFERROR((s_TR/(s_RadSpec!F26*s_EF_iw*(1/365)*s_ED_ind*s_RadSpec!Q26*(s_ET_iw_o+s_ET_iw_i)*(1/24)*s_RadSpec!AA26))*1,".")</f>
        <v>1555.6231893297172</v>
      </c>
      <c r="O26" s="48">
        <f>IFERROR((s_TR/(s_RadSpec!M26*s_EF_iw*(1/365)*s_ED_ind*s_RadSpec!R26*(s_ET_iw_o+s_ET_iw_i)*(1/24)*s_RadSpec!AB26))*1,".")</f>
        <v>9414.9727261234966</v>
      </c>
      <c r="P26" s="48">
        <f>IFERROR((s_TR/(s_RadSpec!N26*s_EF_iw*(1/365)*s_ED_ind*s_RadSpec!S26*(s_ET_iw_o+s_ET_iw_i)*(1/24)*s_RadSpec!AC26))*1,".")</f>
        <v>2697.7658517770583</v>
      </c>
      <c r="Q26" s="48">
        <f>IFERROR((s_TR/(s_RadSpec!O26*s_EF_iw*(1/365)*s_ED_ind*s_RadSpec!T26*(s_ET_iw_o+s_ET_iw_i)*(1/24)*s_RadSpec!AD26))*1,".")</f>
        <v>1774.429355656082</v>
      </c>
      <c r="R26" s="48">
        <f>IFERROR((s_TR/(s_RadSpec!K26*s_EF_iw*(1/365)*s_ED_ind*s_RadSpec!P26*(s_ET_iw_o+s_ET_iw_i)*(1/24)*s_RadSpec!Z26))*1,".")</f>
        <v>52448.675296307811</v>
      </c>
      <c r="S26" s="69">
        <f>s_C*s_EF_iw*(1/365)*s_ED_ind*(s_ET_iw_o+s_ET_iw_i)*(1/24)*s_RadSpec!AA26*s_RadSpec!Q26*1</f>
        <v>159.29855033914089</v>
      </c>
      <c r="T26" s="69">
        <f>s_C*s_EF_iw*(1/365)*s_ED_ind*(s_ET_iw_o+s_ET_iw_i)*(1/24)*s_RadSpec!AB26*s_RadSpec!R26*1</f>
        <v>87.250885110893648</v>
      </c>
      <c r="U26" s="69">
        <f>s_C*s_EF_iw*(1/365)*s_ED_ind*(s_ET_iw_o+s_ET_iw_i)*(1/24)*s_RadSpec!AC26*s_RadSpec!S26*1</f>
        <v>120.71548727033796</v>
      </c>
      <c r="V26" s="69">
        <f>s_C*s_EF_iw*(1/365)*s_ED_ind*(s_ET_iw_o+s_ET_iw_i)*(1/24)*s_RadSpec!AD26*s_RadSpec!T26*1</f>
        <v>141.12538707815048</v>
      </c>
      <c r="W26" s="69">
        <f>s_C*s_EF_iw*(1/365)*s_ED_ind*(s_ET_iw_o+s_ET_iw_i)*(1/24)*s_RadSpec!Z26*s_RadSpec!P26*1</f>
        <v>14.96960403933965</v>
      </c>
      <c r="X26" s="11"/>
      <c r="Y26" s="11"/>
      <c r="Z26" s="11"/>
      <c r="AA26" s="11"/>
      <c r="AB26" s="11"/>
      <c r="AC26" s="48">
        <f>IFERROR(s_TR/(s_RadSpec!G26*s_EF_iw*s_ED_ind*(s_ET_iw_o+s_ET_iw_i)*(1/24)*s_IRA_iw),".")</f>
        <v>8.3288218881439203E-4</v>
      </c>
      <c r="AD26" s="48">
        <f>IFERROR(s_TR/(s_RadSpec!J26*s_EF_iw*(1/365)*s_ED_ind*(s_ET_iw_o+s_ET_iw_i)*(1/24)*s_GSF_a),".")</f>
        <v>2653.8269892723024</v>
      </c>
      <c r="AE26" s="48">
        <f t="shared" si="6"/>
        <v>8.3288192742111901E-4</v>
      </c>
      <c r="AF26" s="69">
        <f t="shared" si="4"/>
        <v>381940625</v>
      </c>
      <c r="AG26" s="69">
        <f t="shared" si="5"/>
        <v>69760.844748858435</v>
      </c>
      <c r="AH26" s="10"/>
      <c r="AI26" s="10"/>
      <c r="AJ26" s="10"/>
    </row>
    <row r="27" spans="1:36" x14ac:dyDescent="0.25">
      <c r="A27" s="49" t="s">
        <v>37</v>
      </c>
      <c r="B27" s="50" t="s">
        <v>289</v>
      </c>
      <c r="C27" s="48" t="str">
        <f>IFERROR((s_TR/(s_RadSpec!I27*s_EF_iw*s_ED_ind*s_IRS_iw*(1/1000)))*1,".")</f>
        <v>.</v>
      </c>
      <c r="D27" s="48" t="str">
        <f>IFERROR(IF(A27="H-3",(s_TR/(s_RadSpec!G27*s_EF_iw*s_ED_ind*(s_ET_iw_o+s_ET_iw_i)*(1/24)*s_IRA_iw*(1/17)*1000))*1,(s_TR/(s_RadSpec!G27*s_EF_iw*s_ED_ind*(s_ET_iw_o+s_ET_iw_i)*(1/24)*s_IRA_iw*(1/s_PEF_wind)*1000))*1),".")</f>
        <v>.</v>
      </c>
      <c r="E27" s="48">
        <f>IFERROR((s_TR/(s_RadSpec!F27*s_EF_iw*(1/365)*s_ED_ind*s_RadSpec!Q27*(s_ET_iw_o+s_ET_iw_i)*(1/24)*s_RadSpec!AA27))*1,".")</f>
        <v>12032.549524936887</v>
      </c>
      <c r="F27" s="48">
        <f t="shared" si="0"/>
        <v>12032.549524936887</v>
      </c>
      <c r="G27" s="69">
        <f t="shared" si="1"/>
        <v>1527762.5</v>
      </c>
      <c r="H27" s="69">
        <f t="shared" si="2"/>
        <v>1231.1313567072434</v>
      </c>
      <c r="I27" s="69">
        <f>s_C*s_EF_iw*(1/365)*s_ED_ind*(s_ET_iw_o+s_ET_iw_i)*(1/24)*s_RadSpec!AA27*s_RadSpec!Q27*1</f>
        <v>756.06322429538614</v>
      </c>
      <c r="J27" s="4"/>
      <c r="K27" s="4"/>
      <c r="L27" s="4"/>
      <c r="M27" s="4"/>
      <c r="N27" s="48">
        <f>IFERROR((s_TR/(s_RadSpec!F27*s_EF_iw*(1/365)*s_ED_ind*s_RadSpec!Q27*(s_ET_iw_o+s_ET_iw_i)*(1/24)*s_RadSpec!AA27))*1,".")</f>
        <v>12032.549524936887</v>
      </c>
      <c r="O27" s="48">
        <f>IFERROR((s_TR/(s_RadSpec!M27*s_EF_iw*(1/365)*s_ED_ind*s_RadSpec!R27*(s_ET_iw_o+s_ET_iw_i)*(1/24)*s_RadSpec!AB27))*1,".")</f>
        <v>105102.3704499617</v>
      </c>
      <c r="P27" s="48">
        <f>IFERROR((s_TR/(s_RadSpec!N27*s_EF_iw*(1/365)*s_ED_ind*s_RadSpec!S27*(s_ET_iw_o+s_ET_iw_i)*(1/24)*s_RadSpec!AC27))*1,".")</f>
        <v>30306.601106499849</v>
      </c>
      <c r="Q27" s="48">
        <f>IFERROR((s_TR/(s_RadSpec!O27*s_EF_iw*(1/365)*s_ED_ind*s_RadSpec!T27*(s_ET_iw_o+s_ET_iw_i)*(1/24)*s_RadSpec!AD27))*1,".")</f>
        <v>16583.471015301129</v>
      </c>
      <c r="R27" s="48">
        <f>IFERROR((s_TR/(s_RadSpec!K27*s_EF_iw*(1/365)*s_ED_ind*s_RadSpec!P27*(s_ET_iw_o+s_ET_iw_i)*(1/24)*s_RadSpec!Z27))*1,".")</f>
        <v>79546.984132571379</v>
      </c>
      <c r="S27" s="69">
        <f>s_C*s_EF_iw*(1/365)*s_ED_ind*(s_ET_iw_o+s_ET_iw_i)*(1/24)*s_RadSpec!AA27*s_RadSpec!Q27*1</f>
        <v>756.06322429538614</v>
      </c>
      <c r="T27" s="69">
        <f>s_C*s_EF_iw*(1/365)*s_ED_ind*(s_ET_iw_o+s_ET_iw_i)*(1/24)*s_RadSpec!AB27*s_RadSpec!R27*1</f>
        <v>254.89539427467491</v>
      </c>
      <c r="U27" s="69">
        <f>s_C*s_EF_iw*(1/365)*s_ED_ind*(s_ET_iw_o+s_ET_iw_i)*(1/24)*s_RadSpec!AC27*s_RadSpec!S27*1</f>
        <v>415.76530214871485</v>
      </c>
      <c r="V27" s="69">
        <f>s_C*s_EF_iw*(1/365)*s_ED_ind*(s_ET_iw_o+s_ET_iw_i)*(1/24)*s_RadSpec!AD27*s_RadSpec!T27*1</f>
        <v>571.52904701224202</v>
      </c>
      <c r="W27" s="69">
        <f>s_C*s_EF_iw*(1/365)*s_ED_ind*(s_ET_iw_o+s_ET_iw_i)*(1/24)*s_RadSpec!Z27*s_RadSpec!P27*1</f>
        <v>81.488754880550545</v>
      </c>
      <c r="X27" s="11"/>
      <c r="Y27" s="11"/>
      <c r="Z27" s="11"/>
      <c r="AA27" s="11"/>
      <c r="AB27" s="11"/>
      <c r="AC27" s="48" t="str">
        <f>IFERROR(s_TR/(s_RadSpec!G27*s_EF_iw*s_ED_ind*(s_ET_iw_o+s_ET_iw_i)*(1/24)*s_IRA_iw),".")</f>
        <v>.</v>
      </c>
      <c r="AD27" s="48">
        <f>IFERROR(s_TR/(s_RadSpec!J27*s_EF_iw*(1/365)*s_ED_ind*(s_ET_iw_o+s_ET_iw_i)*(1/24)*s_GSF_a),".")</f>
        <v>84724.662887326936</v>
      </c>
      <c r="AE27" s="48">
        <f t="shared" si="6"/>
        <v>84724.662887326936</v>
      </c>
      <c r="AF27" s="69">
        <f t="shared" si="4"/>
        <v>381940625</v>
      </c>
      <c r="AG27" s="69">
        <f t="shared" si="5"/>
        <v>69760.844748858435</v>
      </c>
      <c r="AH27" s="10"/>
      <c r="AI27" s="10"/>
      <c r="AJ27" s="10"/>
    </row>
    <row r="28" spans="1:36" x14ac:dyDescent="0.25">
      <c r="A28" s="49" t="s">
        <v>38</v>
      </c>
      <c r="B28" s="50" t="s">
        <v>289</v>
      </c>
      <c r="C28" s="48" t="str">
        <f>IFERROR((s_TR/(s_RadSpec!I28*s_EF_iw*s_ED_ind*s_IRS_iw*(1/1000)))*1,".")</f>
        <v>.</v>
      </c>
      <c r="D28" s="48" t="str">
        <f>IFERROR(IF(A28="H-3",(s_TR/(s_RadSpec!G28*s_EF_iw*s_ED_ind*(s_ET_iw_o+s_ET_iw_i)*(1/24)*s_IRA_iw*(1/17)*1000))*1,(s_TR/(s_RadSpec!G28*s_EF_iw*s_ED_ind*(s_ET_iw_o+s_ET_iw_i)*(1/24)*s_IRA_iw*(1/s_PEF_wind)*1000))*1),".")</f>
        <v>.</v>
      </c>
      <c r="E28" s="48">
        <f>IFERROR((s_TR/(s_RadSpec!F28*s_EF_iw*(1/365)*s_ED_ind*s_RadSpec!Q28*(s_ET_iw_o+s_ET_iw_i)*(1/24)*s_RadSpec!AA28))*1,".")</f>
        <v>3.1501353486694974</v>
      </c>
      <c r="F28" s="48">
        <f t="shared" si="0"/>
        <v>3.150135348669497</v>
      </c>
      <c r="G28" s="69">
        <f t="shared" si="1"/>
        <v>1527762.5</v>
      </c>
      <c r="H28" s="69">
        <f t="shared" si="2"/>
        <v>1231.1313567072434</v>
      </c>
      <c r="I28" s="69">
        <f>s_C*s_EF_iw*(1/365)*s_ED_ind*(s_ET_iw_o+s_ET_iw_i)*(1/24)*s_RadSpec!AA28*s_RadSpec!Q28*1</f>
        <v>1708.5826095890409</v>
      </c>
      <c r="J28" s="4"/>
      <c r="K28" s="4"/>
      <c r="L28" s="4"/>
      <c r="M28" s="4"/>
      <c r="N28" s="48">
        <f>IFERROR((s_TR/(s_RadSpec!F28*s_EF_iw*(1/365)*s_ED_ind*s_RadSpec!Q28*(s_ET_iw_o+s_ET_iw_i)*(1/24)*s_RadSpec!AA28))*1,".")</f>
        <v>3.1501353486694974</v>
      </c>
      <c r="O28" s="48">
        <f>IFERROR((s_TR/(s_RadSpec!M28*s_EF_iw*(1/365)*s_ED_ind*s_RadSpec!R28*(s_ET_iw_o+s_ET_iw_i)*(1/24)*s_RadSpec!AB28))*1,".")</f>
        <v>38.04862589267465</v>
      </c>
      <c r="P28" s="48">
        <f>IFERROR((s_TR/(s_RadSpec!N28*s_EF_iw*(1/365)*s_ED_ind*s_RadSpec!S28*(s_ET_iw_o+s_ET_iw_i)*(1/24)*s_RadSpec!AC28))*1,".")</f>
        <v>9.1962686052532838</v>
      </c>
      <c r="Q28" s="48">
        <f>IFERROR((s_TR/(s_RadSpec!O28*s_EF_iw*(1/365)*s_ED_ind*s_RadSpec!T28*(s_ET_iw_o+s_ET_iw_i)*(1/24)*s_RadSpec!AD28))*1,".")</f>
        <v>5.0035635221001868</v>
      </c>
      <c r="R28" s="48">
        <f>IFERROR((s_TR/(s_RadSpec!K28*s_EF_iw*(1/365)*s_ED_ind*s_RadSpec!P28*(s_ET_iw_o+s_ET_iw_i)*(1/24)*s_RadSpec!Z28))*1,".")</f>
        <v>68.65500140211708</v>
      </c>
      <c r="S28" s="69">
        <f>s_C*s_EF_iw*(1/365)*s_ED_ind*(s_ET_iw_o+s_ET_iw_i)*(1/24)*s_RadSpec!AA28*s_RadSpec!Q28*1</f>
        <v>1708.5826095890409</v>
      </c>
      <c r="T28" s="69">
        <f>s_C*s_EF_iw*(1/365)*s_ED_ind*(s_ET_iw_o+s_ET_iw_i)*(1/24)*s_RadSpec!AB28*s_RadSpec!R28*1</f>
        <v>766.22854886419088</v>
      </c>
      <c r="U28" s="69">
        <f>s_C*s_EF_iw*(1/365)*s_ED_ind*(s_ET_iw_o+s_ET_iw_i)*(1/24)*s_RadSpec!AC28*s_RadSpec!S28*1</f>
        <v>1103.6165639269411</v>
      </c>
      <c r="V28" s="69">
        <f>s_C*s_EF_iw*(1/365)*s_ED_ind*(s_ET_iw_o+s_ET_iw_i)*(1/24)*s_RadSpec!AD28*s_RadSpec!T28*1</f>
        <v>1274.674258830245</v>
      </c>
      <c r="W28" s="69">
        <f>s_C*s_EF_iw*(1/365)*s_ED_ind*(s_ET_iw_o+s_ET_iw_i)*(1/24)*s_RadSpec!Z28*s_RadSpec!P28*1</f>
        <v>435.86114570361116</v>
      </c>
      <c r="X28" s="11"/>
      <c r="Y28" s="11"/>
      <c r="Z28" s="11"/>
      <c r="AA28" s="11"/>
      <c r="AB28" s="11"/>
      <c r="AC28" s="48" t="str">
        <f>IFERROR(s_TR/(s_RadSpec!G28*s_EF_iw*s_ED_ind*(s_ET_iw_o+s_ET_iw_i)*(1/24)*s_IRA_iw),".")</f>
        <v>.</v>
      </c>
      <c r="AD28" s="48">
        <f>IFERROR(s_TR/(s_RadSpec!J28*s_EF_iw*(1/365)*s_ED_ind*(s_ET_iw_o+s_ET_iw_i)*(1/24)*s_GSF_a),".")</f>
        <v>83.174821493046579</v>
      </c>
      <c r="AE28" s="48">
        <f t="shared" si="6"/>
        <v>83.174821493046579</v>
      </c>
      <c r="AF28" s="69">
        <f t="shared" si="4"/>
        <v>381940625</v>
      </c>
      <c r="AG28" s="69">
        <f t="shared" si="5"/>
        <v>69760.844748858435</v>
      </c>
      <c r="AH28" s="10"/>
      <c r="AI28" s="10"/>
      <c r="AJ28" s="10"/>
    </row>
    <row r="29" spans="1:36" x14ac:dyDescent="0.25">
      <c r="A29" s="49" t="s">
        <v>39</v>
      </c>
      <c r="B29" s="50" t="s">
        <v>289</v>
      </c>
      <c r="C29" s="48" t="str">
        <f>IFERROR((s_TR/(s_RadSpec!I29*s_EF_iw*s_ED_ind*s_IRS_iw*(1/1000)))*1,".")</f>
        <v>.</v>
      </c>
      <c r="D29" s="48" t="str">
        <f>IFERROR(IF(A29="H-3",(s_TR/(s_RadSpec!G29*s_EF_iw*s_ED_ind*(s_ET_iw_o+s_ET_iw_i)*(1/24)*s_IRA_iw*(1/17)*1000))*1,(s_TR/(s_RadSpec!G29*s_EF_iw*s_ED_ind*(s_ET_iw_o+s_ET_iw_i)*(1/24)*s_IRA_iw*(1/s_PEF_wind)*1000))*1),".")</f>
        <v>.</v>
      </c>
      <c r="E29" s="48">
        <f>IFERROR((s_TR/(s_RadSpec!F29*s_EF_iw*(1/365)*s_ED_ind*s_RadSpec!Q29*(s_ET_iw_o+s_ET_iw_i)*(1/24)*s_RadSpec!AA29))*1,".")</f>
        <v>2.6331777058561325</v>
      </c>
      <c r="F29" s="48">
        <f t="shared" si="0"/>
        <v>2.6331777058561325</v>
      </c>
      <c r="G29" s="69">
        <f t="shared" si="1"/>
        <v>1527762.5</v>
      </c>
      <c r="H29" s="69">
        <f t="shared" si="2"/>
        <v>1231.1313567072434</v>
      </c>
      <c r="I29" s="69">
        <f>s_C*s_EF_iw*(1/365)*s_ED_ind*(s_ET_iw_o+s_ET_iw_i)*(1/24)*s_RadSpec!AA29*s_RadSpec!Q29*1</f>
        <v>1571.2288724973648</v>
      </c>
      <c r="J29" s="4"/>
      <c r="K29" s="4"/>
      <c r="L29" s="4"/>
      <c r="M29" s="4"/>
      <c r="N29" s="48">
        <f>IFERROR((s_TR/(s_RadSpec!F29*s_EF_iw*(1/365)*s_ED_ind*s_RadSpec!Q29*(s_ET_iw_o+s_ET_iw_i)*(1/24)*s_RadSpec!AA29))*1,".")</f>
        <v>2.6331777058561325</v>
      </c>
      <c r="O29" s="48">
        <f>IFERROR((s_TR/(s_RadSpec!M29*s_EF_iw*(1/365)*s_ED_ind*s_RadSpec!R29*(s_ET_iw_o+s_ET_iw_i)*(1/24)*s_RadSpec!AB29))*1,".")</f>
        <v>28.395572467575654</v>
      </c>
      <c r="P29" s="48">
        <f>IFERROR((s_TR/(s_RadSpec!N29*s_EF_iw*(1/365)*s_ED_ind*s_RadSpec!S29*(s_ET_iw_o+s_ET_iw_i)*(1/24)*s_RadSpec!AC29))*1,".")</f>
        <v>7.0615268051998914</v>
      </c>
      <c r="Q29" s="48">
        <f>IFERROR((s_TR/(s_RadSpec!O29*s_EF_iw*(1/365)*s_ED_ind*s_RadSpec!T29*(s_ET_iw_o+s_ET_iw_i)*(1/24)*s_RadSpec!AD29))*1,".")</f>
        <v>3.7528290080252589</v>
      </c>
      <c r="R29" s="48">
        <f>IFERROR((s_TR/(s_RadSpec!K29*s_EF_iw*(1/365)*s_ED_ind*s_RadSpec!P29*(s_ET_iw_o+s_ET_iw_i)*(1/24)*s_RadSpec!Z29))*1,".")</f>
        <v>52.67249286960363</v>
      </c>
      <c r="S29" s="69">
        <f>s_C*s_EF_iw*(1/365)*s_ED_ind*(s_ET_iw_o+s_ET_iw_i)*(1/24)*s_RadSpec!AA29*s_RadSpec!Q29*1</f>
        <v>1571.2288724973648</v>
      </c>
      <c r="T29" s="69">
        <f>s_C*s_EF_iw*(1/365)*s_ED_ind*(s_ET_iw_o+s_ET_iw_i)*(1/24)*s_RadSpec!AB29*s_RadSpec!R29*1</f>
        <v>787.39963379899655</v>
      </c>
      <c r="U29" s="69">
        <f>s_C*s_EF_iw*(1/365)*s_ED_ind*(s_ET_iw_o+s_ET_iw_i)*(1/24)*s_RadSpec!AC29*s_RadSpec!S29*1</f>
        <v>1105.2840182648401</v>
      </c>
      <c r="V29" s="69">
        <f>s_C*s_EF_iw*(1/365)*s_ED_ind*(s_ET_iw_o+s_ET_iw_i)*(1/24)*s_RadSpec!AD29*s_RadSpec!T29*1</f>
        <v>1303.0042841022419</v>
      </c>
      <c r="W29" s="69">
        <f>s_C*s_EF_iw*(1/365)*s_ED_ind*(s_ET_iw_o+s_ET_iw_i)*(1/24)*s_RadSpec!Z29*s_RadSpec!P29*1</f>
        <v>438.49673842139583</v>
      </c>
      <c r="X29" s="11"/>
      <c r="Y29" s="11"/>
      <c r="Z29" s="11"/>
      <c r="AA29" s="11"/>
      <c r="AB29" s="11"/>
      <c r="AC29" s="48" t="str">
        <f>IFERROR(s_TR/(s_RadSpec!G29*s_EF_iw*s_ED_ind*(s_ET_iw_o+s_ET_iw_i)*(1/24)*s_IRA_iw),".")</f>
        <v>.</v>
      </c>
      <c r="AD29" s="48">
        <f>IFERROR(s_TR/(s_RadSpec!J29*s_EF_iw*(1/365)*s_ED_ind*(s_ET_iw_o+s_ET_iw_i)*(1/24)*s_GSF_a),".")</f>
        <v>64.342786438017129</v>
      </c>
      <c r="AE29" s="48">
        <f t="shared" si="6"/>
        <v>64.342786438017129</v>
      </c>
      <c r="AF29" s="69">
        <f t="shared" si="4"/>
        <v>381940625</v>
      </c>
      <c r="AG29" s="69">
        <f t="shared" si="5"/>
        <v>69760.844748858435</v>
      </c>
      <c r="AH29" s="10"/>
      <c r="AI29" s="10"/>
      <c r="AJ29" s="10"/>
    </row>
    <row r="30" spans="1:36" x14ac:dyDescent="0.25">
      <c r="A30" s="49" t="s">
        <v>40</v>
      </c>
      <c r="B30" s="50" t="s">
        <v>289</v>
      </c>
      <c r="C30" s="48">
        <f>IFERROR((s_TR/(s_RadSpec!I30*s_EF_iw*s_ED_ind*s_IRS_iw*(1/1000)))*1,".")</f>
        <v>697.02197361771834</v>
      </c>
      <c r="D30" s="48">
        <f>IFERROR(IF(A30="H-3",(s_TR/(s_RadSpec!G30*s_EF_iw*s_ED_ind*(s_ET_iw_o+s_ET_iw_i)*(1/24)*s_IRA_iw*(1/17)*1000))*1,(s_TR/(s_RadSpec!G30*s_EF_iw*s_ED_ind*(s_ET_iw_o+s_ET_iw_i)*(1/24)*s_IRA_iw*(1/s_PEF_wind)*1000))*1),".")</f>
        <v>1594.2469685486162</v>
      </c>
      <c r="E30" s="48">
        <f>IFERROR((s_TR/(s_RadSpec!F30*s_EF_iw*(1/365)*s_ED_ind*s_RadSpec!Q30*(s_ET_iw_o+s_ET_iw_i)*(1/24)*s_RadSpec!AA30))*1,".")</f>
        <v>466634.87701353425</v>
      </c>
      <c r="F30" s="48">
        <f t="shared" si="0"/>
        <v>484.47889718943992</v>
      </c>
      <c r="G30" s="69">
        <f t="shared" si="1"/>
        <v>1527762.5</v>
      </c>
      <c r="H30" s="69">
        <f t="shared" si="2"/>
        <v>1231.1313567072434</v>
      </c>
      <c r="I30" s="69">
        <f>s_C*s_EF_iw*(1/365)*s_ED_ind*(s_ET_iw_o+s_ET_iw_i)*(1/24)*s_RadSpec!AA30*s_RadSpec!Q30*1</f>
        <v>167.42602739726027</v>
      </c>
      <c r="J30" s="4"/>
      <c r="K30" s="4"/>
      <c r="L30" s="4"/>
      <c r="M30" s="4"/>
      <c r="N30" s="48">
        <f>IFERROR((s_TR/(s_RadSpec!F30*s_EF_iw*(1/365)*s_ED_ind*s_RadSpec!Q30*(s_ET_iw_o+s_ET_iw_i)*(1/24)*s_RadSpec!AA30))*1,".")</f>
        <v>466634.87701353425</v>
      </c>
      <c r="O30" s="48">
        <f>IFERROR((s_TR/(s_RadSpec!M30*s_EF_iw*(1/365)*s_ED_ind*s_RadSpec!R30*(s_ET_iw_o+s_ET_iw_i)*(1/24)*s_RadSpec!AB30))*1,".")</f>
        <v>7838919.8579055443</v>
      </c>
      <c r="P30" s="48">
        <f>IFERROR((s_TR/(s_RadSpec!N30*s_EF_iw*(1/365)*s_ED_ind*s_RadSpec!S30*(s_ET_iw_o+s_ET_iw_i)*(1/24)*s_RadSpec!AC30))*1,".")</f>
        <v>1157054.3730460363</v>
      </c>
      <c r="Q30" s="48">
        <f>IFERROR((s_TR/(s_RadSpec!O30*s_EF_iw*(1/365)*s_ED_ind*s_RadSpec!T30*(s_ET_iw_o+s_ET_iw_i)*(1/24)*s_RadSpec!AD30))*1,".")</f>
        <v>634022.77590103156</v>
      </c>
      <c r="R30" s="48">
        <f>IFERROR((s_TR/(s_RadSpec!K30*s_EF_iw*(1/365)*s_ED_ind*s_RadSpec!P30*(s_ET_iw_o+s_ET_iw_i)*(1/24)*s_RadSpec!Z30))*1,".")</f>
        <v>111443388.27499704</v>
      </c>
      <c r="S30" s="69">
        <f>s_C*s_EF_iw*(1/365)*s_ED_ind*(s_ET_iw_o+s_ET_iw_i)*(1/24)*s_RadSpec!AA30*s_RadSpec!Q30*1</f>
        <v>167.42602739726027</v>
      </c>
      <c r="T30" s="69">
        <f>s_C*s_EF_iw*(1/365)*s_ED_ind*(s_ET_iw_o+s_ET_iw_i)*(1/24)*s_RadSpec!AB30*s_RadSpec!R30*1</f>
        <v>34.175767376966007</v>
      </c>
      <c r="U30" s="69">
        <f>s_C*s_EF_iw*(1/365)*s_ED_ind*(s_ET_iw_o+s_ET_iw_i)*(1/24)*s_RadSpec!AC30*s_RadSpec!S30*1</f>
        <v>94.83626011651711</v>
      </c>
      <c r="V30" s="69">
        <f>s_C*s_EF_iw*(1/365)*s_ED_ind*(s_ET_iw_o+s_ET_iw_i)*(1/24)*s_RadSpec!AD30*s_RadSpec!T30*1</f>
        <v>127.40817847155847</v>
      </c>
      <c r="W30" s="69">
        <f>s_C*s_EF_iw*(1/365)*s_ED_ind*(s_ET_iw_o+s_ET_iw_i)*(1/24)*s_RadSpec!Z30*s_RadSpec!P30*1</f>
        <v>1.3952168949771688</v>
      </c>
      <c r="X30" s="11"/>
      <c r="Y30" s="11"/>
      <c r="Z30" s="11"/>
      <c r="AA30" s="11"/>
      <c r="AB30" s="11"/>
      <c r="AC30" s="48">
        <f>IFERROR(s_TR/(s_RadSpec!G30*s_EF_iw*s_ED_ind*(s_ET_iw_o+s_ET_iw_i)*(1/24)*s_IRA_iw),".")</f>
        <v>5.1388286682404315E-3</v>
      </c>
      <c r="AD30" s="48">
        <f>IFERROR(s_TR/(s_RadSpec!J30*s_EF_iw*(1/365)*s_ED_ind*(s_ET_iw_o+s_ET_iw_i)*(1/24)*s_GSF_a),".")</f>
        <v>849356.83218304091</v>
      </c>
      <c r="AE30" s="48">
        <f t="shared" si="6"/>
        <v>5.1388286371491882E-3</v>
      </c>
      <c r="AF30" s="69">
        <f t="shared" si="4"/>
        <v>381940625</v>
      </c>
      <c r="AG30" s="69">
        <f t="shared" si="5"/>
        <v>69760.844748858435</v>
      </c>
      <c r="AH30" s="10"/>
      <c r="AI30" s="10"/>
      <c r="AJ30" s="10"/>
    </row>
    <row r="31" spans="1:36" x14ac:dyDescent="0.25">
      <c r="A31" s="52" t="s">
        <v>13</v>
      </c>
      <c r="B31" s="52" t="s">
        <v>289</v>
      </c>
      <c r="C31" s="53">
        <f>1/SUM(1/C32,1/C33,1/C34,1/C35,1/C36,1/C37,1/C38,1/C41,1/C44)</f>
        <v>65.556477442448312</v>
      </c>
      <c r="D31" s="53">
        <f>1/SUM(1/D32,1/D33,1/D34,1/D35,1/D36,1/D37,1/D38,1/D41,1/D44)</f>
        <v>139.20108344758316</v>
      </c>
      <c r="E31" s="53">
        <f>1/SUM(1/E32,1/E33,1/E34,1/E35,1/E36,1/E37,1/E38,1/E39,1/E40,1/E41,1/E42,1/E43)</f>
        <v>41.379833513761263</v>
      </c>
      <c r="F31" s="54">
        <f>1/SUM(1/F32,1/F33,1/F34,1/F35,1/F36,1/F37,1/F38,1/F39,1/F40,1/F41,1/F42,1/F43,1/F44)</f>
        <v>21.457276958843345</v>
      </c>
      <c r="G31" s="71"/>
      <c r="H31" s="71"/>
      <c r="I31" s="71"/>
      <c r="J31" s="72">
        <f>IFERROR(IF(SUM(G32:G44)&gt;0.01,1-EXP(-SUM(G32:G44)),SUM(G32:G44)),".")</f>
        <v>8.4743723530251341E-4</v>
      </c>
      <c r="K31" s="72">
        <f>IFERROR(IF(SUM(H32:H44)&gt;0.01,1-EXP(-SUM(H32:H44)),SUM(H32:H44)),".")</f>
        <v>3.990989051526994E-4</v>
      </c>
      <c r="L31" s="72">
        <f>IFERROR(IF(SUM(I32:I44)&gt;0.01,1-EXP(-SUM(I32:I44)),SUM(I32:I44)),".")</f>
        <v>1.3425621923182614E-3</v>
      </c>
      <c r="M31" s="72">
        <f>IFERROR(IF(SUM(G32:I44)&gt;0.01,1-EXP(-SUM(G32:I44)),SUM(G32:I44)),".")</f>
        <v>2.5890983327734739E-3</v>
      </c>
      <c r="N31" s="53">
        <f t="shared" ref="N31:R31" si="7">1/SUM(1/N32,1/N33,1/N34,1/N35,1/N36,1/N37,1/N38,1/N39,1/N40,1/N41,1/N42,1/N43)</f>
        <v>41.379833513761263</v>
      </c>
      <c r="O31" s="53">
        <f t="shared" si="7"/>
        <v>357.53518265294275</v>
      </c>
      <c r="P31" s="53">
        <f t="shared" si="7"/>
        <v>93.505642893796022</v>
      </c>
      <c r="Q31" s="53">
        <f t="shared" si="7"/>
        <v>55.589341139993017</v>
      </c>
      <c r="R31" s="53">
        <f t="shared" si="7"/>
        <v>778.95153308576437</v>
      </c>
      <c r="S31" s="71"/>
      <c r="T31" s="63"/>
      <c r="U31" s="63"/>
      <c r="V31" s="63"/>
      <c r="W31" s="63"/>
      <c r="X31" s="72">
        <f>IFERROR(IF(SUM(S32:S44)&gt;0.01,1-EXP(-SUM(S32:S44)),SUM(S32:S44)),".")</f>
        <v>1.3425621923182614E-3</v>
      </c>
      <c r="Y31" s="72">
        <f t="shared" ref="Y31:AB31" si="8">IFERROR(IF(SUM(T32:T44)&gt;0.01,1-EXP(-SUM(T32:T44)),SUM(T32:T44)),".")</f>
        <v>1.5538330965858232E-4</v>
      </c>
      <c r="Z31" s="72">
        <f t="shared" si="8"/>
        <v>5.9413526585876239E-4</v>
      </c>
      <c r="AA31" s="72">
        <f t="shared" si="8"/>
        <v>9.9938223516795157E-4</v>
      </c>
      <c r="AB31" s="72">
        <f t="shared" si="8"/>
        <v>7.1320226792445719E-5</v>
      </c>
      <c r="AC31" s="53">
        <f>1/SUM(1/AC32,1/AC33,1/AC34,1/AC35,1/AC36,1/AC37,1/AC38,1/AC41,1/AC44)</f>
        <v>4.4869492141596954E-4</v>
      </c>
      <c r="AD31" s="53">
        <f t="shared" ref="AD31:AE31" si="9">1/SUM(1/AD32,1/AD33,1/AD34,1/AD35,1/AD36,1/AD37,1/AD38,1/AD39,1/AD40,1/AD41,1/AD42,1/AD43,1/AD44)</f>
        <v>360.38024390373653</v>
      </c>
      <c r="AE31" s="54">
        <f t="shared" si="9"/>
        <v>4.48694362764697E-4</v>
      </c>
      <c r="AF31" s="71"/>
      <c r="AG31" s="71"/>
      <c r="AH31" s="72">
        <f>IFERROR(IF(SUM(AF32:AF44)&gt;0.01,1-EXP(-SUM(AF32:AF44)),SUM(AF32:AF44)),".")</f>
        <v>1</v>
      </c>
      <c r="AI31" s="72">
        <f>IFERROR(IF(SUM(AG32:AG44)&gt;0.01,1-EXP(-SUM(AG32:AG44)),SUM(AG32:AG44)),".")</f>
        <v>1.5415661912599081E-4</v>
      </c>
      <c r="AJ31" s="72">
        <f>IFERROR(IF(SUM(AF32:AG44)&gt;0.01,1-EXP(-SUM(AF32:AG44)),SUM(AF32:AG44)),".")</f>
        <v>1</v>
      </c>
    </row>
    <row r="32" spans="1:36" x14ac:dyDescent="0.25">
      <c r="A32" s="55" t="s">
        <v>290</v>
      </c>
      <c r="B32" s="50">
        <v>1</v>
      </c>
      <c r="C32" s="56">
        <f>IFERROR(C3/$B32,0)</f>
        <v>399.51259463454579</v>
      </c>
      <c r="D32" s="56">
        <f>IFERROR(D3/$B32,0)</f>
        <v>1195.685226411463</v>
      </c>
      <c r="E32" s="56">
        <f>IFERROR(E3/$B32,0)</f>
        <v>1002083.6314600776</v>
      </c>
      <c r="F32" s="56">
        <f>IF(AND(C32&lt;&gt;0,D32&lt;&gt;0,E32&lt;&gt;0),1/((1/C32)+(1/D32)+(1/E32)),IF(AND(C32&lt;&gt;0,D32&lt;&gt;0,E32=0), 1/((1/C32)+(1/D32)),IF(AND(C32&lt;&gt;0,D32=0,E32&lt;&gt;0),1/((1/C32)+(1/E32)),IF(AND(C32=0,D32&lt;&gt;0,E32&lt;&gt;0),1/((1/D32)+(1/E32)),IF(AND(C32&lt;&gt;0,D32=0,E32=0),1/((1/C32)),IF(AND(C32=0,D32&lt;&gt;0,E32=0),1/((1/D32)),IF(AND(C32=0,D32=0,E32&lt;&gt;0),1/((1/E32)),IF(AND(C32=0,D32=0,E32=0),0))))))))</f>
        <v>299.36638171186712</v>
      </c>
      <c r="G32" s="64">
        <f>IFERROR(s_RadSpec!$I$3*G3,".")*$B$32</f>
        <v>1.3905694275000001E-4</v>
      </c>
      <c r="H32" s="64">
        <f>IFERROR(s_RadSpec!$G$3*H3,".")*$B$32</f>
        <v>4.6462897402131362E-5</v>
      </c>
      <c r="I32" s="64">
        <f>IFERROR(s_RadSpec!$F$3*I3,".")*$B$32</f>
        <v>5.5439484545869727E-8</v>
      </c>
      <c r="J32" s="73">
        <f t="shared" ref="J32:L44" si="10">IFERROR(IF(G32&gt;0.01,1-EXP(-G32),G32),".")</f>
        <v>1.3905694275000001E-4</v>
      </c>
      <c r="K32" s="73">
        <f t="shared" si="10"/>
        <v>4.6462897402131362E-5</v>
      </c>
      <c r="L32" s="73">
        <f t="shared" si="10"/>
        <v>5.5439484545869727E-8</v>
      </c>
      <c r="M32" s="73">
        <f>IFERROR(IF(SUM(G32:I32)&gt;0.01,1-EXP(-SUM(G32:I32)),SUM(G32:I32)),".")</f>
        <v>1.8557527963667723E-4</v>
      </c>
      <c r="N32" s="56">
        <f t="shared" ref="N32:AD32" si="11">IFERROR(N3/$B32,0)</f>
        <v>1002083.6314600776</v>
      </c>
      <c r="O32" s="56">
        <f t="shared" si="11"/>
        <v>2826868.7455595122</v>
      </c>
      <c r="P32" s="56">
        <f t="shared" si="11"/>
        <v>1143412.3760979606</v>
      </c>
      <c r="Q32" s="56">
        <f t="shared" si="11"/>
        <v>1098083.2857872064</v>
      </c>
      <c r="R32" s="56">
        <f t="shared" si="11"/>
        <v>3226898.173596736</v>
      </c>
      <c r="S32" s="64">
        <f>IFERROR(s_RadSpec!$F$3*S3,".")*$B$32</f>
        <v>5.5439484545869727E-8</v>
      </c>
      <c r="T32" s="64">
        <f>IFERROR(s_RadSpec!$M$3*T3,".")*$B$32</f>
        <v>1.9652486549743996E-8</v>
      </c>
      <c r="U32" s="64">
        <f>IFERROR(s_RadSpec!$N$3*U3,".")*$B$32</f>
        <v>4.8587020012489676E-8</v>
      </c>
      <c r="V32" s="64">
        <f>IFERROR(s_RadSpec!$O$3*V3,".")*$B$32</f>
        <v>5.0592701591093878E-8</v>
      </c>
      <c r="W32" s="64">
        <f>IFERROR(s_RadSpec!$K$3*W3,".")*$B$32</f>
        <v>1.7216223447818866E-8</v>
      </c>
      <c r="X32" s="73">
        <f>IFERROR(IF(S32&gt;0.01,1-EXP(-S32),S32),".")</f>
        <v>5.5439484545869727E-8</v>
      </c>
      <c r="Y32" s="73">
        <f t="shared" ref="Y32:AB44" si="12">IFERROR(IF(T32&gt;0.01,1-EXP(-T32),T32),".")</f>
        <v>1.9652486549743996E-8</v>
      </c>
      <c r="Z32" s="73">
        <f t="shared" si="12"/>
        <v>4.8587020012489676E-8</v>
      </c>
      <c r="AA32" s="73">
        <f t="shared" si="12"/>
        <v>5.0592701591093878E-8</v>
      </c>
      <c r="AB32" s="73">
        <f t="shared" si="12"/>
        <v>1.7216223447818866E-8</v>
      </c>
      <c r="AC32" s="56">
        <f t="shared" si="11"/>
        <v>3.8541215011803258E-3</v>
      </c>
      <c r="AD32" s="56">
        <f t="shared" si="11"/>
        <v>13723.008777524785</v>
      </c>
      <c r="AE32" s="56">
        <f>IFERROR(IF(AND(AC32&lt;&gt;0,AD32&lt;&gt;0),1/((1/AC32)+(1/AD32)),IF(AND(AC32&lt;&gt;0,AD32=0),1/((1/AC32)),IF(AND(AC32=0,AD32&lt;&gt;0),1/((1/AD32)),IF(AND(AC32=0,AD32=0),0)))),0)</f>
        <v>3.8541204187465378E-3</v>
      </c>
      <c r="AF32" s="64">
        <f>IFERROR(s_RadSpec!$G$3*AF3,".")*$B$32</f>
        <v>14.414439187499999</v>
      </c>
      <c r="AG32" s="64">
        <f>IFERROR(s_RadSpec!$J$3*AG3,".")*$B$32</f>
        <v>4.0483104616960269E-6</v>
      </c>
      <c r="AH32" s="73">
        <f>IFERROR(IF(AF32&gt;0.01,1-EXP(-AF32),AF32),".")</f>
        <v>0.99999945060006823</v>
      </c>
      <c r="AI32" s="73">
        <f>IFERROR(IF(AG32&gt;0.01,1-EXP(-AG32),AG32),".")</f>
        <v>4.0483104616960269E-6</v>
      </c>
      <c r="AJ32" s="73">
        <f>IFERROR(IF(SUM(AF32:AG32)&gt;0.01,1-EXP(-SUM(AF32:AG32)),SUM(AF32:AG32)),".")</f>
        <v>0.99999945060229234</v>
      </c>
    </row>
    <row r="33" spans="1:36" x14ac:dyDescent="0.25">
      <c r="A33" s="55" t="s">
        <v>291</v>
      </c>
      <c r="B33" s="50">
        <v>1</v>
      </c>
      <c r="C33" s="56">
        <f t="shared" ref="C33:E34" si="13">IFERROR(C13/$B33,0)</f>
        <v>773.85904157557695</v>
      </c>
      <c r="D33" s="56">
        <f t="shared" si="13"/>
        <v>1573.676039922183</v>
      </c>
      <c r="E33" s="56">
        <f t="shared" si="13"/>
        <v>13240.573454870782</v>
      </c>
      <c r="F33" s="56">
        <f>IF(AND(C33&lt;&gt;0,D33&lt;&gt;0,E33&lt;&gt;0),1/((1/C33)+(1/D33)+(1/E33)),IF(AND(C33&lt;&gt;0,D33&lt;&gt;0,E33=0), 1/((1/C33)+(1/D33)),IF(AND(C33&lt;&gt;0,D33=0,E33&lt;&gt;0),1/((1/C33)+(1/E33)),IF(AND(C33=0,D33&lt;&gt;0,E33&lt;&gt;0),1/((1/D33)+(1/E33)),IF(AND(C33&lt;&gt;0,D33=0,E33=0),1/((1/C33)),IF(AND(C33=0,D33&lt;&gt;0,E33=0),1/((1/D33)),IF(AND(C33=0,D33=0,E33&lt;&gt;0),1/((1/E33)),IF(AND(C33=0,D33=0,E33=0),0))))))))</f>
        <v>499.19997362621893</v>
      </c>
      <c r="G33" s="64">
        <f>IFERROR(s_RadSpec!$I$13*G13,".")*$B$33</f>
        <v>7.1789559874999999E-5</v>
      </c>
      <c r="H33" s="64">
        <f>IFERROR(s_RadSpec!$G$13*H13,".")*$B$33</f>
        <v>3.5302691653580202E-5</v>
      </c>
      <c r="I33" s="64">
        <f>IFERROR(s_RadSpec!$F$13*I13,".")*$B$33</f>
        <v>4.1958152484372257E-6</v>
      </c>
      <c r="J33" s="73">
        <f t="shared" si="10"/>
        <v>7.1789559874999999E-5</v>
      </c>
      <c r="K33" s="73">
        <f t="shared" si="10"/>
        <v>3.5302691653580202E-5</v>
      </c>
      <c r="L33" s="73">
        <f t="shared" si="10"/>
        <v>4.1958152484372257E-6</v>
      </c>
      <c r="M33" s="73">
        <f t="shared" ref="M33:M44" si="14">IFERROR(IF(SUM(G33:I33)&gt;0.01,1-EXP(-SUM(G33:I33)),SUM(G33:I33)),".")</f>
        <v>1.1128806677701742E-4</v>
      </c>
      <c r="N33" s="56">
        <f t="shared" ref="N33:AD34" si="15">IFERROR(N13/$B33,0)</f>
        <v>13240.573454870782</v>
      </c>
      <c r="O33" s="56">
        <f t="shared" si="15"/>
        <v>86080.288071535833</v>
      </c>
      <c r="P33" s="56">
        <f t="shared" si="15"/>
        <v>21491.396813221476</v>
      </c>
      <c r="Q33" s="56">
        <f t="shared" si="15"/>
        <v>14225.431201218375</v>
      </c>
      <c r="R33" s="56">
        <f t="shared" si="15"/>
        <v>683668.70262451633</v>
      </c>
      <c r="S33" s="64">
        <f>IFERROR(s_RadSpec!$F$13*S13,".")*$B$33</f>
        <v>4.1958152484372257E-6</v>
      </c>
      <c r="T33" s="64">
        <f>IFERROR(s_RadSpec!$M$13*T13,".")*$B$33</f>
        <v>6.4538585133255786E-7</v>
      </c>
      <c r="U33" s="64">
        <f>IFERROR(s_RadSpec!$N$13*U13,".")*$B$33</f>
        <v>2.5849878666714977E-6</v>
      </c>
      <c r="V33" s="64">
        <f>IFERROR(s_RadSpec!$O$13*V13,".")*$B$33</f>
        <v>3.9053297727271588E-6</v>
      </c>
      <c r="W33" s="64">
        <f>IFERROR(s_RadSpec!$K$13*W13,".")*$B$33</f>
        <v>8.1260118807152471E-8</v>
      </c>
      <c r="X33" s="73">
        <f t="shared" ref="X33:X44" si="16">IFERROR(IF(S33&gt;0.01,1-EXP(-S33),S33),".")</f>
        <v>4.1958152484372257E-6</v>
      </c>
      <c r="Y33" s="73">
        <f t="shared" si="12"/>
        <v>6.4538585133255786E-7</v>
      </c>
      <c r="Z33" s="73">
        <f t="shared" si="12"/>
        <v>2.5849878666714977E-6</v>
      </c>
      <c r="AA33" s="73">
        <f t="shared" si="12"/>
        <v>3.9053297727271588E-6</v>
      </c>
      <c r="AB33" s="73">
        <f t="shared" si="12"/>
        <v>8.1260118807152471E-8</v>
      </c>
      <c r="AC33" s="56">
        <f t="shared" si="15"/>
        <v>5.0725212015534605E-3</v>
      </c>
      <c r="AD33" s="56">
        <f t="shared" si="15"/>
        <v>10381.027948903833</v>
      </c>
      <c r="AE33" s="56">
        <f t="shared" ref="AE33:AE44" si="17">IFERROR(IF(AND(AC33&lt;&gt;0,AD33&lt;&gt;0),1/((1/AC33)+(1/AD33)),IF(AND(AC33&lt;&gt;0,AD33=0),1/((1/AC33)),IF(AND(AC33=0,AD33&lt;&gt;0),1/((1/AD33)),IF(AND(AC33=0,AD33=0),0)))),0)</f>
        <v>5.0725187229493287E-3</v>
      </c>
      <c r="AF33" s="64">
        <f>IFERROR(s_RadSpec!$G$13*AF13,".")*$B$33</f>
        <v>10.952147421875001</v>
      </c>
      <c r="AG33" s="64">
        <f>IFERROR(s_RadSpec!$J$13*AG13,".")*$B$33</f>
        <v>5.3515894835699988E-6</v>
      </c>
      <c r="AH33" s="73">
        <f t="shared" ref="AH33:AI44" si="18">IFERROR(IF(AF33&gt;0.01,1-EXP(-AF33),AF33),".")</f>
        <v>0.99998247964871034</v>
      </c>
      <c r="AI33" s="73">
        <f t="shared" si="18"/>
        <v>5.3515894835699988E-6</v>
      </c>
      <c r="AJ33" s="73">
        <f t="shared" ref="AJ33:AJ44" si="19">IFERROR(IF(SUM(AF33:AG33)&gt;0.01,1-EXP(-SUM(AF33:AG33)),SUM(AF33:AG33)),".")</f>
        <v>0.99998247974247179</v>
      </c>
    </row>
    <row r="34" spans="1:36" x14ac:dyDescent="0.25">
      <c r="A34" s="55" t="s">
        <v>292</v>
      </c>
      <c r="B34" s="50">
        <v>1</v>
      </c>
      <c r="C34" s="56">
        <f t="shared" si="13"/>
        <v>14080.243306604336</v>
      </c>
      <c r="D34" s="56">
        <f t="shared" si="13"/>
        <v>2953024.0458588176</v>
      </c>
      <c r="E34" s="56">
        <f t="shared" si="13"/>
        <v>127.98313308492541</v>
      </c>
      <c r="F34" s="56">
        <f>IF(AND(C34&lt;&gt;0,D34&lt;&gt;0,E34&lt;&gt;0),1/((1/C34)+(1/D34)+(1/E34)),IF(AND(C34&lt;&gt;0,D34&lt;&gt;0,E34=0), 1/((1/C34)+(1/D34)),IF(AND(C34&lt;&gt;0,D34=0,E34&lt;&gt;0),1/((1/C34)+(1/E34)),IF(AND(C34=0,D34&lt;&gt;0,E34&lt;&gt;0),1/((1/D34)+(1/E34)),IF(AND(C34&lt;&gt;0,D34=0,E34=0),1/((1/C34)),IF(AND(C34=0,D34&lt;&gt;0,E34=0),1/((1/D34)),IF(AND(C34=0,D34=0,E34&lt;&gt;0),1/((1/E34)),IF(AND(C34=0,D34=0,E34=0),0))))))))</f>
        <v>126.82485515517222</v>
      </c>
      <c r="G34" s="64">
        <f>IFERROR(s_RadSpec!$I$14*G14,".")*$B$34</f>
        <v>3.9455994324999998E-6</v>
      </c>
      <c r="H34" s="64">
        <f>IFERROR(s_RadSpec!$G$14*H14,".")*$B$33</f>
        <v>1.8812918261843386E-8</v>
      </c>
      <c r="I34" s="64">
        <f>IFERROR(s_RadSpec!$F$14*I14,".")*$B$33</f>
        <v>4.3408063750975299E-4</v>
      </c>
      <c r="J34" s="73">
        <f t="shared" si="10"/>
        <v>3.9455994324999998E-6</v>
      </c>
      <c r="K34" s="73">
        <f t="shared" si="10"/>
        <v>1.8812918261843386E-8</v>
      </c>
      <c r="L34" s="73">
        <f t="shared" si="10"/>
        <v>4.3408063750975299E-4</v>
      </c>
      <c r="M34" s="73">
        <f t="shared" si="14"/>
        <v>4.3804504986051483E-4</v>
      </c>
      <c r="N34" s="56">
        <f t="shared" si="15"/>
        <v>127.98313308492541</v>
      </c>
      <c r="O34" s="56">
        <f t="shared" si="15"/>
        <v>979.85451220618324</v>
      </c>
      <c r="P34" s="56">
        <f t="shared" si="15"/>
        <v>263.90650123532635</v>
      </c>
      <c r="Q34" s="56">
        <f t="shared" si="15"/>
        <v>159.14692339484878</v>
      </c>
      <c r="R34" s="56">
        <f t="shared" si="15"/>
        <v>2771.4177710221911</v>
      </c>
      <c r="S34" s="64">
        <f>IFERROR(s_RadSpec!$F$14*S14,".")*$B$33</f>
        <v>4.3408063750975299E-4</v>
      </c>
      <c r="T34" s="64">
        <f>IFERROR(s_RadSpec!$M$14*T14,".")*$B$33</f>
        <v>5.6697192601497132E-5</v>
      </c>
      <c r="U34" s="64">
        <f>IFERROR(s_RadSpec!$N$14*U14,".")*$B$33</f>
        <v>2.1051016075750783E-4</v>
      </c>
      <c r="V34" s="64">
        <f>IFERROR(s_RadSpec!$O$14*V14,".")*$B$33</f>
        <v>3.4907994961464752E-4</v>
      </c>
      <c r="W34" s="64">
        <f>IFERROR(s_RadSpec!$K$14*W14,".")*$B$33</f>
        <v>2.0045696675860405E-5</v>
      </c>
      <c r="X34" s="73">
        <f t="shared" si="16"/>
        <v>4.3408063750975299E-4</v>
      </c>
      <c r="Y34" s="73">
        <f t="shared" si="12"/>
        <v>5.6697192601497132E-5</v>
      </c>
      <c r="Z34" s="73">
        <f t="shared" si="12"/>
        <v>2.1051016075750783E-4</v>
      </c>
      <c r="AA34" s="73">
        <f t="shared" si="12"/>
        <v>3.4907994961464752E-4</v>
      </c>
      <c r="AB34" s="73">
        <f t="shared" si="12"/>
        <v>2.0045696675860405E-5</v>
      </c>
      <c r="AC34" s="56">
        <f t="shared" si="15"/>
        <v>9.5186535864501973</v>
      </c>
      <c r="AD34" s="56">
        <f t="shared" si="15"/>
        <v>933.01441346509137</v>
      </c>
      <c r="AE34" s="56">
        <f t="shared" si="17"/>
        <v>9.4225245812554252</v>
      </c>
      <c r="AF34" s="64">
        <f>IFERROR(s_RadSpec!$G$14*AF14,".")*$B$33</f>
        <v>5.8364346906249996E-3</v>
      </c>
      <c r="AG34" s="64">
        <f>IFERROR(s_RadSpec!$J$14*AG14,".")*$B$33</f>
        <v>5.9543560311867117E-5</v>
      </c>
      <c r="AH34" s="73">
        <f t="shared" si="18"/>
        <v>5.8364346906249996E-3</v>
      </c>
      <c r="AI34" s="73">
        <f t="shared" si="18"/>
        <v>5.9543560311867117E-5</v>
      </c>
      <c r="AJ34" s="73">
        <f t="shared" si="19"/>
        <v>5.8959782509368664E-3</v>
      </c>
    </row>
    <row r="35" spans="1:36" x14ac:dyDescent="0.25">
      <c r="A35" s="55" t="s">
        <v>293</v>
      </c>
      <c r="B35" s="50">
        <v>1</v>
      </c>
      <c r="C35" s="56">
        <f>IFERROR(C30/$B35,0)</f>
        <v>697.02197361771834</v>
      </c>
      <c r="D35" s="56">
        <f>IFERROR(D30/$B35,0)</f>
        <v>1594.2469685486162</v>
      </c>
      <c r="E35" s="56">
        <f>IFERROR(E30/$B35,0)</f>
        <v>466634.87701353425</v>
      </c>
      <c r="F35" s="56">
        <f t="shared" ref="F35:F61" si="20">IF(AND(C35&lt;&gt;0,D35&lt;&gt;0,E35&lt;&gt;0),1/((1/C35)+(1/D35)+(1/E35)),IF(AND(C35&lt;&gt;0,D35&lt;&gt;0,E35=0), 1/((1/C35)+(1/D35)),IF(AND(C35&lt;&gt;0,D35=0,E35&lt;&gt;0),1/((1/C35)+(1/E35)),IF(AND(C35=0,D35&lt;&gt;0,E35&lt;&gt;0),1/((1/D35)+(1/E35)),IF(AND(C35&lt;&gt;0,D35=0,E35=0),1/((1/C35)),IF(AND(C35=0,D35&lt;&gt;0,E35=0),1/((1/D35)),IF(AND(C35=0,D35=0,E35&lt;&gt;0),1/((1/E35)),IF(AND(C35=0,D35=0,E35=0),0))))))))</f>
        <v>484.47889718943992</v>
      </c>
      <c r="G35" s="64">
        <f>IFERROR(s_RadSpec!$I$30*G30,".")*$B$35</f>
        <v>7.9703369624999993E-5</v>
      </c>
      <c r="H35" s="64">
        <f>IFERROR(s_RadSpec!$G$30*H30,".")*$B$35</f>
        <v>3.4847173051598523E-5</v>
      </c>
      <c r="I35" s="64">
        <f>IFERROR(s_RadSpec!$F$30*I30,".")*$B$35</f>
        <v>1.190545386481874E-7</v>
      </c>
      <c r="J35" s="73">
        <f t="shared" si="10"/>
        <v>7.9703369624999993E-5</v>
      </c>
      <c r="K35" s="73">
        <f t="shared" si="10"/>
        <v>3.4847173051598523E-5</v>
      </c>
      <c r="L35" s="73">
        <f t="shared" si="10"/>
        <v>1.190545386481874E-7</v>
      </c>
      <c r="M35" s="73">
        <f t="shared" si="14"/>
        <v>1.1466959721524671E-4</v>
      </c>
      <c r="N35" s="56">
        <f t="shared" ref="N35:AD35" si="21">IFERROR(N30/$B35,0)</f>
        <v>466634.87701353425</v>
      </c>
      <c r="O35" s="56">
        <f t="shared" si="21"/>
        <v>7838919.8579055443</v>
      </c>
      <c r="P35" s="56">
        <f t="shared" si="21"/>
        <v>1157054.3730460363</v>
      </c>
      <c r="Q35" s="56">
        <f t="shared" si="21"/>
        <v>634022.77590103156</v>
      </c>
      <c r="R35" s="56">
        <f t="shared" si="21"/>
        <v>111443388.27499704</v>
      </c>
      <c r="S35" s="64">
        <f>IFERROR(s_RadSpec!$F$30*S30,".")*$B$35</f>
        <v>1.190545386481874E-7</v>
      </c>
      <c r="T35" s="64">
        <f>IFERROR(s_RadSpec!$M$30*T30,".")*$B$35</f>
        <v>7.0870733477358903E-9</v>
      </c>
      <c r="U35" s="64">
        <f>IFERROR(s_RadSpec!$N$30*U30,".")*$B$35</f>
        <v>4.8014165361777333E-8</v>
      </c>
      <c r="V35" s="64">
        <f>IFERROR(s_RadSpec!$O$30*V30,".")*$B$35</f>
        <v>8.7623035183631831E-8</v>
      </c>
      <c r="W35" s="64">
        <f>IFERROR(s_RadSpec!$K$30*W30,".")*$B$35</f>
        <v>4.9850422586679449E-10</v>
      </c>
      <c r="X35" s="73">
        <f t="shared" si="16"/>
        <v>1.190545386481874E-7</v>
      </c>
      <c r="Y35" s="73">
        <f t="shared" si="12"/>
        <v>7.0870733477358903E-9</v>
      </c>
      <c r="Z35" s="73">
        <f t="shared" si="12"/>
        <v>4.8014165361777333E-8</v>
      </c>
      <c r="AA35" s="73">
        <f t="shared" si="12"/>
        <v>8.7623035183631831E-8</v>
      </c>
      <c r="AB35" s="73">
        <f t="shared" si="12"/>
        <v>4.9850422586679449E-10</v>
      </c>
      <c r="AC35" s="56">
        <f t="shared" si="21"/>
        <v>5.1388286682404315E-3</v>
      </c>
      <c r="AD35" s="56">
        <f t="shared" si="21"/>
        <v>849356.83218304091</v>
      </c>
      <c r="AE35" s="56">
        <f t="shared" si="17"/>
        <v>5.1388286371491882E-3</v>
      </c>
      <c r="AF35" s="64">
        <f>IFERROR(s_RadSpec!$G$30*AF30,".")*$B$35</f>
        <v>10.810829390625001</v>
      </c>
      <c r="AG35" s="64">
        <f>IFERROR(s_RadSpec!$J$30*AG30,".")*$B$35</f>
        <v>6.5408315910299986E-8</v>
      </c>
      <c r="AH35" s="73">
        <f t="shared" si="18"/>
        <v>0.99997982021890308</v>
      </c>
      <c r="AI35" s="73">
        <f t="shared" si="18"/>
        <v>6.5408315910299986E-8</v>
      </c>
      <c r="AJ35" s="73">
        <f t="shared" si="19"/>
        <v>0.99997982022022303</v>
      </c>
    </row>
    <row r="36" spans="1:36" x14ac:dyDescent="0.25">
      <c r="A36" s="55" t="s">
        <v>294</v>
      </c>
      <c r="B36" s="50">
        <v>1</v>
      </c>
      <c r="C36" s="56">
        <f>IFERROR(C26/$B36,0)</f>
        <v>184.73702684228999</v>
      </c>
      <c r="D36" s="56">
        <f>IFERROR(D26/$B36,0)</f>
        <v>258.38960401264654</v>
      </c>
      <c r="E36" s="56">
        <f>IFERROR(E26/$B36,0)</f>
        <v>1555.6231893297172</v>
      </c>
      <c r="F36" s="56">
        <f t="shared" si="20"/>
        <v>100.74496938466277</v>
      </c>
      <c r="G36" s="64">
        <f>IFERROR(s_RadSpec!$I$26*G26,".")*$B$37</f>
        <v>3.007247705E-4</v>
      </c>
      <c r="H36" s="64">
        <f>IFERROR(s_RadSpec!$G$26*H26,".")*$B$37</f>
        <v>2.15004780135353E-4</v>
      </c>
      <c r="I36" s="64">
        <f>IFERROR(s_RadSpec!$F$26*I26,".")*$B$37</f>
        <v>3.5712375838224284E-5</v>
      </c>
      <c r="J36" s="73">
        <f t="shared" si="10"/>
        <v>3.007247705E-4</v>
      </c>
      <c r="K36" s="73">
        <f t="shared" si="10"/>
        <v>2.15004780135353E-4</v>
      </c>
      <c r="L36" s="73">
        <f t="shared" si="10"/>
        <v>3.5712375838224284E-5</v>
      </c>
      <c r="M36" s="73">
        <f t="shared" si="14"/>
        <v>5.5144192647357728E-4</v>
      </c>
      <c r="N36" s="56">
        <f t="shared" ref="N36:AD36" si="22">IFERROR(N26/$B36,0)</f>
        <v>1555.6231893297172</v>
      </c>
      <c r="O36" s="56">
        <f t="shared" si="22"/>
        <v>9414.9727261234966</v>
      </c>
      <c r="P36" s="56">
        <f t="shared" si="22"/>
        <v>2697.7658517770583</v>
      </c>
      <c r="Q36" s="56">
        <f t="shared" si="22"/>
        <v>1774.429355656082</v>
      </c>
      <c r="R36" s="56">
        <f t="shared" si="22"/>
        <v>52448.675296307811</v>
      </c>
      <c r="S36" s="64">
        <f>IFERROR(s_RadSpec!$F$26*S26,".")*$B$37</f>
        <v>3.5712375838224284E-5</v>
      </c>
      <c r="T36" s="64">
        <f>IFERROR(s_RadSpec!$M$26*T26,".")*$B$37</f>
        <v>5.9007074811648559E-6</v>
      </c>
      <c r="U36" s="64">
        <f>IFERROR(s_RadSpec!$N$26*U26,".")*$B$37</f>
        <v>2.0592965828893224E-5</v>
      </c>
      <c r="V36" s="64">
        <f>IFERROR(s_RadSpec!$O$26*V26,".")*$B$37</f>
        <v>3.1308656962259813E-5</v>
      </c>
      <c r="W36" s="64">
        <f>IFERROR(s_RadSpec!$K$26*W26,".")*$B$37</f>
        <v>1.0592259897155276E-6</v>
      </c>
      <c r="X36" s="73">
        <f t="shared" si="16"/>
        <v>3.5712375838224284E-5</v>
      </c>
      <c r="Y36" s="73">
        <f t="shared" si="12"/>
        <v>5.9007074811648559E-6</v>
      </c>
      <c r="Z36" s="73">
        <f t="shared" si="12"/>
        <v>2.0592965828893224E-5</v>
      </c>
      <c r="AA36" s="73">
        <f t="shared" si="12"/>
        <v>3.1308656962259813E-5</v>
      </c>
      <c r="AB36" s="73">
        <f t="shared" si="12"/>
        <v>1.0592259897155276E-6</v>
      </c>
      <c r="AC36" s="56">
        <f t="shared" si="22"/>
        <v>8.3288218881439203E-4</v>
      </c>
      <c r="AD36" s="56">
        <f t="shared" si="22"/>
        <v>2653.8269892723024</v>
      </c>
      <c r="AE36" s="56">
        <f t="shared" si="17"/>
        <v>8.3288192742111901E-4</v>
      </c>
      <c r="AF36" s="64">
        <f>IFERROR(s_RadSpec!$G$26*AF26,".")*$B$37</f>
        <v>66.702110750000003</v>
      </c>
      <c r="AG36" s="64">
        <f>IFERROR(s_RadSpec!$J$26*AG26,".")*$B$37</f>
        <v>2.0933919288850681E-5</v>
      </c>
      <c r="AH36" s="73">
        <f t="shared" si="18"/>
        <v>1</v>
      </c>
      <c r="AI36" s="73">
        <f t="shared" si="18"/>
        <v>2.0933919288850681E-5</v>
      </c>
      <c r="AJ36" s="73">
        <f t="shared" si="19"/>
        <v>1</v>
      </c>
    </row>
    <row r="37" spans="1:36" x14ac:dyDescent="0.25">
      <c r="A37" s="55" t="s">
        <v>295</v>
      </c>
      <c r="B37" s="50">
        <v>1</v>
      </c>
      <c r="C37" s="56">
        <f>IFERROR(C22/$B37,0)</f>
        <v>488.95571283631</v>
      </c>
      <c r="D37" s="56">
        <f>IFERROR(D22/$B37,0)</f>
        <v>1725.0338485709926</v>
      </c>
      <c r="E37" s="56">
        <f>IFERROR(E22/$B37,0)</f>
        <v>31287389291.353718</v>
      </c>
      <c r="F37" s="56">
        <f t="shared" si="20"/>
        <v>380.97069630635644</v>
      </c>
      <c r="G37" s="64">
        <f>IFERROR(s_RadSpec!$I$22*G22,".")*$B$37</f>
        <v>1.1361969712499999E-4</v>
      </c>
      <c r="H37" s="64">
        <f>IFERROR(s_RadSpec!$G$22*H22,".")*$B$37</f>
        <v>3.2205165160104777E-5</v>
      </c>
      <c r="I37" s="64">
        <f>IFERROR(s_RadSpec!$F$22*I22,".")*$B$37</f>
        <v>1.7756355278691353E-12</v>
      </c>
      <c r="J37" s="73">
        <f t="shared" si="10"/>
        <v>1.1361969712499999E-4</v>
      </c>
      <c r="K37" s="73">
        <f t="shared" si="10"/>
        <v>3.2205165160104777E-5</v>
      </c>
      <c r="L37" s="73">
        <f t="shared" si="10"/>
        <v>1.7756355278691353E-12</v>
      </c>
      <c r="M37" s="73">
        <f t="shared" si="14"/>
        <v>1.4582486406074029E-4</v>
      </c>
      <c r="N37" s="56">
        <f t="shared" ref="N37:AD37" si="23">IFERROR(N22/$B37,0)</f>
        <v>31287389291.353718</v>
      </c>
      <c r="O37" s="56">
        <f t="shared" si="23"/>
        <v>39375093841.032318</v>
      </c>
      <c r="P37" s="56">
        <f t="shared" si="23"/>
        <v>22152758358.002178</v>
      </c>
      <c r="Q37" s="56">
        <f t="shared" si="23"/>
        <v>22740348954.461639</v>
      </c>
      <c r="R37" s="56">
        <f t="shared" si="23"/>
        <v>111267041236.7211</v>
      </c>
      <c r="S37" s="64">
        <f>IFERROR(s_RadSpec!$F$22*S22,".")*$B$37</f>
        <v>1.7756355278691353E-12</v>
      </c>
      <c r="T37" s="64">
        <f>IFERROR(s_RadSpec!$M$22*T22,".")*$B$37</f>
        <v>1.4109172723318512E-12</v>
      </c>
      <c r="U37" s="64">
        <f>IFERROR(s_RadSpec!$N$22*U22,".")*$B$37</f>
        <v>2.5078141106492051E-12</v>
      </c>
      <c r="V37" s="64">
        <f>IFERROR(s_RadSpec!$O$22*V22,".")*$B$37</f>
        <v>2.4430144019008185E-12</v>
      </c>
      <c r="W37" s="64">
        <f>IFERROR(s_RadSpec!$K$22*W22,".")*$B$37</f>
        <v>4.9929430478704379E-13</v>
      </c>
      <c r="X37" s="73">
        <f t="shared" si="16"/>
        <v>1.7756355278691353E-12</v>
      </c>
      <c r="Y37" s="73">
        <f t="shared" si="12"/>
        <v>1.4109172723318512E-12</v>
      </c>
      <c r="Z37" s="73">
        <f t="shared" si="12"/>
        <v>2.5078141106492051E-12</v>
      </c>
      <c r="AA37" s="73">
        <f t="shared" si="12"/>
        <v>2.4430144019008185E-12</v>
      </c>
      <c r="AB37" s="73">
        <f t="shared" si="12"/>
        <v>4.9929430478704379E-13</v>
      </c>
      <c r="AC37" s="56">
        <f t="shared" si="23"/>
        <v>5.5604016000055604E-3</v>
      </c>
      <c r="AD37" s="56">
        <f t="shared" si="23"/>
        <v>43166.679509049485</v>
      </c>
      <c r="AE37" s="56">
        <f t="shared" si="17"/>
        <v>5.5604008837572341E-3</v>
      </c>
      <c r="AF37" s="64">
        <f>IFERROR(s_RadSpec!$G$22*AF22,".")*$B$37</f>
        <v>9.9911848093749995</v>
      </c>
      <c r="AG37" s="64">
        <f>IFERROR(s_RadSpec!$J$22*AG22,".")*$B$37</f>
        <v>1.2869880341005476E-6</v>
      </c>
      <c r="AH37" s="73">
        <f t="shared" si="18"/>
        <v>0.99995419809204822</v>
      </c>
      <c r="AI37" s="73">
        <f t="shared" si="18"/>
        <v>1.2869880341005476E-6</v>
      </c>
      <c r="AJ37" s="73">
        <f t="shared" si="19"/>
        <v>0.99995419815099462</v>
      </c>
    </row>
    <row r="38" spans="1:36" x14ac:dyDescent="0.25">
      <c r="A38" s="55" t="s">
        <v>296</v>
      </c>
      <c r="B38" s="50">
        <v>1</v>
      </c>
      <c r="C38" s="56">
        <f>IFERROR(C2/$B38,0)</f>
        <v>402.78728803318961</v>
      </c>
      <c r="D38" s="56">
        <f>IFERROR(D2/$B38,0)</f>
        <v>1579.7913613208443</v>
      </c>
      <c r="E38" s="56">
        <f>IFERROR(E2/$B38,0)</f>
        <v>5128.0717010750523</v>
      </c>
      <c r="F38" s="56">
        <f t="shared" si="20"/>
        <v>302.05092095409702</v>
      </c>
      <c r="G38" s="64">
        <f>IFERROR(s_RadSpec!$I$2*G2,".")*$B$38</f>
        <v>1.379263985E-4</v>
      </c>
      <c r="H38" s="64">
        <f>IFERROR(s_RadSpec!$G$2*H2,".")*$B$38</f>
        <v>3.5166036072985699E-5</v>
      </c>
      <c r="I38" s="64">
        <f>IFERROR(s_RadSpec!$F$2*I2,".")*$B$38</f>
        <v>1.0833506869327392E-5</v>
      </c>
      <c r="J38" s="73">
        <f t="shared" si="10"/>
        <v>1.379263985E-4</v>
      </c>
      <c r="K38" s="73">
        <f t="shared" si="10"/>
        <v>3.5166036072985699E-5</v>
      </c>
      <c r="L38" s="73">
        <f t="shared" si="10"/>
        <v>1.0833506869327392E-5</v>
      </c>
      <c r="M38" s="73">
        <f t="shared" si="14"/>
        <v>1.8392594144231309E-4</v>
      </c>
      <c r="N38" s="56">
        <f t="shared" ref="N38:AD38" si="24">IFERROR(N2/$B38,0)</f>
        <v>5128.0717010750523</v>
      </c>
      <c r="O38" s="56">
        <f t="shared" si="24"/>
        <v>37015.853721315179</v>
      </c>
      <c r="P38" s="56">
        <f t="shared" si="24"/>
        <v>9710.6118258894112</v>
      </c>
      <c r="Q38" s="56">
        <f t="shared" si="24"/>
        <v>6006.8202255782053</v>
      </c>
      <c r="R38" s="56">
        <f t="shared" si="24"/>
        <v>281201.53399471869</v>
      </c>
      <c r="S38" s="64">
        <f>IFERROR(s_RadSpec!$F$2*S2,".")*$B$38</f>
        <v>1.0833506869327392E-5</v>
      </c>
      <c r="T38" s="64">
        <f>IFERROR(s_RadSpec!$M$2*T2,".")*$B$38</f>
        <v>1.5008434066727805E-6</v>
      </c>
      <c r="U38" s="64">
        <f>IFERROR(s_RadSpec!$N$2*U2,".")*$B$38</f>
        <v>5.7210607319185701E-6</v>
      </c>
      <c r="V38" s="64">
        <f>IFERROR(s_RadSpec!$O$2*V2,".")*$B$38</f>
        <v>9.2486536825983275E-6</v>
      </c>
      <c r="W38" s="64">
        <f>IFERROR(s_RadSpec!$K$2*W2,".")*$B$38</f>
        <v>1.9756293363976949E-7</v>
      </c>
      <c r="X38" s="73">
        <f t="shared" si="16"/>
        <v>1.0833506869327392E-5</v>
      </c>
      <c r="Y38" s="73">
        <f t="shared" si="12"/>
        <v>1.5008434066727805E-6</v>
      </c>
      <c r="Z38" s="73">
        <f t="shared" si="12"/>
        <v>5.7210607319185701E-6</v>
      </c>
      <c r="AA38" s="73">
        <f t="shared" si="12"/>
        <v>9.2486536825983275E-6</v>
      </c>
      <c r="AB38" s="73">
        <f t="shared" si="12"/>
        <v>1.9756293363976949E-7</v>
      </c>
      <c r="AC38" s="56">
        <f t="shared" si="24"/>
        <v>5.0922330715076833E-3</v>
      </c>
      <c r="AD38" s="56">
        <f t="shared" si="24"/>
        <v>15465.613066734286</v>
      </c>
      <c r="AE38" s="56">
        <f t="shared" si="17"/>
        <v>5.0922313948312389E-3</v>
      </c>
      <c r="AF38" s="64">
        <f>IFERROR(s_RadSpec!$G$2*AF2,".")*$B$38</f>
        <v>10.9097520125</v>
      </c>
      <c r="AG38" s="64">
        <f>IFERROR(s_RadSpec!$J$2*AG2,".")*$B$38</f>
        <v>3.5921628040401365E-6</v>
      </c>
      <c r="AH38" s="73">
        <f t="shared" si="18"/>
        <v>0.99998172089607396</v>
      </c>
      <c r="AI38" s="73">
        <f t="shared" si="18"/>
        <v>3.5921628040401365E-6</v>
      </c>
      <c r="AJ38" s="73">
        <f t="shared" si="19"/>
        <v>0.99998172096173532</v>
      </c>
    </row>
    <row r="39" spans="1:36" x14ac:dyDescent="0.25">
      <c r="A39" s="55" t="s">
        <v>297</v>
      </c>
      <c r="B39" s="50">
        <v>1</v>
      </c>
      <c r="C39" s="56">
        <f>IFERROR(C11/$B39,0)</f>
        <v>0</v>
      </c>
      <c r="D39" s="56">
        <f>IFERROR(D11/$B39,0)</f>
        <v>0</v>
      </c>
      <c r="E39" s="56">
        <f>IFERROR(E11/$B39,0)</f>
        <v>1773.5642875698577</v>
      </c>
      <c r="F39" s="56">
        <f t="shared" si="20"/>
        <v>1773.5642875698577</v>
      </c>
      <c r="G39" s="64">
        <f>IFERROR(s_RadSpec!$I$11*G11,".")*$B$39</f>
        <v>0</v>
      </c>
      <c r="H39" s="64">
        <f>IFERROR(s_RadSpec!$G$11*H11,".")*$B$39</f>
        <v>0</v>
      </c>
      <c r="I39" s="64">
        <f>IFERROR(s_RadSpec!$F$11*I11,".")*$B$39</f>
        <v>3.1323927973381553E-5</v>
      </c>
      <c r="J39" s="73">
        <f t="shared" si="10"/>
        <v>0</v>
      </c>
      <c r="K39" s="73">
        <f t="shared" si="10"/>
        <v>0</v>
      </c>
      <c r="L39" s="73">
        <f t="shared" si="10"/>
        <v>3.1323927973381553E-5</v>
      </c>
      <c r="M39" s="73">
        <f t="shared" si="14"/>
        <v>3.1323927973381553E-5</v>
      </c>
      <c r="N39" s="56">
        <f t="shared" ref="N39:AD39" si="25">IFERROR(N11/$B39,0)</f>
        <v>1773.5642875698577</v>
      </c>
      <c r="O39" s="56">
        <f t="shared" si="25"/>
        <v>9193.6232315342204</v>
      </c>
      <c r="P39" s="56">
        <f t="shared" si="25"/>
        <v>2586.0048827301293</v>
      </c>
      <c r="Q39" s="56">
        <f t="shared" si="25"/>
        <v>1722.3235577501018</v>
      </c>
      <c r="R39" s="56">
        <f t="shared" si="25"/>
        <v>17368.608424555099</v>
      </c>
      <c r="S39" s="64">
        <f>IFERROR(s_RadSpec!$F$11*S11,".")*$B$39</f>
        <v>3.1323927973381553E-5</v>
      </c>
      <c r="T39" s="64">
        <f>IFERROR(s_RadSpec!$M$11*T11,".")*$B$39</f>
        <v>6.0427753673269743E-6</v>
      </c>
      <c r="U39" s="64">
        <f>IFERROR(s_RadSpec!$N$11*U11,".")*$B$39</f>
        <v>2.148294474268307E-5</v>
      </c>
      <c r="V39" s="64">
        <f>IFERROR(s_RadSpec!$O$11*V11,".")*$B$39</f>
        <v>3.2255844002141127E-5</v>
      </c>
      <c r="W39" s="64">
        <f>IFERROR(s_RadSpec!$K$11*W11,".")*$B$39</f>
        <v>3.1985867055105213E-6</v>
      </c>
      <c r="X39" s="73">
        <f t="shared" si="16"/>
        <v>3.1323927973381553E-5</v>
      </c>
      <c r="Y39" s="73">
        <f t="shared" si="12"/>
        <v>6.0427753673269743E-6</v>
      </c>
      <c r="Z39" s="73">
        <f t="shared" si="12"/>
        <v>2.148294474268307E-5</v>
      </c>
      <c r="AA39" s="73">
        <f t="shared" si="12"/>
        <v>3.2255844002141127E-5</v>
      </c>
      <c r="AB39" s="73">
        <f t="shared" si="12"/>
        <v>3.1985867055105213E-6</v>
      </c>
      <c r="AC39" s="56">
        <f t="shared" si="25"/>
        <v>0</v>
      </c>
      <c r="AD39" s="56">
        <f t="shared" si="25"/>
        <v>6910.1675404557436</v>
      </c>
      <c r="AE39" s="56">
        <f t="shared" si="17"/>
        <v>6910.1675404557436</v>
      </c>
      <c r="AF39" s="64">
        <f>IFERROR(s_RadSpec!$G$11*AF11,".")*$B$39</f>
        <v>0</v>
      </c>
      <c r="AG39" s="64">
        <f>IFERROR(s_RadSpec!$J$11*AG11,".")*$B$39</f>
        <v>8.0396024661850677E-6</v>
      </c>
      <c r="AH39" s="73">
        <f t="shared" si="18"/>
        <v>0</v>
      </c>
      <c r="AI39" s="73">
        <f t="shared" si="18"/>
        <v>8.0396024661850677E-6</v>
      </c>
      <c r="AJ39" s="73">
        <f t="shared" si="19"/>
        <v>8.0396024661850677E-6</v>
      </c>
    </row>
    <row r="40" spans="1:36" x14ac:dyDescent="0.25">
      <c r="A40" s="55" t="s">
        <v>298</v>
      </c>
      <c r="B40" s="50">
        <v>1</v>
      </c>
      <c r="C40" s="56">
        <f>IFERROR(C4/$B40,0)</f>
        <v>0</v>
      </c>
      <c r="D40" s="56">
        <f>IFERROR(D4/$B40,0)</f>
        <v>0</v>
      </c>
      <c r="E40" s="56">
        <f>IFERROR(E4/$B40,0)</f>
        <v>110239.09563362134</v>
      </c>
      <c r="F40" s="56">
        <f t="shared" si="20"/>
        <v>110239.09563362136</v>
      </c>
      <c r="G40" s="64">
        <f>IFERROR(s_RadSpec!$I$4*G4,".")*$B$40</f>
        <v>0</v>
      </c>
      <c r="H40" s="64">
        <f>IFERROR(s_RadSpec!$G$4*H4,".")*$B$40</f>
        <v>0</v>
      </c>
      <c r="I40" s="64">
        <f>IFERROR(s_RadSpec!$F$4*I4,".")*$B$40</f>
        <v>5.0395007035105344E-7</v>
      </c>
      <c r="J40" s="73">
        <f t="shared" si="10"/>
        <v>0</v>
      </c>
      <c r="K40" s="73">
        <f t="shared" si="10"/>
        <v>0</v>
      </c>
      <c r="L40" s="73">
        <f t="shared" si="10"/>
        <v>5.0395007035105344E-7</v>
      </c>
      <c r="M40" s="73">
        <f t="shared" si="14"/>
        <v>5.0395007035105344E-7</v>
      </c>
      <c r="N40" s="56">
        <f t="shared" ref="N40:AD40" si="26">IFERROR(N4/$B40,0)</f>
        <v>110239.09563362134</v>
      </c>
      <c r="O40" s="56">
        <f t="shared" si="26"/>
        <v>777350.88887110434</v>
      </c>
      <c r="P40" s="56">
        <f t="shared" si="26"/>
        <v>202710.37507221772</v>
      </c>
      <c r="Q40" s="56">
        <f t="shared" si="26"/>
        <v>120142.05340315313</v>
      </c>
      <c r="R40" s="56">
        <f t="shared" si="26"/>
        <v>1463977.9359287298</v>
      </c>
      <c r="S40" s="64">
        <f>IFERROR(s_RadSpec!$F$4*S4,".")*$B$40</f>
        <v>5.0395007035105344E-7</v>
      </c>
      <c r="T40" s="64">
        <f>IFERROR(s_RadSpec!$M$4*T4,".")*$B$40</f>
        <v>7.1467082363125453E-8</v>
      </c>
      <c r="U40" s="64">
        <f>IFERROR(s_RadSpec!$N$4*U4,".")*$B$40</f>
        <v>2.7406096002835538E-7</v>
      </c>
      <c r="V40" s="64">
        <f>IFERROR(s_RadSpec!$O$4*V4,".")*$B$40</f>
        <v>4.6241094126781376E-7</v>
      </c>
      <c r="W40" s="64">
        <f>IFERROR(s_RadSpec!$K$4*W4,".")*$B$40</f>
        <v>3.794797628883428E-8</v>
      </c>
      <c r="X40" s="73">
        <f t="shared" si="16"/>
        <v>5.0395007035105344E-7</v>
      </c>
      <c r="Y40" s="73">
        <f t="shared" si="12"/>
        <v>7.1467082363125453E-8</v>
      </c>
      <c r="Z40" s="73">
        <f t="shared" si="12"/>
        <v>2.7406096002835538E-7</v>
      </c>
      <c r="AA40" s="73">
        <f t="shared" si="12"/>
        <v>4.6241094126781376E-7</v>
      </c>
      <c r="AB40" s="73">
        <f t="shared" si="12"/>
        <v>3.794797628883428E-8</v>
      </c>
      <c r="AC40" s="56">
        <f t="shared" si="26"/>
        <v>0</v>
      </c>
      <c r="AD40" s="56">
        <f t="shared" si="26"/>
        <v>815829.5888073945</v>
      </c>
      <c r="AE40" s="56">
        <f t="shared" si="17"/>
        <v>815829.5888073945</v>
      </c>
      <c r="AF40" s="64">
        <f>IFERROR(s_RadSpec!$G$4*AF4,".")*$B$40</f>
        <v>0</v>
      </c>
      <c r="AG40" s="64">
        <f>IFERROR(s_RadSpec!$J$4*AG4,".")*$B$40</f>
        <v>6.8096328892915056E-8</v>
      </c>
      <c r="AH40" s="73">
        <f t="shared" si="18"/>
        <v>0</v>
      </c>
      <c r="AI40" s="73">
        <f t="shared" si="18"/>
        <v>6.8096328892915056E-8</v>
      </c>
      <c r="AJ40" s="73">
        <f t="shared" si="19"/>
        <v>6.8096328892915056E-8</v>
      </c>
    </row>
    <row r="41" spans="1:36" x14ac:dyDescent="0.25">
      <c r="A41" s="55" t="s">
        <v>299</v>
      </c>
      <c r="B41" s="57">
        <v>0.99987999999999999</v>
      </c>
      <c r="C41" s="56">
        <f>IFERROR(C8/$B41,0)</f>
        <v>114692.99102368162</v>
      </c>
      <c r="D41" s="56">
        <f>IFERROR(D8/$B41,0)</f>
        <v>609872.65018786862</v>
      </c>
      <c r="E41" s="56">
        <f>IFERROR(E8/$B41,0)</f>
        <v>121.56752630365223</v>
      </c>
      <c r="F41" s="56">
        <f t="shared" si="20"/>
        <v>121.41463235099354</v>
      </c>
      <c r="G41" s="64">
        <f>IFERROR(s_RadSpec!$I$8*G8,".")*$B$41</f>
        <v>4.8438007853966504E-7</v>
      </c>
      <c r="H41" s="64">
        <f>IFERROR(s_RadSpec!$G$8*H8,".")*$B$41</f>
        <v>9.1092787949888451E-8</v>
      </c>
      <c r="I41" s="64">
        <f>IFERROR(s_RadSpec!$F$8*I8,".")*$B$41</f>
        <v>4.5698881674399055E-4</v>
      </c>
      <c r="J41" s="73">
        <f t="shared" si="10"/>
        <v>4.8438007853966504E-7</v>
      </c>
      <c r="K41" s="73">
        <f t="shared" si="10"/>
        <v>9.1092787949888451E-8</v>
      </c>
      <c r="L41" s="73">
        <f t="shared" si="10"/>
        <v>4.5698881674399055E-4</v>
      </c>
      <c r="M41" s="73">
        <f t="shared" si="14"/>
        <v>4.5756428961048011E-4</v>
      </c>
      <c r="N41" s="56">
        <f t="shared" ref="N41:AD41" si="27">IFERROR(N8/$B41,0)</f>
        <v>121.56752630365223</v>
      </c>
      <c r="O41" s="56">
        <f t="shared" si="27"/>
        <v>1029.4651762921865</v>
      </c>
      <c r="P41" s="56">
        <f t="shared" si="27"/>
        <v>268.97197591381763</v>
      </c>
      <c r="Q41" s="56">
        <f t="shared" si="27"/>
        <v>163.01390643575962</v>
      </c>
      <c r="R41" s="56">
        <f t="shared" si="27"/>
        <v>1866.739192270235</v>
      </c>
      <c r="S41" s="64">
        <f>IFERROR(s_RadSpec!$F$8*S8,".")*$B$41</f>
        <v>4.5698881674399055E-4</v>
      </c>
      <c r="T41" s="64">
        <f>IFERROR(s_RadSpec!$M$8*T8,".")*$B$41</f>
        <v>5.3964914286942488E-5</v>
      </c>
      <c r="U41" s="64">
        <f>IFERROR(s_RadSpec!$N$8*U8,".")*$B$41</f>
        <v>2.0654568124153054E-4</v>
      </c>
      <c r="V41" s="64">
        <f>IFERROR(s_RadSpec!$O$8*V8,".")*$B$41</f>
        <v>3.407991453900472E-4</v>
      </c>
      <c r="W41" s="64">
        <f>IFERROR(s_RadSpec!$K$8*W8,".")*$B$41</f>
        <v>2.9760450860002991E-5</v>
      </c>
      <c r="X41" s="73">
        <f t="shared" si="16"/>
        <v>4.5698881674399055E-4</v>
      </c>
      <c r="Y41" s="73">
        <f t="shared" si="12"/>
        <v>5.3964914286942488E-5</v>
      </c>
      <c r="Z41" s="73">
        <f t="shared" si="12"/>
        <v>2.0654568124153054E-4</v>
      </c>
      <c r="AA41" s="73">
        <f t="shared" si="12"/>
        <v>3.407991453900472E-4</v>
      </c>
      <c r="AB41" s="73">
        <f t="shared" si="12"/>
        <v>2.9760450860002991E-5</v>
      </c>
      <c r="AC41" s="56">
        <f t="shared" si="27"/>
        <v>1.9658378661459035</v>
      </c>
      <c r="AD41" s="56">
        <f t="shared" si="27"/>
        <v>1495.8670835302471</v>
      </c>
      <c r="AE41" s="56">
        <f t="shared" si="17"/>
        <v>1.9632577929876969</v>
      </c>
      <c r="AF41" s="64">
        <f>IFERROR(s_RadSpec!$G$8*AF8,".")*$B$41</f>
        <v>2.826021461725E-2</v>
      </c>
      <c r="AG41" s="64">
        <f>IFERROR(s_RadSpec!$J$8*AG8,".")*$B$41</f>
        <v>3.7138994909153403E-5</v>
      </c>
      <c r="AH41" s="73">
        <f t="shared" si="18"/>
        <v>2.7864629947285002E-2</v>
      </c>
      <c r="AI41" s="73">
        <f t="shared" si="18"/>
        <v>3.7138994909153403E-5</v>
      </c>
      <c r="AJ41" s="73">
        <f t="shared" si="19"/>
        <v>2.7900733407417166E-2</v>
      </c>
    </row>
    <row r="42" spans="1:36" x14ac:dyDescent="0.25">
      <c r="A42" s="55" t="s">
        <v>300</v>
      </c>
      <c r="B42" s="50">
        <v>0.97898250799999997</v>
      </c>
      <c r="C42" s="56">
        <f>IFERROR(C19/$B42,0)</f>
        <v>0</v>
      </c>
      <c r="D42" s="56">
        <f>IFERROR(D19/$B42,0)</f>
        <v>0</v>
      </c>
      <c r="E42" s="56">
        <f>IFERROR(E19/$B42,0)</f>
        <v>270053.8286321917</v>
      </c>
      <c r="F42" s="56">
        <f t="shared" si="20"/>
        <v>270053.8286321917</v>
      </c>
      <c r="G42" s="74">
        <f>IFERROR(s_RadSpec!$I$19*G19,".")*$B$42</f>
        <v>0</v>
      </c>
      <c r="H42" s="74">
        <f>IFERROR(s_RadSpec!$G$19*H19,".")*$B$42</f>
        <v>0</v>
      </c>
      <c r="I42" s="74">
        <f>IFERROR(s_RadSpec!$F$19*I19,".")*$B$42</f>
        <v>2.0571824617848645E-7</v>
      </c>
      <c r="J42" s="73">
        <f t="shared" si="10"/>
        <v>0</v>
      </c>
      <c r="K42" s="73">
        <f t="shared" si="10"/>
        <v>0</v>
      </c>
      <c r="L42" s="73">
        <f t="shared" si="10"/>
        <v>2.0571824617848645E-7</v>
      </c>
      <c r="M42" s="73">
        <f t="shared" si="14"/>
        <v>2.0571824617848645E-7</v>
      </c>
      <c r="N42" s="56">
        <f t="shared" ref="N42:AD42" si="28">IFERROR(N19/$B42,0)</f>
        <v>270053.8286321917</v>
      </c>
      <c r="O42" s="56">
        <f t="shared" si="28"/>
        <v>2678128.6623580623</v>
      </c>
      <c r="P42" s="56">
        <f t="shared" si="28"/>
        <v>659209.57306884322</v>
      </c>
      <c r="Q42" s="56">
        <f t="shared" si="28"/>
        <v>353045.22808270168</v>
      </c>
      <c r="R42" s="56">
        <f t="shared" si="28"/>
        <v>4739917.1246695956</v>
      </c>
      <c r="S42" s="74">
        <f>IFERROR(s_RadSpec!$F$19*S19,".")*$B$42</f>
        <v>2.0571824617848645E-7</v>
      </c>
      <c r="T42" s="74">
        <f>IFERROR(s_RadSpec!$M$19*T19,".")*$B$42</f>
        <v>2.0743962297571027E-8</v>
      </c>
      <c r="U42" s="74">
        <f>IFERROR(s_RadSpec!$N$19*U19,".")*$B$42</f>
        <v>8.4275171765744694E-8</v>
      </c>
      <c r="V42" s="74">
        <f>IFERROR(s_RadSpec!$O$19*V19,".")*$B$42</f>
        <v>1.5735944173981614E-7</v>
      </c>
      <c r="W42" s="74">
        <f>IFERROR(s_RadSpec!$K$19*W19,".")*$B$42</f>
        <v>1.1720669062093047E-8</v>
      </c>
      <c r="X42" s="73">
        <f t="shared" si="16"/>
        <v>2.0571824617848645E-7</v>
      </c>
      <c r="Y42" s="73">
        <f t="shared" si="12"/>
        <v>2.0743962297571027E-8</v>
      </c>
      <c r="Z42" s="73">
        <f t="shared" si="12"/>
        <v>8.4275171765744694E-8</v>
      </c>
      <c r="AA42" s="73">
        <f t="shared" si="12"/>
        <v>1.5735944173981614E-7</v>
      </c>
      <c r="AB42" s="73">
        <f t="shared" si="12"/>
        <v>1.1720669062093047E-8</v>
      </c>
      <c r="AC42" s="56">
        <f t="shared" si="28"/>
        <v>0</v>
      </c>
      <c r="AD42" s="56">
        <f t="shared" si="28"/>
        <v>5048376.2083323523</v>
      </c>
      <c r="AE42" s="56">
        <f t="shared" si="17"/>
        <v>5048376.2083323523</v>
      </c>
      <c r="AF42" s="74">
        <f>IFERROR(s_RadSpec!$G$19*AF19,".")*$B$42</f>
        <v>0</v>
      </c>
      <c r="AG42" s="74">
        <f>IFERROR(s_RadSpec!$J$19*AG19,".")*$B$42</f>
        <v>1.1004528527074977E-8</v>
      </c>
      <c r="AH42" s="73">
        <f t="shared" si="18"/>
        <v>0</v>
      </c>
      <c r="AI42" s="73">
        <f t="shared" si="18"/>
        <v>1.1004528527074977E-8</v>
      </c>
      <c r="AJ42" s="73">
        <f t="shared" si="19"/>
        <v>1.1004528527074977E-8</v>
      </c>
    </row>
    <row r="43" spans="1:36" x14ac:dyDescent="0.25">
      <c r="A43" s="55" t="s">
        <v>301</v>
      </c>
      <c r="B43" s="50">
        <v>2.0897492E-2</v>
      </c>
      <c r="C43" s="56">
        <f>IFERROR(C28/$B43,0)</f>
        <v>0</v>
      </c>
      <c r="D43" s="56">
        <f>IFERROR(D28/$B43,0)</f>
        <v>0</v>
      </c>
      <c r="E43" s="56">
        <f>IFERROR(E28/$B43,0)</f>
        <v>150.74226843438905</v>
      </c>
      <c r="F43" s="56">
        <f t="shared" si="20"/>
        <v>150.74226843438905</v>
      </c>
      <c r="G43" s="74">
        <f>IFERROR(s_RadSpec!$I$28*G28,".")*$B$43</f>
        <v>0</v>
      </c>
      <c r="H43" s="74">
        <f>IFERROR(s_RadSpec!$G$28*H28,".")*$B$43</f>
        <v>0</v>
      </c>
      <c r="I43" s="74">
        <f>IFERROR(s_RadSpec!$F$28*I28,".")*$B$43</f>
        <v>3.6854294801978813E-4</v>
      </c>
      <c r="J43" s="73">
        <f t="shared" si="10"/>
        <v>0</v>
      </c>
      <c r="K43" s="73">
        <f t="shared" si="10"/>
        <v>0</v>
      </c>
      <c r="L43" s="73">
        <f t="shared" si="10"/>
        <v>3.6854294801978813E-4</v>
      </c>
      <c r="M43" s="73">
        <f t="shared" si="14"/>
        <v>3.6854294801978813E-4</v>
      </c>
      <c r="N43" s="56">
        <f t="shared" ref="N43:AD43" si="29">IFERROR(N28/$B43,0)</f>
        <v>150.74226843438905</v>
      </c>
      <c r="O43" s="56">
        <f t="shared" si="29"/>
        <v>1820.726903145825</v>
      </c>
      <c r="P43" s="56">
        <f t="shared" si="29"/>
        <v>440.06565980517104</v>
      </c>
      <c r="Q43" s="56">
        <f t="shared" si="29"/>
        <v>239.4336852527656</v>
      </c>
      <c r="R43" s="56">
        <f t="shared" si="29"/>
        <v>3285.3225354562683</v>
      </c>
      <c r="S43" s="74">
        <f>IFERROR(s_RadSpec!$F$28*S28,".")*$B$43</f>
        <v>3.6854294801978813E-4</v>
      </c>
      <c r="T43" s="74">
        <f>IFERROR(s_RadSpec!$M$28*T28,".")*$B$43</f>
        <v>3.0512538648170079E-5</v>
      </c>
      <c r="U43" s="74">
        <f>IFERROR(s_RadSpec!$N$28*U28,".")*$B$43</f>
        <v>1.2624252486457518E-4</v>
      </c>
      <c r="V43" s="74">
        <f>IFERROR(s_RadSpec!$O$28*V28,".")*$B$43</f>
        <v>2.3202666718073371E-4</v>
      </c>
      <c r="W43" s="74">
        <f>IFERROR(s_RadSpec!$K$28*W28,".")*$B$43</f>
        <v>1.6910059636590431E-5</v>
      </c>
      <c r="X43" s="73">
        <f t="shared" si="16"/>
        <v>3.6854294801978813E-4</v>
      </c>
      <c r="Y43" s="73">
        <f t="shared" si="12"/>
        <v>3.0512538648170079E-5</v>
      </c>
      <c r="Z43" s="73">
        <f t="shared" si="12"/>
        <v>1.2624252486457518E-4</v>
      </c>
      <c r="AA43" s="73">
        <f t="shared" si="12"/>
        <v>2.3202666718073371E-4</v>
      </c>
      <c r="AB43" s="73">
        <f t="shared" si="12"/>
        <v>1.6910059636590431E-5</v>
      </c>
      <c r="AC43" s="56">
        <f t="shared" si="29"/>
        <v>0</v>
      </c>
      <c r="AD43" s="56">
        <f t="shared" si="29"/>
        <v>3980.1341468654027</v>
      </c>
      <c r="AE43" s="56">
        <f t="shared" si="17"/>
        <v>3980.1341468654027</v>
      </c>
      <c r="AF43" s="74">
        <f>IFERROR(s_RadSpec!$G$28*AF28,".")*$B$43</f>
        <v>0</v>
      </c>
      <c r="AG43" s="74">
        <f>IFERROR(s_RadSpec!$J$28*AG28,".")*$B$43</f>
        <v>1.3958072253356821E-5</v>
      </c>
      <c r="AH43" s="73">
        <f t="shared" si="18"/>
        <v>0</v>
      </c>
      <c r="AI43" s="73">
        <f t="shared" si="18"/>
        <v>1.3958072253356821E-5</v>
      </c>
      <c r="AJ43" s="73">
        <f t="shared" si="19"/>
        <v>1.3958072253356821E-5</v>
      </c>
    </row>
    <row r="44" spans="1:36" x14ac:dyDescent="0.25">
      <c r="A44" s="55" t="s">
        <v>302</v>
      </c>
      <c r="B44" s="50">
        <v>0.99987999999999999</v>
      </c>
      <c r="C44" s="56">
        <f>IFERROR(C15/$B44,0)</f>
        <v>297854.22214331856</v>
      </c>
      <c r="D44" s="56">
        <f>IFERROR(D15/$B44,0)</f>
        <v>217036530.31596744</v>
      </c>
      <c r="E44" s="56">
        <f>IFERROR(E15/$B44,0)</f>
        <v>0</v>
      </c>
      <c r="F44" s="56">
        <f t="shared" si="20"/>
        <v>297446.01642917376</v>
      </c>
      <c r="G44" s="64">
        <f>IFERROR(s_RadSpec!$I$15*G15,".")*$B$44</f>
        <v>1.8651741647385001E-7</v>
      </c>
      <c r="H44" s="64">
        <f>IFERROR(s_RadSpec!$G$15*H15,".")*$B$44</f>
        <v>2.5597073413918655E-10</v>
      </c>
      <c r="I44" s="64">
        <f>IFERROR(s_RadSpec!$F$15*I15,".")*$B$44</f>
        <v>0</v>
      </c>
      <c r="J44" s="73">
        <f t="shared" si="10"/>
        <v>1.8651741647385001E-7</v>
      </c>
      <c r="K44" s="73">
        <f t="shared" si="10"/>
        <v>2.5597073413918655E-10</v>
      </c>
      <c r="L44" s="73">
        <f t="shared" si="10"/>
        <v>0</v>
      </c>
      <c r="M44" s="73">
        <f t="shared" si="14"/>
        <v>1.8677338720798918E-7</v>
      </c>
      <c r="N44" s="56">
        <f t="shared" ref="N44:AD44" si="30">IFERROR(N15/$B44,0)</f>
        <v>0</v>
      </c>
      <c r="O44" s="56">
        <f t="shared" si="30"/>
        <v>0</v>
      </c>
      <c r="P44" s="56">
        <f t="shared" si="30"/>
        <v>0</v>
      </c>
      <c r="Q44" s="56">
        <f t="shared" si="30"/>
        <v>0</v>
      </c>
      <c r="R44" s="56">
        <f t="shared" si="30"/>
        <v>0</v>
      </c>
      <c r="S44" s="64">
        <f>IFERROR(s_RadSpec!$F$15*S15,".")*$B$44</f>
        <v>0</v>
      </c>
      <c r="T44" s="64">
        <f>IFERROR(s_RadSpec!$M$15*T15,".")*$B$44</f>
        <v>0</v>
      </c>
      <c r="U44" s="64">
        <f>IFERROR(s_RadSpec!$N$15*U15,".")*$B$44</f>
        <v>0</v>
      </c>
      <c r="V44" s="64">
        <f>IFERROR(s_RadSpec!$O$15*V15,".")*$B$44</f>
        <v>0</v>
      </c>
      <c r="W44" s="64">
        <f>IFERROR(s_RadSpec!$K$15*W15,".")*$B$44</f>
        <v>0</v>
      </c>
      <c r="X44" s="73">
        <f t="shared" si="16"/>
        <v>0</v>
      </c>
      <c r="Y44" s="73">
        <f t="shared" si="12"/>
        <v>0</v>
      </c>
      <c r="Z44" s="73">
        <f t="shared" si="12"/>
        <v>0</v>
      </c>
      <c r="AA44" s="73">
        <f t="shared" si="12"/>
        <v>0</v>
      </c>
      <c r="AB44" s="73">
        <f t="shared" si="12"/>
        <v>0</v>
      </c>
      <c r="AC44" s="56">
        <f t="shared" si="30"/>
        <v>699.58642923341756</v>
      </c>
      <c r="AD44" s="56">
        <f t="shared" si="30"/>
        <v>467202.3219793099</v>
      </c>
      <c r="AE44" s="56">
        <f t="shared" si="17"/>
        <v>698.54043826143766</v>
      </c>
      <c r="AF44" s="64">
        <f>IFERROR(s_RadSpec!$G$15*AF15,".")*$B$44</f>
        <v>7.941120307447251E-5</v>
      </c>
      <c r="AG44" s="64">
        <f>IFERROR(s_RadSpec!$J$15*AG15,".")*$B$44</f>
        <v>1.1890993984071047E-7</v>
      </c>
      <c r="AH44" s="73">
        <f t="shared" si="18"/>
        <v>7.941120307447251E-5</v>
      </c>
      <c r="AI44" s="73">
        <f t="shared" si="18"/>
        <v>1.1890993984071047E-7</v>
      </c>
      <c r="AJ44" s="73">
        <f t="shared" si="19"/>
        <v>7.9530113014313219E-5</v>
      </c>
    </row>
    <row r="45" spans="1:36" x14ac:dyDescent="0.25">
      <c r="A45" s="52" t="s">
        <v>20</v>
      </c>
      <c r="B45" s="52" t="s">
        <v>289</v>
      </c>
      <c r="C45" s="53">
        <f>IFERROR(IF(AND(C46&lt;&gt;0,C47&lt;&gt;0),1/SUM(1/C46,1/C47),IF(AND(C46&lt;&gt;0,C47=0),1/(1/C46),IF(AND(C46=0,C47&lt;&gt;0),1/(1/C47),IF(AND(C46=0,C47=0),".")))),".")</f>
        <v>1144.1222151350205</v>
      </c>
      <c r="D45" s="53">
        <f t="shared" ref="D45:F45" si="31">IFERROR(IF(AND(D46&lt;&gt;0,D47&lt;&gt;0),1/SUM(1/D46,1/D47),IF(AND(D46&lt;&gt;0,D47=0),1/(1/D46),IF(AND(D46=0,D47&lt;&gt;0),1/(1/D47),IF(AND(D46=0,D47=0),".")))),".")</f>
        <v>401183.85886174074</v>
      </c>
      <c r="E45" s="53">
        <f t="shared" si="31"/>
        <v>20.925344343516532</v>
      </c>
      <c r="F45" s="54">
        <f t="shared" si="31"/>
        <v>20.548453042298625</v>
      </c>
      <c r="G45" s="71"/>
      <c r="H45" s="71"/>
      <c r="I45" s="71"/>
      <c r="J45" s="72">
        <f>IFERROR(IF(SUM(G46:G47)&gt;0.01,1-EXP(-SUM(G46:G47)),SUM(G46:G47)),".")</f>
        <v>4.8556875537499997E-5</v>
      </c>
      <c r="K45" s="72">
        <f>IFERROR(IF(SUM(H46:H47)&gt;0.01,1-EXP(-SUM(H46:H47)),SUM(H46:H47)),".")</f>
        <v>1.3847765500243074E-7</v>
      </c>
      <c r="L45" s="72">
        <f>IFERROR(IF(SUM(I46:I47)&gt;0.01,1-EXP(-SUM(I46:I47)),SUM(I46:I47)),".")</f>
        <v>2.6549144944997306E-3</v>
      </c>
      <c r="M45" s="72">
        <f>IFERROR(IF(SUM(G46:I47)&gt;0.01,1-EXP(-SUM(G46:I47)),SUM(G46:I47)),".")</f>
        <v>2.7036098476922333E-3</v>
      </c>
      <c r="N45" s="53">
        <f t="shared" ref="N45:AE45" si="32">IFERROR(IF(AND(N46&lt;&gt;0,N47&lt;&gt;0),1/SUM(1/N46,1/N47),IF(AND(N46&lt;&gt;0,N47=0),1/(1/N46),IF(AND(N46=0,N47&lt;&gt;0),1/(1/N47),IF(AND(N46=0,N47=0),".")))),".")</f>
        <v>20.925344343516532</v>
      </c>
      <c r="O45" s="53">
        <f t="shared" si="32"/>
        <v>191.61696474794888</v>
      </c>
      <c r="P45" s="53">
        <f t="shared" si="32"/>
        <v>48.021874446199789</v>
      </c>
      <c r="Q45" s="53">
        <f t="shared" si="32"/>
        <v>25.611508764563411</v>
      </c>
      <c r="R45" s="53">
        <f t="shared" si="32"/>
        <v>328.49974006183709</v>
      </c>
      <c r="S45" s="71"/>
      <c r="T45" s="71"/>
      <c r="U45" s="71"/>
      <c r="V45" s="71"/>
      <c r="W45" s="71"/>
      <c r="X45" s="72">
        <f>IFERROR(IF(SUM(S46:S47)&gt;0.01,1-EXP(-SUM(S46:S47)),SUM(S46:S47)),".")</f>
        <v>2.6549144944997306E-3</v>
      </c>
      <c r="Y45" s="72">
        <f t="shared" ref="Y45:AB45" si="33">IFERROR(IF(SUM(T46:T47)&gt;0.01,1-EXP(-SUM(T46:T47)),SUM(T46:T47)),".")</f>
        <v>2.8992735623944619E-4</v>
      </c>
      <c r="Z45" s="72">
        <f t="shared" si="33"/>
        <v>1.1568686279049719E-3</v>
      </c>
      <c r="AA45" s="72">
        <f t="shared" si="33"/>
        <v>2.1691420255907368E-3</v>
      </c>
      <c r="AB45" s="72">
        <f t="shared" si="33"/>
        <v>1.6911733321171659E-4</v>
      </c>
      <c r="AC45" s="53">
        <f t="shared" si="32"/>
        <v>1.29315918789603</v>
      </c>
      <c r="AD45" s="53">
        <f t="shared" si="32"/>
        <v>334.26324663385128</v>
      </c>
      <c r="AE45" s="54">
        <f t="shared" si="32"/>
        <v>1.2881756421903692</v>
      </c>
      <c r="AF45" s="71"/>
      <c r="AG45" s="71"/>
      <c r="AH45" s="72">
        <f>IFERROR(IF(SUM(AF46:AF47)&gt;0.01,1-EXP(-SUM(AF46:AF47)),SUM(AF46:AF47)),".")</f>
        <v>4.2050945553530394E-2</v>
      </c>
      <c r="AI45" s="72">
        <f>IFERROR(IF(SUM(AG46:AG47)&gt;0.01,1-EXP(-SUM(AG46:AG47)),SUM(AG46:AG47)),".")</f>
        <v>1.6620134148596482E-4</v>
      </c>
      <c r="AJ45" s="72">
        <f>IFERROR(IF(SUM(AF46:AG47)&gt;0.01,1-EXP(-SUM(AF46:AG47)),SUM(AF46:AG47)),".")</f>
        <v>4.2210144741528843E-2</v>
      </c>
    </row>
    <row r="46" spans="1:36" x14ac:dyDescent="0.25">
      <c r="A46" s="55" t="s">
        <v>303</v>
      </c>
      <c r="B46" s="50">
        <v>1</v>
      </c>
      <c r="C46" s="56">
        <f>IFERROR(C10/$B46,0)</f>
        <v>1144.1222151350205</v>
      </c>
      <c r="D46" s="56">
        <f>IFERROR(D10/$B46,0)</f>
        <v>401183.85886174068</v>
      </c>
      <c r="E46" s="56">
        <f>IFERROR(E10/$B46,0)</f>
        <v>112607.97336539716</v>
      </c>
      <c r="F46" s="56">
        <f t="shared" si="20"/>
        <v>1129.4260233584521</v>
      </c>
      <c r="G46" s="64">
        <f>IFERROR(s_RadSpec!$I$10*G10,".")*$B$46</f>
        <v>4.8556875537499997E-5</v>
      </c>
      <c r="H46" s="64">
        <f>IFERROR(s_RadSpec!$G$10*H10,".")*$B$46</f>
        <v>1.3847765500243074E-7</v>
      </c>
      <c r="I46" s="64">
        <f>IFERROR(s_RadSpec!$F$10*I10,".")*$B$46</f>
        <v>4.9334872424825332E-7</v>
      </c>
      <c r="J46" s="73">
        <f t="shared" ref="J46:L47" si="34">IFERROR(IF(G46&gt;0.01,1-EXP(-G46),G46),".")</f>
        <v>4.8556875537499997E-5</v>
      </c>
      <c r="K46" s="73">
        <f t="shared" si="34"/>
        <v>1.3847765500243074E-7</v>
      </c>
      <c r="L46" s="73">
        <f t="shared" si="34"/>
        <v>4.9334872424825332E-7</v>
      </c>
      <c r="M46" s="73">
        <f t="shared" ref="M46:M47" si="35">IFERROR(IF(SUM(G46:I46)&gt;0.01,1-EXP(-SUM(G46:I46)),SUM(G46:I46)),".")</f>
        <v>4.9188701916750679E-5</v>
      </c>
      <c r="N46" s="56">
        <f t="shared" ref="N46:AD46" si="36">IFERROR(N10/$B46,0)</f>
        <v>112607.97336539716</v>
      </c>
      <c r="O46" s="56">
        <f t="shared" si="36"/>
        <v>503633.43522334518</v>
      </c>
      <c r="P46" s="56">
        <f t="shared" si="36"/>
        <v>163193.82147996814</v>
      </c>
      <c r="Q46" s="56">
        <f t="shared" si="36"/>
        <v>116834.41009563266</v>
      </c>
      <c r="R46" s="56">
        <f t="shared" si="36"/>
        <v>294362.65840635524</v>
      </c>
      <c r="S46" s="64">
        <f>IFERROR(s_RadSpec!$F$10*S10,".")*$B46</f>
        <v>4.9334872424825332E-7</v>
      </c>
      <c r="T46" s="64">
        <f>IFERROR(s_RadSpec!$M$10*T10,".")*$B46</f>
        <v>1.1030840312530708E-7</v>
      </c>
      <c r="U46" s="64">
        <f>IFERROR(s_RadSpec!$N$10*U10,".")*$B46</f>
        <v>3.4042342716276984E-7</v>
      </c>
      <c r="V46" s="64">
        <f>IFERROR(s_RadSpec!$O$10*V10,".")*$B46</f>
        <v>4.7550203706704612E-7</v>
      </c>
      <c r="W46" s="64">
        <f>IFERROR(s_RadSpec!$K$10*W10,".")*$B46</f>
        <v>1.88729780811086E-7</v>
      </c>
      <c r="X46" s="73">
        <f t="shared" ref="X46:AB47" si="37">IFERROR(IF(S46&gt;0.01,1-EXP(-S46),S46),".")</f>
        <v>4.9334872424825332E-7</v>
      </c>
      <c r="Y46" s="73">
        <f t="shared" si="37"/>
        <v>1.1030840312530708E-7</v>
      </c>
      <c r="Z46" s="73">
        <f t="shared" si="37"/>
        <v>3.4042342716276984E-7</v>
      </c>
      <c r="AA46" s="73">
        <f t="shared" si="37"/>
        <v>4.7550203706704612E-7</v>
      </c>
      <c r="AB46" s="73">
        <f t="shared" si="37"/>
        <v>1.88729780811086E-7</v>
      </c>
      <c r="AC46" s="56">
        <f t="shared" si="36"/>
        <v>1.29315918789603</v>
      </c>
      <c r="AD46" s="56">
        <f t="shared" si="36"/>
        <v>490671.60880790063</v>
      </c>
      <c r="AE46" s="56">
        <f t="shared" ref="AE46:AE47" si="38">IFERROR(IF(AND(AC46&lt;&gt;0,AD46&lt;&gt;0),1/((1/AC46)+(1/AD46)),IF(AND(AC46&lt;&gt;0,AD46=0),1/((1/AC46)),IF(AND(AC46=0,AD46&lt;&gt;0),1/((1/AD46)),IF(AND(AC46=0,AD46=0),0)))),0)</f>
        <v>1.2931557797993558</v>
      </c>
      <c r="AF46" s="64">
        <f>IFERROR(s_RadSpec!$G$10*AF10,".")*$B$46</f>
        <v>4.29606815E-2</v>
      </c>
      <c r="AG46" s="64">
        <f>IFERROR(s_RadSpec!$J$10*AG10,".")*$B$46</f>
        <v>1.1322236502530136E-7</v>
      </c>
      <c r="AH46" s="73">
        <f>IFERROR(IF(AF46&gt;0.01,1-EXP(-AF46),AF46),".")</f>
        <v>4.2050945553530394E-2</v>
      </c>
      <c r="AI46" s="73">
        <f>IFERROR(IF(AG46&gt;0.01,1-EXP(-AG46),AG46),".")</f>
        <v>1.1322236502530136E-7</v>
      </c>
      <c r="AJ46" s="73">
        <f>IFERROR(IF(SUM(AF46:AG46)&gt;0.01,1-EXP(-SUM(AF46:AG46)),SUM(AF46:AG46)),".")</f>
        <v>4.2051054014781708E-2</v>
      </c>
    </row>
    <row r="47" spans="1:36" x14ac:dyDescent="0.25">
      <c r="A47" s="55" t="s">
        <v>304</v>
      </c>
      <c r="B47" s="58">
        <v>0.94399</v>
      </c>
      <c r="C47" s="56">
        <f>IFERROR(C6/$B$47,0)</f>
        <v>0</v>
      </c>
      <c r="D47" s="56">
        <f>IFERROR(D6/$B$47,0)</f>
        <v>0</v>
      </c>
      <c r="E47" s="56">
        <f>IFERROR(E6/$B$47,0)</f>
        <v>20.929233512329386</v>
      </c>
      <c r="F47" s="56">
        <f t="shared" si="20"/>
        <v>20.929233512329386</v>
      </c>
      <c r="G47" s="64">
        <f>IFERROR(s_RadSpec!$I$6*G6,".")*$B$47</f>
        <v>0</v>
      </c>
      <c r="H47" s="64">
        <f>IFERROR(s_RadSpec!$G$6*H6,".")*$B$47</f>
        <v>0</v>
      </c>
      <c r="I47" s="64">
        <f>IFERROR(s_RadSpec!$F$6*I6,".")*$B$47</f>
        <v>2.6544211457754825E-3</v>
      </c>
      <c r="J47" s="73">
        <f t="shared" si="34"/>
        <v>0</v>
      </c>
      <c r="K47" s="73">
        <f t="shared" si="34"/>
        <v>0</v>
      </c>
      <c r="L47" s="73">
        <f t="shared" si="34"/>
        <v>2.6544211457754825E-3</v>
      </c>
      <c r="M47" s="73">
        <f t="shared" si="35"/>
        <v>2.6544211457754825E-3</v>
      </c>
      <c r="N47" s="56">
        <f t="shared" ref="N47:AD47" si="39">IFERROR(N6/$B$47,0)</f>
        <v>20.929233512329386</v>
      </c>
      <c r="O47" s="56">
        <f t="shared" si="39"/>
        <v>191.68989683234784</v>
      </c>
      <c r="P47" s="56">
        <f t="shared" si="39"/>
        <v>48.036009657960697</v>
      </c>
      <c r="Q47" s="56">
        <f t="shared" si="39"/>
        <v>25.617124346515567</v>
      </c>
      <c r="R47" s="56">
        <f t="shared" si="39"/>
        <v>328.8667453094933</v>
      </c>
      <c r="S47" s="64">
        <f>IFERROR(s_RadSpec!$F$6*S6,".")*$B47</f>
        <v>2.6544211457754825E-3</v>
      </c>
      <c r="T47" s="64">
        <f>IFERROR(s_RadSpec!$M$6*T6,".")*$B47</f>
        <v>2.8981704783632089E-4</v>
      </c>
      <c r="U47" s="64">
        <f>IFERROR(s_RadSpec!$N$6*U6,".")*$B47</f>
        <v>1.156528204477809E-3</v>
      </c>
      <c r="V47" s="64">
        <f>IFERROR(s_RadSpec!$O$6*V6,".")*$B47</f>
        <v>2.1686665235536697E-3</v>
      </c>
      <c r="W47" s="64">
        <f>IFERROR(s_RadSpec!$K$6*W6,".")*$B47</f>
        <v>1.689286034309055E-4</v>
      </c>
      <c r="X47" s="73">
        <f t="shared" si="37"/>
        <v>2.6544211457754825E-3</v>
      </c>
      <c r="Y47" s="73">
        <f t="shared" si="37"/>
        <v>2.8981704783632089E-4</v>
      </c>
      <c r="Z47" s="73">
        <f t="shared" si="37"/>
        <v>1.156528204477809E-3</v>
      </c>
      <c r="AA47" s="73">
        <f t="shared" si="37"/>
        <v>2.1686665235536697E-3</v>
      </c>
      <c r="AB47" s="73">
        <f t="shared" si="37"/>
        <v>1.689286034309055E-4</v>
      </c>
      <c r="AC47" s="56">
        <f t="shared" si="39"/>
        <v>0</v>
      </c>
      <c r="AD47" s="56">
        <f t="shared" si="39"/>
        <v>334.49111407870663</v>
      </c>
      <c r="AE47" s="56">
        <f t="shared" si="38"/>
        <v>334.49111407870663</v>
      </c>
      <c r="AF47" s="64">
        <f>IFERROR(s_RadSpec!$G$6*AF6,".")*$B$47</f>
        <v>0</v>
      </c>
      <c r="AG47" s="64">
        <f>IFERROR(s_RadSpec!$J$6*AG6,".")*$B$47</f>
        <v>1.6608811912093951E-4</v>
      </c>
      <c r="AH47" s="73">
        <f>IFERROR(IF(AF47&gt;0.01,1-EXP(-AF47),AF47),".")</f>
        <v>0</v>
      </c>
      <c r="AI47" s="73">
        <f>IFERROR(IF(AG47&gt;0.01,1-EXP(-AG47),AG47),".")</f>
        <v>1.6608811912093951E-4</v>
      </c>
      <c r="AJ47" s="73">
        <f>IFERROR(IF(SUM(AF47:AG47)&gt;0.01,1-EXP(-SUM(AF47:AG47)),SUM(AF47:AG47)),".")</f>
        <v>1.6608811912093951E-4</v>
      </c>
    </row>
    <row r="48" spans="1:36" x14ac:dyDescent="0.25">
      <c r="A48" s="52" t="s">
        <v>33</v>
      </c>
      <c r="B48" s="52" t="s">
        <v>289</v>
      </c>
      <c r="C48" s="53">
        <f>1/SUM(1/C49,1/C52,1/C54,1/C58,1/C59,1/C61)</f>
        <v>15.582469539659469</v>
      </c>
      <c r="D48" s="53">
        <f>1/SUM(1/D49,1/D50,1/D51,1/D52,1/D54,1/D58,1/D59,1/D61)</f>
        <v>762.96119979845787</v>
      </c>
      <c r="E48" s="53">
        <f>1/SUM(1/E49,1/E50,1/E52,1/E54,1/E55,1/E56,1/E57,1/E58,1/E59,1/E60,1/E61,1/E62)</f>
        <v>4.2021341668100183</v>
      </c>
      <c r="F48" s="54">
        <f>1/SUM(1/F49,1/F50,1/F51,1/F52,1/F54,1/F55,1/F56,1/F57,1/F58,1/F59,1/F60,1/F61,1/F62)</f>
        <v>3.2953307236925973</v>
      </c>
      <c r="G48" s="71"/>
      <c r="H48" s="71"/>
      <c r="I48" s="71"/>
      <c r="J48" s="72">
        <f>IFERROR(IF(SUM(G49:G62)&gt;0.01,1-EXP(-SUM(G49:G62)),SUM(G49:G62)),".")</f>
        <v>3.565224360529317E-3</v>
      </c>
      <c r="K48" s="72">
        <f>IFERROR(IF(SUM(H49:H62)&gt;0.01,1-EXP(-SUM(H49:H62)),SUM(H49:H62)),".")</f>
        <v>7.2814974096553362E-5</v>
      </c>
      <c r="L48" s="72">
        <f>IFERROR(IF(SUM(I49:I62)&gt;0.01,1-EXP(-SUM(I49:I62)),SUM(I49:I62)),".")</f>
        <v>1.3133653966748926E-2</v>
      </c>
      <c r="M48" s="72">
        <f>IFERROR(IF(SUM(G49:I62)&gt;0.01,1-EXP(-SUM(G49:I62)),SUM(G49:I62)),".")</f>
        <v>1.6717389713171604E-2</v>
      </c>
      <c r="N48" s="53">
        <f t="shared" ref="N48:R48" si="40">1/SUM(1/N49,1/N50,1/N52,1/N54,1/N55,1/N56,1/N57,1/N58,1/N59,1/N60,1/N61,1/N62)</f>
        <v>4.2021341668100183</v>
      </c>
      <c r="O48" s="53">
        <f t="shared" si="40"/>
        <v>46.524521648795869</v>
      </c>
      <c r="P48" s="53">
        <f t="shared" si="40"/>
        <v>11.470844987871402</v>
      </c>
      <c r="Q48" s="53">
        <f t="shared" si="40"/>
        <v>5.9259741788349594</v>
      </c>
      <c r="R48" s="53">
        <f t="shared" si="40"/>
        <v>85.306265758267216</v>
      </c>
      <c r="S48" s="71"/>
      <c r="T48" s="71"/>
      <c r="U48" s="71"/>
      <c r="V48" s="71"/>
      <c r="W48" s="71"/>
      <c r="X48" s="72">
        <f>IFERROR(IF(SUM(S49:S62)&gt;0.01,1-EXP(-SUM(S49:S62)),SUM(S49:S62)),".")</f>
        <v>1.3133653966748926E-2</v>
      </c>
      <c r="Y48" s="72">
        <f t="shared" ref="Y48:AB48" si="41">IFERROR(IF(SUM(T49:T62)&gt;0.01,1-EXP(-SUM(T49:T62)),SUM(T49:T62)),".")</f>
        <v>1.1941014766228733E-3</v>
      </c>
      <c r="Z48" s="72">
        <f t="shared" si="41"/>
        <v>4.8431480033720806E-3</v>
      </c>
      <c r="AA48" s="72">
        <f t="shared" si="41"/>
        <v>9.3748299137749579E-3</v>
      </c>
      <c r="AB48" s="72">
        <f t="shared" si="41"/>
        <v>6.5124172891855897E-4</v>
      </c>
      <c r="AC48" s="53">
        <f>1/SUM(1/AC49,1/AC50,1/AC51,1/AC52,1/AC54,1/AC58,1/AC59,1/AC61)</f>
        <v>2.4592970622668428E-3</v>
      </c>
      <c r="AD48" s="53">
        <f t="shared" ref="AD48:AE48" si="42">1/SUM(1/AD49,1/AD50,1/AD51,1/AD52,1/AD53,1/AD54,1/AD55,1/AD56,1/AD57,1/AD58,1/AD59,1/AD60,1/AD61,1/AD62)</f>
        <v>102.7300960185574</v>
      </c>
      <c r="AE48" s="54">
        <f t="shared" si="42"/>
        <v>2.4592381895753002E-3</v>
      </c>
      <c r="AF48" s="71"/>
      <c r="AG48" s="71"/>
      <c r="AH48" s="72">
        <f>IFERROR(IF(SUM(AF49:AF62)&gt;0.01,1-EXP(-SUM(AF49:AF62)),SUM(AF49:AF62)),".")</f>
        <v>0.99999999984533938</v>
      </c>
      <c r="AI48" s="72">
        <f>IFERROR(IF(SUM(AG49:AG62)&gt;0.01,1-EXP(-SUM(AG49:AG62)),SUM(AG49:AG62)),".")</f>
        <v>5.4078602233530886E-4</v>
      </c>
      <c r="AJ48" s="72">
        <f>IFERROR(IF(SUM(AF49:AG62)&gt;0.01,1-EXP(-SUM(AF49:AG62)),SUM(AF49:AG62)),".")</f>
        <v>0.99999999984542309</v>
      </c>
    </row>
    <row r="49" spans="1:36" x14ac:dyDescent="0.25">
      <c r="A49" s="55" t="s">
        <v>305</v>
      </c>
      <c r="B49" s="50">
        <v>1</v>
      </c>
      <c r="C49" s="56">
        <f>IFERROR(C23/$B49,0)</f>
        <v>123.46746015087723</v>
      </c>
      <c r="D49" s="56">
        <f>IFERROR(D23/$B49,0)</f>
        <v>1602.6267160836946</v>
      </c>
      <c r="E49" s="56">
        <f>IFERROR(E23/$B49,0)</f>
        <v>1751.0851899855995</v>
      </c>
      <c r="F49" s="56">
        <f t="shared" si="20"/>
        <v>107.59224616150827</v>
      </c>
      <c r="G49" s="64">
        <f>IFERROR(s_RadSpec!$I$23*G23,".")*$B$49</f>
        <v>4.499566115E-4</v>
      </c>
      <c r="H49" s="64">
        <f>IFERROR(s_RadSpec!$G$23*H23,".")*$B$49</f>
        <v>3.4664965610805852E-5</v>
      </c>
      <c r="I49" s="64">
        <f>IFERROR(s_RadSpec!$F$23*I23,".")*$B$49</f>
        <v>3.1726040696202146E-5</v>
      </c>
      <c r="J49" s="73">
        <f t="shared" ref="J49:L62" si="43">IFERROR(IF(G49&gt;0.01,1-EXP(-G49),G49),".")</f>
        <v>4.499566115E-4</v>
      </c>
      <c r="K49" s="73">
        <f t="shared" si="43"/>
        <v>3.4664965610805852E-5</v>
      </c>
      <c r="L49" s="73">
        <f t="shared" si="43"/>
        <v>3.1726040696202146E-5</v>
      </c>
      <c r="M49" s="73">
        <f t="shared" ref="M49:M62" si="44">IFERROR(IF(SUM(G49:I49)&gt;0.01,1-EXP(-SUM(G49:I49)),SUM(G49:I49)),".")</f>
        <v>5.1634761780700793E-4</v>
      </c>
      <c r="N49" s="56">
        <f t="shared" ref="N49:AD49" si="45">IFERROR(N23/$B49,0)</f>
        <v>1751.0851899855995</v>
      </c>
      <c r="O49" s="56">
        <f t="shared" si="45"/>
        <v>12297.758488276284</v>
      </c>
      <c r="P49" s="56">
        <f t="shared" si="45"/>
        <v>3180.5402407971865</v>
      </c>
      <c r="Q49" s="56">
        <f t="shared" si="45"/>
        <v>1855.7019820643254</v>
      </c>
      <c r="R49" s="56">
        <f t="shared" si="45"/>
        <v>19626.35553501004</v>
      </c>
      <c r="S49" s="64">
        <f>IFERROR(s_RadSpec!$F$23*S23,".")*$B$49</f>
        <v>3.1726040696202146E-5</v>
      </c>
      <c r="T49" s="64">
        <f>IFERROR(s_RadSpec!$M$23*T23,".")*$B$49</f>
        <v>4.5174899192370505E-6</v>
      </c>
      <c r="U49" s="64">
        <f>IFERROR(s_RadSpec!$N$23*U23,".")*$B$49</f>
        <v>1.7467158342280684E-5</v>
      </c>
      <c r="V49" s="64">
        <f>IFERROR(s_RadSpec!$O$23*V23,".")*$B$49</f>
        <v>2.9937457919939995E-5</v>
      </c>
      <c r="W49" s="64">
        <f>IFERROR(s_RadSpec!$K$23*W23,".")*$B$49</f>
        <v>2.8306325084603427E-6</v>
      </c>
      <c r="X49" s="73">
        <f t="shared" ref="X49:AB62" si="46">IFERROR(IF(S49&gt;0.01,1-EXP(-S49),S49),".")</f>
        <v>3.1726040696202146E-5</v>
      </c>
      <c r="Y49" s="73">
        <f t="shared" si="46"/>
        <v>4.5174899192370505E-6</v>
      </c>
      <c r="Z49" s="73">
        <f t="shared" si="46"/>
        <v>1.7467158342280684E-5</v>
      </c>
      <c r="AA49" s="73">
        <f t="shared" si="46"/>
        <v>2.9937457919939995E-5</v>
      </c>
      <c r="AB49" s="73">
        <f t="shared" si="46"/>
        <v>2.8306325084603427E-6</v>
      </c>
      <c r="AC49" s="56">
        <f t="shared" si="45"/>
        <v>5.1658395942232992E-3</v>
      </c>
      <c r="AD49" s="56">
        <f t="shared" si="45"/>
        <v>27952.194108318923</v>
      </c>
      <c r="AE49" s="56">
        <f t="shared" ref="AE49:AE62" si="47">IFERROR(IF(AND(AC49&lt;&gt;0,AD49&lt;&gt;0),1/((1/AC49)+(1/AD49)),IF(AND(AC49&lt;&gt;0,AD49=0),1/((1/AC49)),IF(AND(AC49=0,AD49&lt;&gt;0),1/((1/AD49)),IF(AND(AC49=0,AD49=0),0)))),0)</f>
        <v>5.165838639525658E-3</v>
      </c>
      <c r="AF49" s="64">
        <f>IFERROR(s_RadSpec!$G$23*AF23,".")*$B$49</f>
        <v>10.754302178125</v>
      </c>
      <c r="AG49" s="64">
        <f>IFERROR(s_RadSpec!$J$23*AG23,".")*$B$49</f>
        <v>1.9875005083578081E-6</v>
      </c>
      <c r="AH49" s="73">
        <f t="shared" ref="AH49:AI62" si="48">IFERROR(IF(AF49&gt;0.01,1-EXP(-AF49),AF49),".")</f>
        <v>0.99997864665547054</v>
      </c>
      <c r="AI49" s="73">
        <f t="shared" si="48"/>
        <v>1.9875005083578081E-6</v>
      </c>
      <c r="AJ49" s="73">
        <f t="shared" ref="AJ49:AJ62" si="49">IFERROR(IF(SUM(AF49:AG49)&gt;0.01,1-EXP(-SUM(AF49:AG49)),SUM(AF49:AG49)),".")</f>
        <v>0.99997864669791026</v>
      </c>
    </row>
    <row r="50" spans="1:36" x14ac:dyDescent="0.25">
      <c r="A50" s="55" t="s">
        <v>306</v>
      </c>
      <c r="B50" s="50">
        <v>1</v>
      </c>
      <c r="C50" s="56">
        <f>IFERROR(C25/$B50,0)</f>
        <v>0</v>
      </c>
      <c r="D50" s="56">
        <f>IFERROR(D25/$B50,0)</f>
        <v>19791737.037179209</v>
      </c>
      <c r="E50" s="56">
        <f>IFERROR(E25/$B50,0)</f>
        <v>37780.558717240368</v>
      </c>
      <c r="F50" s="56">
        <f t="shared" si="20"/>
        <v>37708.576602189707</v>
      </c>
      <c r="G50" s="64">
        <f>IFERROR(s_RadSpec!$I$25*G25,".")*$B$50</f>
        <v>0</v>
      </c>
      <c r="H50" s="64">
        <f>IFERROR(s_RadSpec!$G$25*H25,".")*$B$50</f>
        <v>2.8069794932925148E-9</v>
      </c>
      <c r="I50" s="64">
        <f>IFERROR(s_RadSpec!$F$25*I25,".")*$B$50</f>
        <v>1.4704652838987429E-6</v>
      </c>
      <c r="J50" s="73">
        <f t="shared" si="43"/>
        <v>0</v>
      </c>
      <c r="K50" s="73">
        <f t="shared" si="43"/>
        <v>2.8069794932925148E-9</v>
      </c>
      <c r="L50" s="73">
        <f t="shared" si="43"/>
        <v>1.4704652838987429E-6</v>
      </c>
      <c r="M50" s="73">
        <f t="shared" si="44"/>
        <v>1.4732722633920354E-6</v>
      </c>
      <c r="N50" s="56">
        <f t="shared" ref="N50:AD50" si="50">IFERROR(N25/$B50,0)</f>
        <v>37780.558717240368</v>
      </c>
      <c r="O50" s="56">
        <f t="shared" si="50"/>
        <v>321017.19255572004</v>
      </c>
      <c r="P50" s="56">
        <f t="shared" si="50"/>
        <v>81597.529065042079</v>
      </c>
      <c r="Q50" s="56">
        <f t="shared" si="50"/>
        <v>47604.832445548098</v>
      </c>
      <c r="R50" s="56">
        <f t="shared" si="50"/>
        <v>586292.14665968216</v>
      </c>
      <c r="S50" s="64">
        <f>IFERROR(s_RadSpec!$F$25*S25,".")*$B$50</f>
        <v>1.4704652838987429E-6</v>
      </c>
      <c r="T50" s="64">
        <f>IFERROR(s_RadSpec!$M$25*T25,".")*$B$50</f>
        <v>1.7305926688134353E-7</v>
      </c>
      <c r="U50" s="64">
        <f>IFERROR(s_RadSpec!$N$25*U25,".")*$B$50</f>
        <v>6.808416950434447E-7</v>
      </c>
      <c r="V50" s="64">
        <f>IFERROR(s_RadSpec!$O$25*V25,".")*$B$50</f>
        <v>1.1670033722636362E-6</v>
      </c>
      <c r="W50" s="64">
        <f>IFERROR(s_RadSpec!$K$25*W25,".")*$B$50</f>
        <v>9.4756513994800809E-8</v>
      </c>
      <c r="X50" s="73">
        <f t="shared" si="46"/>
        <v>1.4704652838987429E-6</v>
      </c>
      <c r="Y50" s="73">
        <f t="shared" si="46"/>
        <v>1.7305926688134353E-7</v>
      </c>
      <c r="Z50" s="73">
        <f t="shared" si="46"/>
        <v>6.808416950434447E-7</v>
      </c>
      <c r="AA50" s="73">
        <f t="shared" si="46"/>
        <v>1.1670033722636362E-6</v>
      </c>
      <c r="AB50" s="73">
        <f t="shared" si="46"/>
        <v>9.4756513994800809E-8</v>
      </c>
      <c r="AC50" s="56">
        <f t="shared" si="50"/>
        <v>63.795853269537481</v>
      </c>
      <c r="AD50" s="56">
        <f t="shared" si="50"/>
        <v>490671.60880790063</v>
      </c>
      <c r="AE50" s="56">
        <f t="shared" si="47"/>
        <v>63.78755977602605</v>
      </c>
      <c r="AF50" s="64">
        <f>IFERROR(s_RadSpec!$G$25*AF$25,".")*$B$50</f>
        <v>8.7082462499999997E-4</v>
      </c>
      <c r="AG50" s="64">
        <f>IFERROR(s_RadSpec!$J$25*AG25,".")*$B$50</f>
        <v>1.1322236502530136E-7</v>
      </c>
      <c r="AH50" s="73">
        <f t="shared" si="48"/>
        <v>8.7082462499999997E-4</v>
      </c>
      <c r="AI50" s="73">
        <f t="shared" si="48"/>
        <v>1.1322236502530136E-7</v>
      </c>
      <c r="AJ50" s="73">
        <f t="shared" si="49"/>
        <v>8.7093784736502527E-4</v>
      </c>
    </row>
    <row r="51" spans="1:36" x14ac:dyDescent="0.25">
      <c r="A51" s="55" t="s">
        <v>307</v>
      </c>
      <c r="B51" s="50">
        <v>1</v>
      </c>
      <c r="C51" s="56">
        <f>IFERROR(C21/$B51,0)</f>
        <v>0</v>
      </c>
      <c r="D51" s="56">
        <f>IFERROR(D21/$B51,0)</f>
        <v>3246414.4204869489</v>
      </c>
      <c r="E51" s="56">
        <f>IFERROR(E21/$B51,0)</f>
        <v>0</v>
      </c>
      <c r="F51" s="56">
        <f t="shared" si="20"/>
        <v>3246414.4204869489</v>
      </c>
      <c r="G51" s="64">
        <f>IFERROR(s_RadSpec!$I$21*G21,".")*$B$51</f>
        <v>0</v>
      </c>
      <c r="H51" s="64">
        <f>IFERROR(s_RadSpec!$G$21*H21,".")*$B$51</f>
        <v>1.7112725858230684E-8</v>
      </c>
      <c r="I51" s="64">
        <f>IFERROR(s_RadSpec!$F$21*I21,".")*$B$51</f>
        <v>0</v>
      </c>
      <c r="J51" s="73">
        <f t="shared" si="43"/>
        <v>0</v>
      </c>
      <c r="K51" s="73">
        <f t="shared" si="43"/>
        <v>1.7112725858230684E-8</v>
      </c>
      <c r="L51" s="73">
        <f t="shared" si="43"/>
        <v>0</v>
      </c>
      <c r="M51" s="73">
        <f t="shared" si="44"/>
        <v>1.7112725858230684E-8</v>
      </c>
      <c r="N51" s="56">
        <f t="shared" ref="N51:AD51" si="51">IFERROR(N21/$B51,0)</f>
        <v>0</v>
      </c>
      <c r="O51" s="56">
        <f t="shared" si="51"/>
        <v>0</v>
      </c>
      <c r="P51" s="56">
        <f t="shared" si="51"/>
        <v>0</v>
      </c>
      <c r="Q51" s="56">
        <f t="shared" si="51"/>
        <v>0</v>
      </c>
      <c r="R51" s="56">
        <f t="shared" si="51"/>
        <v>0</v>
      </c>
      <c r="S51" s="64">
        <f>IFERROR(s_RadSpec!$F$21*S21,".")*$B$51</f>
        <v>0</v>
      </c>
      <c r="T51" s="64">
        <f>IFERROR(s_RadSpec!$M$21*T21,".")*$B$51</f>
        <v>0</v>
      </c>
      <c r="U51" s="64">
        <f>IFERROR(s_RadSpec!$N$21*U21,".")*$B$51</f>
        <v>0</v>
      </c>
      <c r="V51" s="64">
        <f>IFERROR(s_RadSpec!$O$21*V21,".")*$B$51</f>
        <v>0</v>
      </c>
      <c r="W51" s="64">
        <f>IFERROR(s_RadSpec!$K$21*W21,".")*$B$51</f>
        <v>0</v>
      </c>
      <c r="X51" s="73">
        <f t="shared" si="46"/>
        <v>0</v>
      </c>
      <c r="Y51" s="73">
        <f t="shared" si="46"/>
        <v>0</v>
      </c>
      <c r="Z51" s="73">
        <f t="shared" si="46"/>
        <v>0</v>
      </c>
      <c r="AA51" s="73">
        <f t="shared" si="46"/>
        <v>0</v>
      </c>
      <c r="AB51" s="73">
        <f t="shared" si="46"/>
        <v>0</v>
      </c>
      <c r="AC51" s="56">
        <f t="shared" si="51"/>
        <v>10.464355788096794</v>
      </c>
      <c r="AD51" s="56">
        <f t="shared" si="51"/>
        <v>20178506989.437328</v>
      </c>
      <c r="AE51" s="56">
        <f t="shared" si="47"/>
        <v>10.464355782670093</v>
      </c>
      <c r="AF51" s="64">
        <f>IFERROR(s_RadSpec!$G$21*AF21,".")*$B$51</f>
        <v>5.3089746874999998E-3</v>
      </c>
      <c r="AG51" s="64">
        <f>IFERROR(s_RadSpec!$J$21*AG21,".")*$B$51</f>
        <v>2.7531769337087667E-12</v>
      </c>
      <c r="AH51" s="73">
        <f t="shared" si="48"/>
        <v>5.3089746874999998E-3</v>
      </c>
      <c r="AI51" s="73">
        <f t="shared" si="48"/>
        <v>2.7531769337087667E-12</v>
      </c>
      <c r="AJ51" s="73">
        <f t="shared" si="49"/>
        <v>5.3089746902531768E-3</v>
      </c>
    </row>
    <row r="52" spans="1:36" x14ac:dyDescent="0.25">
      <c r="A52" s="55" t="s">
        <v>308</v>
      </c>
      <c r="B52" s="58">
        <v>0.99980000000000002</v>
      </c>
      <c r="C52" s="56">
        <f>IFERROR(C17/$B52,0)</f>
        <v>164932.48025460506</v>
      </c>
      <c r="D52" s="56">
        <f>IFERROR(D17/$B52,0)</f>
        <v>580877.57119980734</v>
      </c>
      <c r="E52" s="56">
        <f>IFERROR(E17/$B52,0)</f>
        <v>88.489397454709447</v>
      </c>
      <c r="F52" s="56">
        <f t="shared" si="20"/>
        <v>88.428482931867549</v>
      </c>
      <c r="G52" s="64">
        <f>IFERROR(s_RadSpec!$I$17*G17,".")*$B$52</f>
        <v>3.3683480606270002E-7</v>
      </c>
      <c r="H52" s="64">
        <f>IFERROR(s_RadSpec!$G$17*H17,".")*$B$52</f>
        <v>9.5639774634869593E-8</v>
      </c>
      <c r="I52" s="64">
        <f>IFERROR(s_RadSpec!$F$17*I17,".")*$B$52</f>
        <v>6.2781532701060717E-4</v>
      </c>
      <c r="J52" s="73">
        <f t="shared" si="43"/>
        <v>3.3683480606270002E-7</v>
      </c>
      <c r="K52" s="73">
        <f t="shared" si="43"/>
        <v>9.5639774634869593E-8</v>
      </c>
      <c r="L52" s="73">
        <f t="shared" si="43"/>
        <v>6.2781532701060717E-4</v>
      </c>
      <c r="M52" s="73">
        <f t="shared" si="44"/>
        <v>6.2824780159130469E-4</v>
      </c>
      <c r="N52" s="56">
        <f t="shared" ref="N52:AD52" si="52">IFERROR(N17/$B52,0)</f>
        <v>88.489397454709447</v>
      </c>
      <c r="O52" s="56">
        <f t="shared" si="52"/>
        <v>679.80538577332356</v>
      </c>
      <c r="P52" s="56">
        <f t="shared" si="52"/>
        <v>183.89672815123467</v>
      </c>
      <c r="Q52" s="56">
        <f t="shared" si="52"/>
        <v>110.63190490357185</v>
      </c>
      <c r="R52" s="56">
        <f t="shared" si="52"/>
        <v>1320.3313674239118</v>
      </c>
      <c r="S52" s="64">
        <f>IFERROR(s_RadSpec!$F$17*S17,".")*$B$52</f>
        <v>6.2781532701060717E-4</v>
      </c>
      <c r="T52" s="64">
        <f>IFERROR(s_RadSpec!$M$17*T17,".")*$B$52</f>
        <v>8.1721918011582834E-5</v>
      </c>
      <c r="U52" s="64">
        <f>IFERROR(s_RadSpec!$N$17*U17,".")*$B$52</f>
        <v>3.0209890387126499E-4</v>
      </c>
      <c r="V52" s="64">
        <f>IFERROR(s_RadSpec!$O$17*V17,".")*$B$52</f>
        <v>5.0216074692397653E-4</v>
      </c>
      <c r="W52" s="64">
        <f>IFERROR(s_RadSpec!$K$17*W17,".")*$B$52</f>
        <v>4.207655848424848E-5</v>
      </c>
      <c r="X52" s="73">
        <f t="shared" si="46"/>
        <v>6.2781532701060717E-4</v>
      </c>
      <c r="Y52" s="73">
        <f t="shared" si="46"/>
        <v>8.1721918011582834E-5</v>
      </c>
      <c r="Z52" s="73">
        <f t="shared" si="46"/>
        <v>3.0209890387126499E-4</v>
      </c>
      <c r="AA52" s="73">
        <f t="shared" si="46"/>
        <v>5.0216074692397653E-4</v>
      </c>
      <c r="AB52" s="73">
        <f t="shared" si="46"/>
        <v>4.207655848424848E-5</v>
      </c>
      <c r="AC52" s="56">
        <f t="shared" si="52"/>
        <v>1.872376347271326</v>
      </c>
      <c r="AD52" s="56">
        <f t="shared" si="52"/>
        <v>781.40890061515358</v>
      </c>
      <c r="AE52" s="56">
        <f t="shared" si="47"/>
        <v>1.8679005691710033</v>
      </c>
      <c r="AF52" s="64">
        <f>IFERROR(s_RadSpec!$G$17*AF17,".")*$B$52</f>
        <v>2.9670851205187504E-2</v>
      </c>
      <c r="AG52" s="64">
        <f>IFERROR(s_RadSpec!$J$17*AG17,".")*$B$52</f>
        <v>7.1095939598672423E-5</v>
      </c>
      <c r="AH52" s="73">
        <f t="shared" si="48"/>
        <v>2.9234992899410117E-2</v>
      </c>
      <c r="AI52" s="73">
        <f t="shared" si="48"/>
        <v>7.1095939598672423E-5</v>
      </c>
      <c r="AJ52" s="73">
        <f t="shared" si="49"/>
        <v>2.930400789634735E-2</v>
      </c>
    </row>
    <row r="53" spans="1:36" x14ac:dyDescent="0.25">
      <c r="A53" s="55" t="s">
        <v>309</v>
      </c>
      <c r="B53" s="50">
        <v>2.0000000000000001E-4</v>
      </c>
      <c r="C53" s="56">
        <f>IFERROR(C5/$B53,0)</f>
        <v>0</v>
      </c>
      <c r="D53" s="56">
        <f>IFERROR(D5/$B53,0)</f>
        <v>0</v>
      </c>
      <c r="E53" s="56">
        <f>IFERROR(E5/$B53,0)</f>
        <v>0</v>
      </c>
      <c r="F53" s="56">
        <f t="shared" si="20"/>
        <v>0</v>
      </c>
      <c r="G53" s="64">
        <f>IFERROR(s_RadSpec!$I$5*G5,".")*$B$53</f>
        <v>0</v>
      </c>
      <c r="H53" s="64">
        <f>IFERROR(s_RadSpec!$G$5*H5,".")*$B$53</f>
        <v>0</v>
      </c>
      <c r="I53" s="64">
        <f>IFERROR(s_RadSpec!$F$5*I5,".")*$B$53</f>
        <v>0</v>
      </c>
      <c r="J53" s="73">
        <f t="shared" si="43"/>
        <v>0</v>
      </c>
      <c r="K53" s="73">
        <f t="shared" si="43"/>
        <v>0</v>
      </c>
      <c r="L53" s="73">
        <f t="shared" si="43"/>
        <v>0</v>
      </c>
      <c r="M53" s="73">
        <f t="shared" si="44"/>
        <v>0</v>
      </c>
      <c r="N53" s="56">
        <f t="shared" ref="N53:AD53" si="53">IFERROR(N5/$B53,0)</f>
        <v>0</v>
      </c>
      <c r="O53" s="56">
        <f t="shared" si="53"/>
        <v>0</v>
      </c>
      <c r="P53" s="56">
        <f t="shared" si="53"/>
        <v>0</v>
      </c>
      <c r="Q53" s="56">
        <f t="shared" si="53"/>
        <v>0</v>
      </c>
      <c r="R53" s="56">
        <f t="shared" si="53"/>
        <v>0</v>
      </c>
      <c r="S53" s="64">
        <f>IFERROR(s_RadSpec!$F$5*S5,".")*$B$53</f>
        <v>0</v>
      </c>
      <c r="T53" s="64">
        <f>IFERROR(s_RadSpec!$M$5*T5,".")*$B$53</f>
        <v>0</v>
      </c>
      <c r="U53" s="64">
        <f>IFERROR(s_RadSpec!$N$5*U5,".")*$B$53</f>
        <v>0</v>
      </c>
      <c r="V53" s="64">
        <f>IFERROR(s_RadSpec!$O$5*V5,".")*$B$53</f>
        <v>0</v>
      </c>
      <c r="W53" s="64">
        <f>IFERROR(s_RadSpec!$K$5*W5,".")*$B$53</f>
        <v>0</v>
      </c>
      <c r="X53" s="73">
        <f t="shared" si="46"/>
        <v>0</v>
      </c>
      <c r="Y53" s="73">
        <f t="shared" si="46"/>
        <v>0</v>
      </c>
      <c r="Z53" s="73">
        <f t="shared" si="46"/>
        <v>0</v>
      </c>
      <c r="AA53" s="73">
        <f t="shared" si="46"/>
        <v>0</v>
      </c>
      <c r="AB53" s="73">
        <f t="shared" si="46"/>
        <v>0</v>
      </c>
      <c r="AC53" s="56">
        <f t="shared" si="53"/>
        <v>0</v>
      </c>
      <c r="AD53" s="56">
        <f t="shared" si="53"/>
        <v>129173018227.83745</v>
      </c>
      <c r="AE53" s="56">
        <f t="shared" si="47"/>
        <v>129173018227.83746</v>
      </c>
      <c r="AF53" s="64">
        <f>IFERROR(s_RadSpec!$G$5*AF5,".")*$B$53</f>
        <v>0</v>
      </c>
      <c r="AG53" s="64">
        <f>IFERROR(s_RadSpec!$J$5*AG5,".")*$B$53</f>
        <v>4.3008207721841092E-13</v>
      </c>
      <c r="AH53" s="73">
        <f t="shared" si="48"/>
        <v>0</v>
      </c>
      <c r="AI53" s="73">
        <f t="shared" si="48"/>
        <v>4.3008207721841092E-13</v>
      </c>
      <c r="AJ53" s="73">
        <f t="shared" si="49"/>
        <v>4.3008207721841092E-13</v>
      </c>
    </row>
    <row r="54" spans="1:36" x14ac:dyDescent="0.25">
      <c r="A54" s="55" t="s">
        <v>310</v>
      </c>
      <c r="B54" s="50">
        <v>0.99999979999999999</v>
      </c>
      <c r="C54" s="56">
        <f>IFERROR(C9/$B54,0)</f>
        <v>246934.96968874842</v>
      </c>
      <c r="D54" s="56">
        <f>IFERROR(D9/$B54,0)</f>
        <v>730180.73575732182</v>
      </c>
      <c r="E54" s="56">
        <f>IFERROR(E9/$B54,0)</f>
        <v>4.4255122316576694</v>
      </c>
      <c r="F54" s="56">
        <f t="shared" si="20"/>
        <v>4.4254060988382031</v>
      </c>
      <c r="G54" s="64">
        <f>IFERROR(s_RadSpec!$I$9*G9,".")*$B$54</f>
        <v>2.2497826075433883E-7</v>
      </c>
      <c r="H54" s="64">
        <f>IFERROR(s_RadSpec!$G$9*H9,".")*$B$54</f>
        <v>7.608390262772407E-8</v>
      </c>
      <c r="I54" s="64">
        <f>IFERROR(s_RadSpec!$F$9*I9,".")*$B$54</f>
        <v>1.255334910218759E-2</v>
      </c>
      <c r="J54" s="73">
        <f t="shared" si="43"/>
        <v>2.2497826075433883E-7</v>
      </c>
      <c r="K54" s="73">
        <f t="shared" si="43"/>
        <v>7.608390262772407E-8</v>
      </c>
      <c r="L54" s="73">
        <f t="shared" si="43"/>
        <v>1.2474884489754534E-2</v>
      </c>
      <c r="M54" s="73">
        <f t="shared" si="44"/>
        <v>1.2475181796157475E-2</v>
      </c>
      <c r="N54" s="56">
        <f t="shared" ref="N54:AD54" si="54">IFERROR(N9/$B54,0)</f>
        <v>4.4255122316576694</v>
      </c>
      <c r="O54" s="56">
        <f t="shared" si="54"/>
        <v>50.188162256216756</v>
      </c>
      <c r="P54" s="56">
        <f t="shared" si="54"/>
        <v>12.290438665006086</v>
      </c>
      <c r="Q54" s="56">
        <f t="shared" si="54"/>
        <v>6.2867489125449127</v>
      </c>
      <c r="R54" s="56">
        <f t="shared" si="54"/>
        <v>91.806627199311791</v>
      </c>
      <c r="S54" s="64">
        <f>IFERROR(s_RadSpec!$F$9*S9,".")*$B$54</f>
        <v>1.255334910218759E-2</v>
      </c>
      <c r="T54" s="64">
        <f>IFERROR(s_RadSpec!$M$9*T9,".")*$B$54</f>
        <v>1.1069343347617482E-3</v>
      </c>
      <c r="U54" s="64">
        <f>IFERROR(s_RadSpec!$N$9*U9,".")*$B$54</f>
        <v>4.520180403176235E-3</v>
      </c>
      <c r="V54" s="64">
        <f>IFERROR(s_RadSpec!$O$9*V9,".")*$B$54</f>
        <v>8.8368409129785004E-3</v>
      </c>
      <c r="W54" s="64">
        <f>IFERROR(s_RadSpec!$K$9*W9,".")*$B$54</f>
        <v>6.0513060652353924E-4</v>
      </c>
      <c r="X54" s="73">
        <f t="shared" si="46"/>
        <v>1.2474884489754534E-2</v>
      </c>
      <c r="Y54" s="73">
        <f t="shared" si="46"/>
        <v>1.1069343347617482E-3</v>
      </c>
      <c r="Z54" s="73">
        <f t="shared" si="46"/>
        <v>4.520180403176235E-3</v>
      </c>
      <c r="AA54" s="73">
        <f t="shared" si="46"/>
        <v>8.8368409129785004E-3</v>
      </c>
      <c r="AB54" s="73">
        <f t="shared" si="46"/>
        <v>6.0513060652353924E-4</v>
      </c>
      <c r="AC54" s="56">
        <f t="shared" si="54"/>
        <v>2.3536338923213651</v>
      </c>
      <c r="AD54" s="56">
        <f t="shared" si="54"/>
        <v>119.02856416225418</v>
      </c>
      <c r="AE54" s="56">
        <f t="shared" si="47"/>
        <v>2.3079962898733264</v>
      </c>
      <c r="AF54" s="64">
        <f>IFERROR(s_RadSpec!$G$9*AF9,".")*$B$54</f>
        <v>2.3603925904213872E-2</v>
      </c>
      <c r="AG54" s="64">
        <f>IFERROR(s_RadSpec!$J$9*AG9,".")*$B$54</f>
        <v>4.6673670636125636E-4</v>
      </c>
      <c r="AH54" s="73">
        <f t="shared" si="48"/>
        <v>2.332753217499961E-2</v>
      </c>
      <c r="AI54" s="73">
        <f t="shared" si="48"/>
        <v>4.6673670636125636E-4</v>
      </c>
      <c r="AJ54" s="73">
        <f t="shared" si="49"/>
        <v>2.3783274701669632E-2</v>
      </c>
    </row>
    <row r="55" spans="1:36" x14ac:dyDescent="0.25">
      <c r="A55" s="55" t="s">
        <v>311</v>
      </c>
      <c r="B55" s="50">
        <v>1.9999999999999999E-7</v>
      </c>
      <c r="C55" s="56">
        <f>IFERROR(C24/$B55,0)</f>
        <v>0</v>
      </c>
      <c r="D55" s="56">
        <f>IFERROR(D24/$B55,0)</f>
        <v>0</v>
      </c>
      <c r="E55" s="56">
        <f>IFERROR(E24/$B55,0)</f>
        <v>84697271979.424286</v>
      </c>
      <c r="F55" s="56">
        <f t="shared" si="20"/>
        <v>84697271979.424286</v>
      </c>
      <c r="G55" s="64">
        <f>IFERROR(s_RadSpec!$I$24*G24,".")*$B$55</f>
        <v>0</v>
      </c>
      <c r="H55" s="64">
        <f>IFERROR(s_RadSpec!$G$24*H24,".")*$B$55</f>
        <v>0</v>
      </c>
      <c r="I55" s="64">
        <f>IFERROR(s_RadSpec!$F$24*I24,".")*$B$55</f>
        <v>6.5592431375471138E-13</v>
      </c>
      <c r="J55" s="73">
        <f t="shared" si="43"/>
        <v>0</v>
      </c>
      <c r="K55" s="73">
        <f t="shared" si="43"/>
        <v>0</v>
      </c>
      <c r="L55" s="73">
        <f t="shared" si="43"/>
        <v>6.5592431375471138E-13</v>
      </c>
      <c r="M55" s="73">
        <f t="shared" si="44"/>
        <v>6.5592431375471138E-13</v>
      </c>
      <c r="N55" s="56">
        <f t="shared" ref="N55:AD55" si="55">IFERROR(N24/$B55,0)</f>
        <v>84697271979.424286</v>
      </c>
      <c r="O55" s="56">
        <f t="shared" si="55"/>
        <v>746173797173.31934</v>
      </c>
      <c r="P55" s="56">
        <f t="shared" si="55"/>
        <v>187156095300.03778</v>
      </c>
      <c r="Q55" s="56">
        <f t="shared" si="55"/>
        <v>100985752564.93889</v>
      </c>
      <c r="R55" s="56">
        <f t="shared" si="55"/>
        <v>1269500531619.2192</v>
      </c>
      <c r="S55" s="64">
        <f>IFERROR(s_RadSpec!$F$24*S24,".")*$B$55</f>
        <v>6.5592431375471138E-13</v>
      </c>
      <c r="T55" s="64">
        <f>IFERROR(s_RadSpec!$M$24*T24,".")*$B$55</f>
        <v>7.4453163874763925E-14</v>
      </c>
      <c r="U55" s="64">
        <f>IFERROR(s_RadSpec!$N$24*U24,".")*$B$55</f>
        <v>2.9683778084244291E-13</v>
      </c>
      <c r="V55" s="64">
        <f>IFERROR(s_RadSpec!$O$24*V24,".")*$B$55</f>
        <v>5.5012710792322254E-13</v>
      </c>
      <c r="W55" s="64">
        <f>IFERROR(s_RadSpec!$K$24*W24,".")*$B$55</f>
        <v>4.3761305030050551E-14</v>
      </c>
      <c r="X55" s="73">
        <f t="shared" si="46"/>
        <v>6.5592431375471138E-13</v>
      </c>
      <c r="Y55" s="73">
        <f t="shared" si="46"/>
        <v>7.4453163874763925E-14</v>
      </c>
      <c r="Z55" s="73">
        <f t="shared" si="46"/>
        <v>2.9683778084244291E-13</v>
      </c>
      <c r="AA55" s="73">
        <f t="shared" si="46"/>
        <v>5.5012710792322254E-13</v>
      </c>
      <c r="AB55" s="73">
        <f t="shared" si="46"/>
        <v>4.3761305030050551E-14</v>
      </c>
      <c r="AC55" s="56">
        <f t="shared" si="55"/>
        <v>0</v>
      </c>
      <c r="AD55" s="56">
        <f t="shared" si="55"/>
        <v>1249145670774.6921</v>
      </c>
      <c r="AE55" s="56">
        <f t="shared" si="47"/>
        <v>1249145670774.6921</v>
      </c>
      <c r="AF55" s="64">
        <f>IFERROR(s_RadSpec!$G$24*AF24,".")*$B$55</f>
        <v>0</v>
      </c>
      <c r="AG55" s="64">
        <f>IFERROR(s_RadSpec!$J$24*AG24,".")*$B$55</f>
        <v>4.4474396621449307E-14</v>
      </c>
      <c r="AH55" s="73">
        <f t="shared" si="48"/>
        <v>0</v>
      </c>
      <c r="AI55" s="73">
        <f t="shared" si="48"/>
        <v>4.4474396621449307E-14</v>
      </c>
      <c r="AJ55" s="73">
        <f t="shared" si="49"/>
        <v>4.4474396621449307E-14</v>
      </c>
    </row>
    <row r="56" spans="1:36" x14ac:dyDescent="0.25">
      <c r="A56" s="55" t="s">
        <v>312</v>
      </c>
      <c r="B56" s="50">
        <v>0.99979000004200003</v>
      </c>
      <c r="C56" s="56">
        <f>IFERROR(C20/$B56,0)</f>
        <v>0</v>
      </c>
      <c r="D56" s="56">
        <f>IFERROR(D20/$B56,0)</f>
        <v>0</v>
      </c>
      <c r="E56" s="56">
        <f>IFERROR(E20/$B56,0)</f>
        <v>116614.50025830333</v>
      </c>
      <c r="F56" s="56">
        <f t="shared" si="20"/>
        <v>116614.50025830333</v>
      </c>
      <c r="G56" s="64">
        <f>IFERROR(s_RadSpec!$I$20*G20,".")*$B$56</f>
        <v>0</v>
      </c>
      <c r="H56" s="64">
        <f>IFERROR(s_RadSpec!$G$20*H20,".")*$B$56</f>
        <v>0</v>
      </c>
      <c r="I56" s="64">
        <f>IFERROR(s_RadSpec!$F$20*I20,".")*$B$56</f>
        <v>4.7639873152090526E-7</v>
      </c>
      <c r="J56" s="73">
        <f t="shared" si="43"/>
        <v>0</v>
      </c>
      <c r="K56" s="73">
        <f t="shared" si="43"/>
        <v>0</v>
      </c>
      <c r="L56" s="73">
        <f t="shared" si="43"/>
        <v>4.7639873152090526E-7</v>
      </c>
      <c r="M56" s="73">
        <f t="shared" si="44"/>
        <v>4.7639873152090526E-7</v>
      </c>
      <c r="N56" s="56">
        <f t="shared" ref="N56:AD56" si="56">IFERROR(N20/$B56,0)</f>
        <v>116614.50025830333</v>
      </c>
      <c r="O56" s="56">
        <f t="shared" si="56"/>
        <v>1162556.6311608364</v>
      </c>
      <c r="P56" s="56">
        <f t="shared" si="56"/>
        <v>288586.09767667647</v>
      </c>
      <c r="Q56" s="56">
        <f t="shared" si="56"/>
        <v>154279.30283396249</v>
      </c>
      <c r="R56" s="56">
        <f t="shared" si="56"/>
        <v>2033279.0375113955</v>
      </c>
      <c r="S56" s="64">
        <f>IFERROR(s_RadSpec!$F$20*S20,".")*$B$56</f>
        <v>4.7639873152090526E-7</v>
      </c>
      <c r="T56" s="64">
        <f>IFERROR(s_RadSpec!$M$20*T20,".")*$B$56</f>
        <v>4.778691937314674E-8</v>
      </c>
      <c r="U56" s="64">
        <f>IFERROR(s_RadSpec!$N$20*U20,".")*$B$56</f>
        <v>1.9250754089423332E-7</v>
      </c>
      <c r="V56" s="64">
        <f>IFERROR(s_RadSpec!$O$20*V20,".")*$B$56</f>
        <v>3.6009366765021632E-7</v>
      </c>
      <c r="W56" s="64">
        <f>IFERROR(s_RadSpec!$K$20*W20,".")*$B$56</f>
        <v>2.7322860746155037E-8</v>
      </c>
      <c r="X56" s="73">
        <f t="shared" si="46"/>
        <v>4.7639873152090526E-7</v>
      </c>
      <c r="Y56" s="73">
        <f t="shared" si="46"/>
        <v>4.778691937314674E-8</v>
      </c>
      <c r="Z56" s="73">
        <f t="shared" si="46"/>
        <v>1.9250754089423332E-7</v>
      </c>
      <c r="AA56" s="73">
        <f t="shared" si="46"/>
        <v>3.6009366765021632E-7</v>
      </c>
      <c r="AB56" s="73">
        <f t="shared" si="46"/>
        <v>2.7322860746155037E-8</v>
      </c>
      <c r="AC56" s="56">
        <f t="shared" si="56"/>
        <v>0</v>
      </c>
      <c r="AD56" s="56">
        <f t="shared" si="56"/>
        <v>2229335.9259507577</v>
      </c>
      <c r="AE56" s="56">
        <f t="shared" si="47"/>
        <v>2229335.9259507577</v>
      </c>
      <c r="AF56" s="64">
        <f>IFERROR(s_RadSpec!$G$20*AF20,".")*$B$56</f>
        <v>0</v>
      </c>
      <c r="AG56" s="64">
        <f>IFERROR(s_RadSpec!$J$20*AG20,".")*$B$56</f>
        <v>2.4919977000014982E-8</v>
      </c>
      <c r="AH56" s="73">
        <f t="shared" si="48"/>
        <v>0</v>
      </c>
      <c r="AI56" s="73">
        <f t="shared" si="48"/>
        <v>2.4919977000014982E-8</v>
      </c>
      <c r="AJ56" s="73">
        <f t="shared" si="49"/>
        <v>2.4919977000014982E-8</v>
      </c>
    </row>
    <row r="57" spans="1:36" x14ac:dyDescent="0.25">
      <c r="A57" s="55" t="s">
        <v>313</v>
      </c>
      <c r="B57" s="50">
        <v>2.0999995799999999E-4</v>
      </c>
      <c r="C57" s="56">
        <f>IFERROR(C29/$B57,0)</f>
        <v>0</v>
      </c>
      <c r="D57" s="56">
        <f>IFERROR(D29/$B57,0)</f>
        <v>0</v>
      </c>
      <c r="E57" s="56">
        <f>IFERROR(E29/$B57,0)</f>
        <v>12538.943964246568</v>
      </c>
      <c r="F57" s="56">
        <f t="shared" si="20"/>
        <v>12538.943964246568</v>
      </c>
      <c r="G57" s="64">
        <f>IFERROR(s_RadSpec!$I$29*G29,".")*$B$57</f>
        <v>0</v>
      </c>
      <c r="H57" s="64">
        <f>IFERROR(s_RadSpec!$G$29*H29,".")*$B$57</f>
        <v>0</v>
      </c>
      <c r="I57" s="64">
        <f>IFERROR(s_RadSpec!$F$29*I29,".")*$B$57</f>
        <v>4.4305964009735619E-6</v>
      </c>
      <c r="J57" s="73">
        <f t="shared" si="43"/>
        <v>0</v>
      </c>
      <c r="K57" s="73">
        <f t="shared" si="43"/>
        <v>0</v>
      </c>
      <c r="L57" s="73">
        <f t="shared" si="43"/>
        <v>4.4305964009735619E-6</v>
      </c>
      <c r="M57" s="73">
        <f t="shared" si="44"/>
        <v>4.4305964009735619E-6</v>
      </c>
      <c r="N57" s="56">
        <f t="shared" ref="N57:AD57" si="57">IFERROR(N29/$B57,0)</f>
        <v>12538.943964246568</v>
      </c>
      <c r="O57" s="56">
        <f t="shared" si="57"/>
        <v>135217.03879376804</v>
      </c>
      <c r="P57" s="56">
        <f t="shared" si="57"/>
        <v>33626.324845264455</v>
      </c>
      <c r="Q57" s="56">
        <f t="shared" si="57"/>
        <v>17870.617898053384</v>
      </c>
      <c r="R57" s="56">
        <f t="shared" si="57"/>
        <v>250821.44478144913</v>
      </c>
      <c r="S57" s="64">
        <f>IFERROR(s_RadSpec!$F$29*S29,".")*$B$57</f>
        <v>4.4305964009735619E-6</v>
      </c>
      <c r="T57" s="64">
        <f>IFERROR(s_RadSpec!$M$29*T29,".")*$B$57</f>
        <v>4.1085798428652214E-7</v>
      </c>
      <c r="U57" s="64">
        <f>IFERROR(s_RadSpec!$N$29*U29,".")*$B$57</f>
        <v>1.6521282137028933E-6</v>
      </c>
      <c r="V57" s="64">
        <f>IFERROR(s_RadSpec!$O$29*V29,".")*$B$57</f>
        <v>3.1087341420942976E-6</v>
      </c>
      <c r="W57" s="64">
        <f>IFERROR(s_RadSpec!$K$29*W29,".")*$B$57</f>
        <v>2.2149222546902761E-7</v>
      </c>
      <c r="X57" s="73">
        <f t="shared" si="46"/>
        <v>4.4305964009735619E-6</v>
      </c>
      <c r="Y57" s="73">
        <f t="shared" si="46"/>
        <v>4.1085798428652214E-7</v>
      </c>
      <c r="Z57" s="73">
        <f t="shared" si="46"/>
        <v>1.6521282137028933E-6</v>
      </c>
      <c r="AA57" s="73">
        <f t="shared" si="46"/>
        <v>3.1087341420942976E-6</v>
      </c>
      <c r="AB57" s="73">
        <f t="shared" si="46"/>
        <v>2.2149222546902761E-7</v>
      </c>
      <c r="AC57" s="56">
        <f t="shared" si="57"/>
        <v>0</v>
      </c>
      <c r="AD57" s="56">
        <f t="shared" si="57"/>
        <v>306394.28241227142</v>
      </c>
      <c r="AE57" s="56">
        <f t="shared" si="47"/>
        <v>306394.28241227142</v>
      </c>
      <c r="AF57" s="64">
        <f>IFERROR(s_RadSpec!$G$29*AF29,".")*$B$57</f>
        <v>0</v>
      </c>
      <c r="AG57" s="64">
        <f>IFERROR(s_RadSpec!$J$29*AG29,".")*$B$57</f>
        <v>1.8131865765447759E-7</v>
      </c>
      <c r="AH57" s="73">
        <f t="shared" si="48"/>
        <v>0</v>
      </c>
      <c r="AI57" s="73">
        <f t="shared" si="48"/>
        <v>1.8131865765447759E-7</v>
      </c>
      <c r="AJ57" s="73">
        <f t="shared" si="49"/>
        <v>1.8131865765447759E-7</v>
      </c>
    </row>
    <row r="58" spans="1:36" x14ac:dyDescent="0.25">
      <c r="A58" s="55" t="s">
        <v>314</v>
      </c>
      <c r="B58" s="50">
        <v>1</v>
      </c>
      <c r="C58" s="56">
        <f>IFERROR(C16/$B58,0)</f>
        <v>60.666727333394</v>
      </c>
      <c r="D58" s="56">
        <f>IFERROR(D16/$B58,0)</f>
        <v>2842.8879509083722</v>
      </c>
      <c r="E58" s="56">
        <f>IFERROR(E16/$B58,0)</f>
        <v>644809599.23567688</v>
      </c>
      <c r="F58" s="56">
        <f t="shared" si="20"/>
        <v>59.399154271810858</v>
      </c>
      <c r="G58" s="64">
        <f>IFERROR(s_RadSpec!$I$16*G16,".")*$B$58</f>
        <v>9.1574084250000006E-4</v>
      </c>
      <c r="H58" s="64">
        <f>IFERROR(s_RadSpec!$G$16*H16,".")*$B$58</f>
        <v>1.9541748025014073E-5</v>
      </c>
      <c r="I58" s="64">
        <f>IFERROR(s_RadSpec!$F$16*I16,".")*$B$58</f>
        <v>8.6157216123723871E-11</v>
      </c>
      <c r="J58" s="73">
        <f t="shared" si="43"/>
        <v>9.1574084250000006E-4</v>
      </c>
      <c r="K58" s="73">
        <f t="shared" si="43"/>
        <v>1.9541748025014073E-5</v>
      </c>
      <c r="L58" s="73">
        <f t="shared" si="43"/>
        <v>8.6157216123723871E-11</v>
      </c>
      <c r="M58" s="73">
        <f t="shared" si="44"/>
        <v>9.3528267668223028E-4</v>
      </c>
      <c r="N58" s="56">
        <f t="shared" ref="N58:AD58" si="58">IFERROR(N16/$B58,0)</f>
        <v>644809599.23567688</v>
      </c>
      <c r="O58" s="56">
        <f t="shared" si="58"/>
        <v>1787312978.8768268</v>
      </c>
      <c r="P58" s="56">
        <f t="shared" si="58"/>
        <v>697569733.94444859</v>
      </c>
      <c r="Q58" s="56">
        <f t="shared" si="58"/>
        <v>693444551.586308</v>
      </c>
      <c r="R58" s="56">
        <f t="shared" si="58"/>
        <v>23198419600.101421</v>
      </c>
      <c r="S58" s="64">
        <f>IFERROR(s_RadSpec!$F$16*S16,".")*$B$58</f>
        <v>8.6157216123723871E-11</v>
      </c>
      <c r="T58" s="64">
        <f>IFERROR(s_RadSpec!$M$16*T16,".")*$B$58</f>
        <v>3.1082972404145778E-11</v>
      </c>
      <c r="U58" s="64">
        <f>IFERROR(s_RadSpec!$N$16*U16,".")*$B$58</f>
        <v>7.9640783274614026E-11</v>
      </c>
      <c r="V58" s="64">
        <f>IFERROR(s_RadSpec!$O$16*V16,".")*$B$58</f>
        <v>8.0114552595320904E-11</v>
      </c>
      <c r="W58" s="64">
        <f>IFERROR(s_RadSpec!$K$16*W16,".")*$B$58</f>
        <v>2.3947752026934241E-12</v>
      </c>
      <c r="X58" s="73">
        <f t="shared" si="46"/>
        <v>8.6157216123723871E-11</v>
      </c>
      <c r="Y58" s="73">
        <f t="shared" si="46"/>
        <v>3.1082972404145778E-11</v>
      </c>
      <c r="Z58" s="73">
        <f t="shared" si="46"/>
        <v>7.9640783274614026E-11</v>
      </c>
      <c r="AA58" s="73">
        <f t="shared" si="46"/>
        <v>8.0114552595320904E-11</v>
      </c>
      <c r="AB58" s="73">
        <f t="shared" si="46"/>
        <v>2.3947752026934241E-12</v>
      </c>
      <c r="AC58" s="56">
        <f t="shared" si="58"/>
        <v>9.1636455272818898E-3</v>
      </c>
      <c r="AD58" s="56">
        <f t="shared" si="58"/>
        <v>202383.83864776907</v>
      </c>
      <c r="AE58" s="56">
        <f t="shared" si="47"/>
        <v>9.1636451123653824E-3</v>
      </c>
      <c r="AF58" s="64">
        <f>IFERROR(s_RadSpec!$G$16*AF16,".")*$B$58</f>
        <v>6.0625435406249997</v>
      </c>
      <c r="AG58" s="64">
        <f>IFERROR(s_RadSpec!$J$16*AG16,".")*$B$58</f>
        <v>2.7450314398220543E-7</v>
      </c>
      <c r="AH58" s="73">
        <f t="shared" si="48"/>
        <v>0.99767152921104285</v>
      </c>
      <c r="AI58" s="73">
        <f t="shared" si="48"/>
        <v>2.7450314398220543E-7</v>
      </c>
      <c r="AJ58" s="73">
        <f t="shared" si="49"/>
        <v>0.99767152985021534</v>
      </c>
    </row>
    <row r="59" spans="1:36" x14ac:dyDescent="0.25">
      <c r="A59" s="55" t="s">
        <v>315</v>
      </c>
      <c r="B59" s="50">
        <v>1</v>
      </c>
      <c r="C59" s="56">
        <f>IFERROR(C7/$B59,0)</f>
        <v>9730.7028000097307</v>
      </c>
      <c r="D59" s="56">
        <f>IFERROR(D7/$B59,0)</f>
        <v>99154.384629243243</v>
      </c>
      <c r="E59" s="56">
        <f>IFERROR(E7/$B59,0)</f>
        <v>41486.224832298147</v>
      </c>
      <c r="F59" s="56">
        <f t="shared" si="20"/>
        <v>7301.5527806688606</v>
      </c>
      <c r="G59" s="64">
        <f>IFERROR(s_RadSpec!$I$7*G7,".")*$B$59</f>
        <v>5.7092484625000003E-6</v>
      </c>
      <c r="H59" s="64">
        <f>IFERROR(s_RadSpec!$G$7*H7,".")*$B$59</f>
        <v>5.6028788043746651E-7</v>
      </c>
      <c r="I59" s="64">
        <f>IFERROR(s_RadSpec!$F$7*I7,".")*$B$59</f>
        <v>1.3391191949755071E-6</v>
      </c>
      <c r="J59" s="73">
        <f t="shared" si="43"/>
        <v>5.7092484625000003E-6</v>
      </c>
      <c r="K59" s="73">
        <f t="shared" si="43"/>
        <v>5.6028788043746651E-7</v>
      </c>
      <c r="L59" s="73">
        <f t="shared" si="43"/>
        <v>1.3391191949755071E-6</v>
      </c>
      <c r="M59" s="73">
        <f t="shared" si="44"/>
        <v>7.6086555379129741E-6</v>
      </c>
      <c r="N59" s="56">
        <f t="shared" ref="N59:AD59" si="59">IFERROR(N7/$B59,0)</f>
        <v>41486.224832298147</v>
      </c>
      <c r="O59" s="56">
        <f t="shared" si="59"/>
        <v>191314.52505623535</v>
      </c>
      <c r="P59" s="56">
        <f t="shared" si="59"/>
        <v>65111.827467156945</v>
      </c>
      <c r="Q59" s="56">
        <f t="shared" si="59"/>
        <v>45833.858587608665</v>
      </c>
      <c r="R59" s="56">
        <f t="shared" si="59"/>
        <v>64813.856990222586</v>
      </c>
      <c r="S59" s="64">
        <f>IFERROR(s_RadSpec!$F$7*S7,".")*$B$59</f>
        <v>1.3391191949755071E-6</v>
      </c>
      <c r="T59" s="64">
        <f>IFERROR(s_RadSpec!$M$7*T7,".")*$B$59</f>
        <v>2.9038568808965264E-7</v>
      </c>
      <c r="U59" s="64">
        <f>IFERROR(s_RadSpec!$N$7*U7,".")*$B$59</f>
        <v>8.5322440117384953E-7</v>
      </c>
      <c r="V59" s="64">
        <f>IFERROR(s_RadSpec!$O$7*V7,".")*$B$59</f>
        <v>1.2120952001850324E-6</v>
      </c>
      <c r="W59" s="64">
        <f>IFERROR(s_RadSpec!$K$7*W7,".")*$B$59</f>
        <v>8.5714695251635243E-7</v>
      </c>
      <c r="X59" s="73">
        <f t="shared" si="46"/>
        <v>1.3391191949755071E-6</v>
      </c>
      <c r="Y59" s="73">
        <f t="shared" si="46"/>
        <v>2.9038568808965264E-7</v>
      </c>
      <c r="Z59" s="73">
        <f t="shared" si="46"/>
        <v>8.5322440117384953E-7</v>
      </c>
      <c r="AA59" s="73">
        <f t="shared" si="46"/>
        <v>1.2120952001850324E-6</v>
      </c>
      <c r="AB59" s="73">
        <f t="shared" si="46"/>
        <v>8.5714695251635243E-7</v>
      </c>
      <c r="AC59" s="56">
        <f t="shared" si="59"/>
        <v>0.31961007570763672</v>
      </c>
      <c r="AD59" s="56">
        <f t="shared" si="59"/>
        <v>150559.27952383706</v>
      </c>
      <c r="AE59" s="56">
        <f t="shared" si="47"/>
        <v>0.3196093972347856</v>
      </c>
      <c r="AF59" s="64">
        <f>IFERROR(s_RadSpec!$G$7*AF7,".")*$B$59</f>
        <v>0.1738211784375</v>
      </c>
      <c r="AG59" s="64">
        <f>IFERROR(s_RadSpec!$J$7*AG7,".")*$B$59</f>
        <v>3.6899087306806843E-7</v>
      </c>
      <c r="AH59" s="73">
        <f t="shared" si="48"/>
        <v>0.15955282570141405</v>
      </c>
      <c r="AI59" s="73">
        <f t="shared" si="48"/>
        <v>3.6899087306806843E-7</v>
      </c>
      <c r="AJ59" s="73">
        <f t="shared" si="49"/>
        <v>0.15955313581869346</v>
      </c>
    </row>
    <row r="60" spans="1:36" x14ac:dyDescent="0.25">
      <c r="A60" s="55" t="s">
        <v>316</v>
      </c>
      <c r="B60" s="59">
        <v>1.9000000000000001E-8</v>
      </c>
      <c r="C60" s="56">
        <f>IFERROR(C12/$B60,0)</f>
        <v>0</v>
      </c>
      <c r="D60" s="56">
        <f>IFERROR(D12/$B60,0)</f>
        <v>0</v>
      </c>
      <c r="E60" s="56">
        <f>IFERROR(E12/$B60,0)</f>
        <v>9701315117.6567898</v>
      </c>
      <c r="F60" s="56">
        <f t="shared" si="20"/>
        <v>9701315117.6567898</v>
      </c>
      <c r="G60" s="64">
        <f>IFERROR(s_RadSpec!$I$12*G12,".")*$B$60</f>
        <v>0</v>
      </c>
      <c r="H60" s="64">
        <f>IFERROR(s_RadSpec!$G$12*H12,".")*$B$60</f>
        <v>0</v>
      </c>
      <c r="I60" s="64">
        <f>IFERROR(s_RadSpec!$F$12*I12,".")*$B$60</f>
        <v>5.726543187829E-12</v>
      </c>
      <c r="J60" s="73">
        <f t="shared" si="43"/>
        <v>0</v>
      </c>
      <c r="K60" s="73">
        <f t="shared" si="43"/>
        <v>0</v>
      </c>
      <c r="L60" s="73">
        <f t="shared" si="43"/>
        <v>5.726543187829E-12</v>
      </c>
      <c r="M60" s="73">
        <f t="shared" si="44"/>
        <v>5.726543187829E-12</v>
      </c>
      <c r="N60" s="56">
        <f t="shared" ref="N60:AD60" si="60">IFERROR(N12/$B60,0)</f>
        <v>9701315117.6567898</v>
      </c>
      <c r="O60" s="56">
        <f t="shared" si="60"/>
        <v>76589918728.700226</v>
      </c>
      <c r="P60" s="56">
        <f t="shared" si="60"/>
        <v>19911115242.52438</v>
      </c>
      <c r="Q60" s="56">
        <f t="shared" si="60"/>
        <v>11922785959.187998</v>
      </c>
      <c r="R60" s="56">
        <f t="shared" si="60"/>
        <v>129975196434.05005</v>
      </c>
      <c r="S60" s="64">
        <f>IFERROR(s_RadSpec!$F$12*S12,".")*$B$60</f>
        <v>5.726543187829E-12</v>
      </c>
      <c r="T60" s="64">
        <f>IFERROR(s_RadSpec!$M$12*T12,".")*$B$60</f>
        <v>7.2535656026466181E-13</v>
      </c>
      <c r="U60" s="64">
        <f>IFERROR(s_RadSpec!$N$12*U12,".")*$B$60</f>
        <v>2.7901500907066519E-12</v>
      </c>
      <c r="V60" s="64">
        <f>IFERROR(s_RadSpec!$O$12*V12,".")*$B$60</f>
        <v>4.6595653222465107E-12</v>
      </c>
      <c r="W60" s="64">
        <f>IFERROR(s_RadSpec!$K$12*W12,".")*$B$60</f>
        <v>4.2742770562527151E-13</v>
      </c>
      <c r="X60" s="73">
        <f t="shared" si="46"/>
        <v>5.726543187829E-12</v>
      </c>
      <c r="Y60" s="73">
        <f t="shared" si="46"/>
        <v>7.2535656026466181E-13</v>
      </c>
      <c r="Z60" s="73">
        <f t="shared" si="46"/>
        <v>2.7901500907066519E-12</v>
      </c>
      <c r="AA60" s="73">
        <f t="shared" si="46"/>
        <v>4.6595653222465107E-12</v>
      </c>
      <c r="AB60" s="73">
        <f t="shared" si="46"/>
        <v>4.2742770562527151E-13</v>
      </c>
      <c r="AC60" s="56">
        <f t="shared" si="60"/>
        <v>0</v>
      </c>
      <c r="AD60" s="56">
        <f t="shared" si="60"/>
        <v>84462357429.47142</v>
      </c>
      <c r="AE60" s="56">
        <f t="shared" si="47"/>
        <v>84462357429.47142</v>
      </c>
      <c r="AF60" s="64">
        <f>IFERROR(s_RadSpec!$G$12*AF12,".")*$B$60</f>
        <v>0</v>
      </c>
      <c r="AG60" s="64">
        <f>IFERROR(s_RadSpec!$J$12*AG12,".")*$B$60</f>
        <v>6.5774863135202041E-13</v>
      </c>
      <c r="AH60" s="73">
        <f t="shared" si="48"/>
        <v>0</v>
      </c>
      <c r="AI60" s="73">
        <f t="shared" si="48"/>
        <v>6.5774863135202041E-13</v>
      </c>
      <c r="AJ60" s="73">
        <f t="shared" si="49"/>
        <v>6.5774863135202041E-13</v>
      </c>
    </row>
    <row r="61" spans="1:36" x14ac:dyDescent="0.25">
      <c r="A61" s="55" t="s">
        <v>317</v>
      </c>
      <c r="B61" s="50">
        <v>1</v>
      </c>
      <c r="C61" s="56">
        <f>IFERROR(C18/$B61,0)</f>
        <v>25.329922237138728</v>
      </c>
      <c r="D61" s="56">
        <f>IFERROR(D18/$B61,0)</f>
        <v>3111.2217626012548</v>
      </c>
      <c r="E61" s="56">
        <f>IFERROR(E18/$B61,0)</f>
        <v>993417.36458497483</v>
      </c>
      <c r="F61" s="56">
        <f t="shared" si="20"/>
        <v>25.12472935339213</v>
      </c>
      <c r="G61" s="64">
        <f>IFERROR(s_RadSpec!$I$18*G18,".")*$B$61</f>
        <v>2.193255845E-3</v>
      </c>
      <c r="H61" s="64">
        <f>IFERROR(s_RadSpec!$G$18*H18,".")*$B$61</f>
        <v>1.785632919768186E-5</v>
      </c>
      <c r="I61" s="64">
        <f>IFERROR(s_RadSpec!$F$18*I18,".")*$B$61</f>
        <v>5.5923121520237855E-8</v>
      </c>
      <c r="J61" s="73">
        <f t="shared" si="43"/>
        <v>2.193255845E-3</v>
      </c>
      <c r="K61" s="73">
        <f t="shared" si="43"/>
        <v>1.785632919768186E-5</v>
      </c>
      <c r="L61" s="73">
        <f t="shared" si="43"/>
        <v>5.5923121520237855E-8</v>
      </c>
      <c r="M61" s="73">
        <f t="shared" si="44"/>
        <v>2.2111680973192021E-3</v>
      </c>
      <c r="N61" s="56">
        <f t="shared" ref="N61:AD61" si="61">IFERROR(N18/$B61,0)</f>
        <v>993417.36458497483</v>
      </c>
      <c r="O61" s="56">
        <f t="shared" si="61"/>
        <v>9900238.23887337</v>
      </c>
      <c r="P61" s="56">
        <f t="shared" si="61"/>
        <v>2441876.1400580145</v>
      </c>
      <c r="Q61" s="56">
        <f t="shared" si="61"/>
        <v>1298628.1234334791</v>
      </c>
      <c r="R61" s="56">
        <f t="shared" si="61"/>
        <v>17311985.30301838</v>
      </c>
      <c r="S61" s="64">
        <f>IFERROR(s_RadSpec!$F$18*S18,".")*$B$61</f>
        <v>5.5923121520237855E-8</v>
      </c>
      <c r="T61" s="64">
        <f>IFERROR(s_RadSpec!$M$18*T18,".")*$B$61</f>
        <v>5.6114811239453626E-9</v>
      </c>
      <c r="U61" s="64">
        <f>IFERROR(s_RadSpec!$N$18*U18,".")*$B$61</f>
        <v>2.2750949193794938E-8</v>
      </c>
      <c r="V61" s="64">
        <f>IFERROR(s_RadSpec!$O$18*V18,".")*$B$61</f>
        <v>4.2779760423728205E-8</v>
      </c>
      <c r="W61" s="64">
        <f>IFERROR(s_RadSpec!$K$18*W18,".")*$B$61</f>
        <v>3.2090484729278201E-9</v>
      </c>
      <c r="X61" s="73">
        <f t="shared" si="46"/>
        <v>5.5923121520237855E-8</v>
      </c>
      <c r="Y61" s="73">
        <f t="shared" si="46"/>
        <v>5.6114811239453626E-9</v>
      </c>
      <c r="Z61" s="73">
        <f t="shared" si="46"/>
        <v>2.2750949193794938E-8</v>
      </c>
      <c r="AA61" s="73">
        <f t="shared" si="46"/>
        <v>4.2779760423728205E-8</v>
      </c>
      <c r="AB61" s="73">
        <f t="shared" si="46"/>
        <v>3.2090484729278201E-9</v>
      </c>
      <c r="AC61" s="56">
        <f t="shared" si="61"/>
        <v>1.0028581457152885E-2</v>
      </c>
      <c r="AD61" s="56">
        <f t="shared" si="61"/>
        <v>19051216.096172679</v>
      </c>
      <c r="AE61" s="56">
        <f t="shared" si="47"/>
        <v>1.0028581451873828E-2</v>
      </c>
      <c r="AF61" s="64">
        <f>IFERROR(s_RadSpec!$G$18*AF18,".")*$B$61</f>
        <v>5.5396668250000003</v>
      </c>
      <c r="AG61" s="64">
        <f>IFERROR(s_RadSpec!$J$18*AG18,".")*$B$61</f>
        <v>2.9160868114430133E-9</v>
      </c>
      <c r="AH61" s="73">
        <f t="shared" si="48"/>
        <v>0.99607216472315763</v>
      </c>
      <c r="AI61" s="73">
        <f t="shared" si="48"/>
        <v>2.9160868114430133E-9</v>
      </c>
      <c r="AJ61" s="73">
        <f t="shared" si="49"/>
        <v>0.99607216473461158</v>
      </c>
    </row>
    <row r="62" spans="1:36" x14ac:dyDescent="0.25">
      <c r="A62" s="55" t="s">
        <v>318</v>
      </c>
      <c r="B62" s="50">
        <v>1.339E-6</v>
      </c>
      <c r="C62" s="56">
        <f>IFERROR(C27/$B62,0)</f>
        <v>0</v>
      </c>
      <c r="D62" s="56">
        <f>IFERROR(D27/$B62,0)</f>
        <v>0</v>
      </c>
      <c r="E62" s="56">
        <f>IFERROR(E27/$B62,0)</f>
        <v>8986220705.7034264</v>
      </c>
      <c r="F62" s="56">
        <f t="shared" ref="F62" si="62">IFERROR(SUM(C62:E62),0)</f>
        <v>8986220705.7034264</v>
      </c>
      <c r="G62" s="64">
        <f>IFERROR(s_RadSpec!$I$27*G27,".")*$B$62</f>
        <v>0</v>
      </c>
      <c r="H62" s="64">
        <f>IFERROR(s_RadSpec!$G$27*H27,".")*$B$62</f>
        <v>0</v>
      </c>
      <c r="I62" s="64">
        <f>IFERROR(s_RadSpec!$F$27*I27,".")*$B$62</f>
        <v>6.1822429939585198E-12</v>
      </c>
      <c r="J62" s="73">
        <f t="shared" si="43"/>
        <v>0</v>
      </c>
      <c r="K62" s="73">
        <f t="shared" si="43"/>
        <v>0</v>
      </c>
      <c r="L62" s="73">
        <f t="shared" si="43"/>
        <v>6.1822429939585198E-12</v>
      </c>
      <c r="M62" s="73">
        <f t="shared" si="44"/>
        <v>6.1822429939585198E-12</v>
      </c>
      <c r="N62" s="56">
        <f t="shared" ref="N62:AD62" si="63">IFERROR(N27/$B62,0)</f>
        <v>8986220705.7034264</v>
      </c>
      <c r="O62" s="56">
        <f t="shared" si="63"/>
        <v>78493181814.758545</v>
      </c>
      <c r="P62" s="56">
        <f t="shared" si="63"/>
        <v>22633757361.090252</v>
      </c>
      <c r="Q62" s="56">
        <f t="shared" si="63"/>
        <v>12384967151.08374</v>
      </c>
      <c r="R62" s="56">
        <f t="shared" si="63"/>
        <v>59407755140.083183</v>
      </c>
      <c r="S62" s="64">
        <f>IFERROR(s_RadSpec!$F$27*S27,".")*$B$62</f>
        <v>6.1822429939585198E-12</v>
      </c>
      <c r="T62" s="64">
        <f>IFERROR(s_RadSpec!$M$27*T27,".")*$B$62</f>
        <v>7.0776848021154305E-13</v>
      </c>
      <c r="U62" s="64">
        <f>IFERROR(s_RadSpec!$N$27*U27,".")*$B$62</f>
        <v>2.4545195529711181E-12</v>
      </c>
      <c r="V62" s="64">
        <f>IFERROR(s_RadSpec!$O$27*V27,".")*$B$62</f>
        <v>4.4856800443866065E-12</v>
      </c>
      <c r="W62" s="64">
        <f>IFERROR(s_RadSpec!$K$27*W27,".")*$B$62</f>
        <v>9.3514726939271787E-13</v>
      </c>
      <c r="X62" s="73">
        <f t="shared" si="46"/>
        <v>6.1822429939585198E-12</v>
      </c>
      <c r="Y62" s="73">
        <f t="shared" si="46"/>
        <v>7.0776848021154305E-13</v>
      </c>
      <c r="Z62" s="73">
        <f t="shared" si="46"/>
        <v>2.4545195529711181E-12</v>
      </c>
      <c r="AA62" s="73">
        <f t="shared" si="46"/>
        <v>4.4856800443866065E-12</v>
      </c>
      <c r="AB62" s="73">
        <f t="shared" si="46"/>
        <v>9.3514726939271787E-13</v>
      </c>
      <c r="AC62" s="56">
        <f t="shared" si="63"/>
        <v>0</v>
      </c>
      <c r="AD62" s="56">
        <f t="shared" si="63"/>
        <v>63274580199.646706</v>
      </c>
      <c r="AE62" s="56">
        <f t="shared" si="47"/>
        <v>63274580199.646698</v>
      </c>
      <c r="AF62" s="64">
        <f>IFERROR(s_RadSpec!$G$27*AF27,".")*$B$62</f>
        <v>0</v>
      </c>
      <c r="AG62" s="64">
        <f>IFERROR(s_RadSpec!$J$27*AG27,".")*$B$62</f>
        <v>8.7799871330177839E-13</v>
      </c>
      <c r="AH62" s="73">
        <f t="shared" si="48"/>
        <v>0</v>
      </c>
      <c r="AI62" s="73">
        <f t="shared" si="48"/>
        <v>8.7799871330177839E-13</v>
      </c>
      <c r="AJ62" s="73">
        <f t="shared" si="49"/>
        <v>8.7799871330177839E-13</v>
      </c>
    </row>
    <row r="63" spans="1:36" x14ac:dyDescent="0.25">
      <c r="A63" s="52" t="s">
        <v>35</v>
      </c>
      <c r="B63" s="52" t="s">
        <v>289</v>
      </c>
      <c r="C63" s="53">
        <f>1/SUM(1/C66,1/C68,1/C72,1/C73,1/C75)</f>
        <v>17.833138104199975</v>
      </c>
      <c r="D63" s="53">
        <f>1/SUM(1/D64,1/D65,1/D66,1/D68,1/D72,1/D73,1/D75)</f>
        <v>1456.2251020404051</v>
      </c>
      <c r="E63" s="53">
        <f>1/SUM(1/E64,1/E66,1/E68,1/E69,1/E70,1/E71,1/E72,1/E73,1/E74,1/E75,1/E76)</f>
        <v>4.2122424173291666</v>
      </c>
      <c r="F63" s="54">
        <f>1/SUM(1/F64,1/F65,1/F66,1/F68,1/F69,1/F70,1/F71,1/F72,1/F73,1/F74,1/F75,1/F76)</f>
        <v>3.399448899507556</v>
      </c>
      <c r="G63" s="71"/>
      <c r="H63" s="71"/>
      <c r="I63" s="71"/>
      <c r="J63" s="72">
        <f>IFERROR(IF(SUM(G64:G76)&gt;0.01,1-EXP(-SUM(G64:G76)),SUM(G64:G76)),".")</f>
        <v>3.115267749029317E-3</v>
      </c>
      <c r="K63" s="72">
        <f>IFERROR(IF(SUM(H64:H76)&gt;0.01,1-EXP(-SUM(H64:H76)),SUM(H64:H76)),".")</f>
        <v>3.8150008485747518E-5</v>
      </c>
      <c r="L63" s="72">
        <f>IFERROR(IF(SUM(I64:I76)&gt;0.01,1-EXP(-SUM(I64:I76)),SUM(I64:I76)),".")</f>
        <v>1.3102344108226749E-2</v>
      </c>
      <c r="M63" s="72">
        <f>IFERROR(IF(SUM(G64:I76)&gt;0.01,1-EXP(-SUM(G64:I76)),SUM(G64:I76)),".")</f>
        <v>1.620954297827637E-2</v>
      </c>
      <c r="N63" s="53">
        <f t="shared" ref="N63:R63" si="64">1/SUM(1/N64,1/N66,1/N68,1/N69,1/N70,1/N71,1/N72,1/N73,1/N74,1/N75,1/N76)</f>
        <v>4.2122424173291666</v>
      </c>
      <c r="O63" s="53">
        <f t="shared" si="64"/>
        <v>46.701200269132848</v>
      </c>
      <c r="P63" s="53">
        <f t="shared" si="64"/>
        <v>11.512365153037166</v>
      </c>
      <c r="Q63" s="53">
        <f t="shared" si="64"/>
        <v>5.9449587314610701</v>
      </c>
      <c r="R63" s="53">
        <f t="shared" si="64"/>
        <v>85.678669454575925</v>
      </c>
      <c r="S63" s="71"/>
      <c r="T63" s="71"/>
      <c r="U63" s="71"/>
      <c r="V63" s="71"/>
      <c r="W63" s="71"/>
      <c r="X63" s="72">
        <f>IFERROR(IF(SUM(S64:S76)&gt;0.01,1-EXP(-SUM(S64:S76)),SUM(S64:S76)),".")</f>
        <v>1.3102344108226749E-2</v>
      </c>
      <c r="Y63" s="72">
        <f t="shared" ref="Y63:AB63" si="65">IFERROR(IF(SUM(T64:T76)&gt;0.01,1-EXP(-SUM(T64:T76)),SUM(T64:T76)),".")</f>
        <v>1.1895839867036362E-3</v>
      </c>
      <c r="Z63" s="72">
        <f t="shared" si="65"/>
        <v>4.8256808450298002E-3</v>
      </c>
      <c r="AA63" s="72">
        <f t="shared" si="65"/>
        <v>9.3448924558550174E-3</v>
      </c>
      <c r="AB63" s="72">
        <f t="shared" si="65"/>
        <v>6.4841109641009865E-4</v>
      </c>
      <c r="AC63" s="53">
        <f>1/SUM(1/AC64,1/AC65,1/AC66,1/AC68,1/AC72,1/AC73,1/AC75)</f>
        <v>4.6939347851414027E-3</v>
      </c>
      <c r="AD63" s="53">
        <f t="shared" ref="AD63:AE63" si="66">1/SUM(1/AD64,1/AD65,1/AD66,1/AD67,1/AD68,1/AD69,1/AD70,1/AD71,1/AD72,1/AD73,1/AD74,1/AD75,1/AD76)</f>
        <v>103.1090430827925</v>
      </c>
      <c r="AE63" s="54">
        <f t="shared" si="66"/>
        <v>4.6937211082404926E-3</v>
      </c>
      <c r="AF63" s="71"/>
      <c r="AG63" s="71"/>
      <c r="AH63" s="72">
        <f>IFERROR(IF(SUM(AF64:AF76)&gt;0.01,1-EXP(-SUM(AF64:AF76)),SUM(AF64:AF76)),".")</f>
        <v>0.99999275708001834</v>
      </c>
      <c r="AI63" s="72">
        <f>IFERROR(IF(SUM(AG64:AG76)&gt;0.01,1-EXP(-SUM(AG64:AG76)),SUM(AG64:AG76)),".")</f>
        <v>5.3879852182695106E-4</v>
      </c>
      <c r="AJ63" s="72">
        <f>IFERROR(IF(SUM(AF64:AG76)&gt;0.01,1-EXP(-SUM(AF64:AG76)),SUM(AF64:AG76)),".")</f>
        <v>0.99999276098144174</v>
      </c>
    </row>
    <row r="64" spans="1:36" x14ac:dyDescent="0.25">
      <c r="A64" s="55" t="s">
        <v>306</v>
      </c>
      <c r="B64" s="60">
        <v>1</v>
      </c>
      <c r="C64" s="56">
        <f>IFERROR(C25/$B50,0)</f>
        <v>0</v>
      </c>
      <c r="D64" s="56">
        <f>IFERROR(D25/$B50,0)</f>
        <v>19791737.037179209</v>
      </c>
      <c r="E64" s="56">
        <f>IFERROR(E25/$B50,0)</f>
        <v>37780.558717240368</v>
      </c>
      <c r="F64" s="56">
        <f t="shared" ref="F64:F76" si="67">IF(AND(C64&lt;&gt;0,D64&lt;&gt;0,E64&lt;&gt;0),1/((1/C64)+(1/D64)+(1/E64)),IF(AND(C64&lt;&gt;0,D64&lt;&gt;0,E64=0), 1/((1/C64)+(1/D64)),IF(AND(C64&lt;&gt;0,D64=0,E64&lt;&gt;0),1/((1/C64)+(1/E64)),IF(AND(C64=0,D64&lt;&gt;0,E64&lt;&gt;0),1/((1/D64)+(1/E64)),IF(AND(C64&lt;&gt;0,D64=0,E64=0),1/((1/C64)),IF(AND(C64=0,D64&lt;&gt;0,E64=0),1/((1/D64)),IF(AND(C64=0,D64=0,E64&lt;&gt;0),1/((1/E64)),IF(AND(C64=0,D64=0,E64=0),0))))))))</f>
        <v>37708.576602189707</v>
      </c>
      <c r="G64" s="64">
        <f>IFERROR(s_RadSpec!$I$25*G25,".")*$B$64</f>
        <v>0</v>
      </c>
      <c r="H64" s="64">
        <f>IFERROR(s_RadSpec!$G$25*H25,".")*$B$64</f>
        <v>2.8069794932925148E-9</v>
      </c>
      <c r="I64" s="64">
        <f>IFERROR(s_RadSpec!$F$25*I25,".")*$B$64</f>
        <v>1.4704652838987429E-6</v>
      </c>
      <c r="J64" s="73">
        <f t="shared" ref="J64:L76" si="68">IFERROR(IF(G64&gt;0.01,1-EXP(-G64),G64),".")</f>
        <v>0</v>
      </c>
      <c r="K64" s="73">
        <f t="shared" si="68"/>
        <v>2.8069794932925148E-9</v>
      </c>
      <c r="L64" s="73">
        <f t="shared" si="68"/>
        <v>1.4704652838987429E-6</v>
      </c>
      <c r="M64" s="73">
        <f t="shared" ref="M64:M76" si="69">IFERROR(IF(SUM(G64:I64)&gt;0.01,1-EXP(-SUM(G64:I64)),SUM(G64:I64)),".")</f>
        <v>1.4732722633920354E-6</v>
      </c>
      <c r="N64" s="56">
        <f t="shared" ref="N64:AD64" si="70">IFERROR(N25/$B50,0)</f>
        <v>37780.558717240368</v>
      </c>
      <c r="O64" s="56">
        <f t="shared" si="70"/>
        <v>321017.19255572004</v>
      </c>
      <c r="P64" s="56">
        <f t="shared" si="70"/>
        <v>81597.529065042079</v>
      </c>
      <c r="Q64" s="56">
        <f t="shared" si="70"/>
        <v>47604.832445548098</v>
      </c>
      <c r="R64" s="56">
        <f t="shared" si="70"/>
        <v>586292.14665968216</v>
      </c>
      <c r="S64" s="64">
        <f>IFERROR(s_RadSpec!$F$25*S25,".")*$B$64</f>
        <v>1.4704652838987429E-6</v>
      </c>
      <c r="T64" s="64">
        <f>IFERROR(s_RadSpec!$M$25*T25,".")*$B$64</f>
        <v>1.7305926688134353E-7</v>
      </c>
      <c r="U64" s="64">
        <f>IFERROR(s_RadSpec!$N$25*U25,".")*$B$64</f>
        <v>6.808416950434447E-7</v>
      </c>
      <c r="V64" s="64">
        <f>IFERROR(s_RadSpec!$O$25*V25,".")*$B$64</f>
        <v>1.1670033722636362E-6</v>
      </c>
      <c r="W64" s="64">
        <f>IFERROR(s_RadSpec!$K$25*W25,".")*$B$64</f>
        <v>9.4756513994800809E-8</v>
      </c>
      <c r="X64" s="73">
        <f t="shared" ref="X64:AB76" si="71">IFERROR(IF(S64&gt;0.01,1-EXP(-S64),S64),".")</f>
        <v>1.4704652838987429E-6</v>
      </c>
      <c r="Y64" s="73">
        <f t="shared" si="71"/>
        <v>1.7305926688134353E-7</v>
      </c>
      <c r="Z64" s="73">
        <f t="shared" si="71"/>
        <v>6.808416950434447E-7</v>
      </c>
      <c r="AA64" s="73">
        <f t="shared" si="71"/>
        <v>1.1670033722636362E-6</v>
      </c>
      <c r="AB64" s="73">
        <f t="shared" si="71"/>
        <v>9.4756513994800809E-8</v>
      </c>
      <c r="AC64" s="56">
        <f t="shared" si="70"/>
        <v>63.795853269537481</v>
      </c>
      <c r="AD64" s="56">
        <f t="shared" si="70"/>
        <v>490671.60880790063</v>
      </c>
      <c r="AE64" s="56">
        <f t="shared" ref="AE64:AE76" si="72">IFERROR(IF(AND(AC64&lt;&gt;0,AD64&lt;&gt;0),1/((1/AC64)+(1/AD64)),IF(AND(AC64&lt;&gt;0,AD64=0),1/((1/AC64)),IF(AND(AC64=0,AD64&lt;&gt;0),1/((1/AD64)),IF(AND(AC64=0,AD64=0),0)))),0)</f>
        <v>63.78755977602605</v>
      </c>
      <c r="AF64" s="64">
        <f>IFERROR(s_RadSpec!$G$25*AF25,".")*$B$64</f>
        <v>8.7082462499999997E-4</v>
      </c>
      <c r="AG64" s="64">
        <f>IFERROR(s_RadSpec!$J$25*AG25,".")*$B$64</f>
        <v>1.1322236502530136E-7</v>
      </c>
      <c r="AH64" s="73">
        <f t="shared" ref="AH64:AI76" si="73">IFERROR(IF(AF64&gt;0.01,1-EXP(-AF64),AF64),".")</f>
        <v>8.7082462499999997E-4</v>
      </c>
      <c r="AI64" s="73">
        <f t="shared" si="73"/>
        <v>1.1322236502530136E-7</v>
      </c>
      <c r="AJ64" s="73">
        <f t="shared" ref="AJ64:AJ76" si="74">IFERROR(IF(SUM(AF64:AG64)&gt;0.01,1-EXP(-SUM(AF64:AG64)),SUM(AF64:AG64)),".")</f>
        <v>8.7093784736502527E-4</v>
      </c>
    </row>
    <row r="65" spans="1:36" x14ac:dyDescent="0.25">
      <c r="A65" s="55" t="s">
        <v>307</v>
      </c>
      <c r="B65" s="60">
        <v>1</v>
      </c>
      <c r="C65" s="56">
        <f>IFERROR(C21/$B51,0)</f>
        <v>0</v>
      </c>
      <c r="D65" s="56">
        <f>IFERROR(D21/$B51,0)</f>
        <v>3246414.4204869489</v>
      </c>
      <c r="E65" s="56">
        <f>IFERROR(E21/$B51,0)</f>
        <v>0</v>
      </c>
      <c r="F65" s="56">
        <f t="shared" si="67"/>
        <v>3246414.4204869489</v>
      </c>
      <c r="G65" s="64">
        <f>IFERROR(s_RadSpec!$I$21*G21,".")*$B$65</f>
        <v>0</v>
      </c>
      <c r="H65" s="64">
        <f>IFERROR(s_RadSpec!$G$21*H21,".")*$B$65</f>
        <v>1.7112725858230684E-8</v>
      </c>
      <c r="I65" s="64">
        <f>IFERROR(s_RadSpec!$F$21*I21,".")*$B$65</f>
        <v>0</v>
      </c>
      <c r="J65" s="73">
        <f t="shared" si="68"/>
        <v>0</v>
      </c>
      <c r="K65" s="73">
        <f t="shared" si="68"/>
        <v>1.7112725858230684E-8</v>
      </c>
      <c r="L65" s="73">
        <f t="shared" si="68"/>
        <v>0</v>
      </c>
      <c r="M65" s="73">
        <f t="shared" si="69"/>
        <v>1.7112725858230684E-8</v>
      </c>
      <c r="N65" s="56">
        <f t="shared" ref="N65:AD65" si="75">IFERROR(N21/$B51,0)</f>
        <v>0</v>
      </c>
      <c r="O65" s="56">
        <f t="shared" si="75"/>
        <v>0</v>
      </c>
      <c r="P65" s="56">
        <f t="shared" si="75"/>
        <v>0</v>
      </c>
      <c r="Q65" s="56">
        <f t="shared" si="75"/>
        <v>0</v>
      </c>
      <c r="R65" s="56">
        <f t="shared" si="75"/>
        <v>0</v>
      </c>
      <c r="S65" s="64">
        <f>IFERROR(s_RadSpec!$F$21*S21,".")*$B$65</f>
        <v>0</v>
      </c>
      <c r="T65" s="64">
        <f>IFERROR(s_RadSpec!$M$21*T21,".")*$B$65</f>
        <v>0</v>
      </c>
      <c r="U65" s="64">
        <f>IFERROR(s_RadSpec!$N$21*U21,".")*$B$65</f>
        <v>0</v>
      </c>
      <c r="V65" s="64">
        <f>IFERROR(s_RadSpec!$O$21*V21,".")*$B$65</f>
        <v>0</v>
      </c>
      <c r="W65" s="64">
        <f>IFERROR(s_RadSpec!$K$21*W21,".")*$B$65</f>
        <v>0</v>
      </c>
      <c r="X65" s="73">
        <f t="shared" si="71"/>
        <v>0</v>
      </c>
      <c r="Y65" s="73">
        <f t="shared" si="71"/>
        <v>0</v>
      </c>
      <c r="Z65" s="73">
        <f t="shared" si="71"/>
        <v>0</v>
      </c>
      <c r="AA65" s="73">
        <f t="shared" si="71"/>
        <v>0</v>
      </c>
      <c r="AB65" s="73">
        <f t="shared" si="71"/>
        <v>0</v>
      </c>
      <c r="AC65" s="56">
        <f t="shared" si="75"/>
        <v>10.464355788096794</v>
      </c>
      <c r="AD65" s="56">
        <f t="shared" si="75"/>
        <v>20178506989.437328</v>
      </c>
      <c r="AE65" s="56">
        <f t="shared" si="72"/>
        <v>10.464355782670093</v>
      </c>
      <c r="AF65" s="64">
        <f>IFERROR(s_RadSpec!$G$21*AF21,".")*$B$65</f>
        <v>5.3089746874999998E-3</v>
      </c>
      <c r="AG65" s="64">
        <f>IFERROR(s_RadSpec!$J$21*AG21,".")*$B$65</f>
        <v>2.7531769337087667E-12</v>
      </c>
      <c r="AH65" s="73">
        <f t="shared" si="73"/>
        <v>5.3089746874999998E-3</v>
      </c>
      <c r="AI65" s="73">
        <f t="shared" si="73"/>
        <v>2.7531769337087667E-12</v>
      </c>
      <c r="AJ65" s="73">
        <f t="shared" si="74"/>
        <v>5.3089746902531768E-3</v>
      </c>
    </row>
    <row r="66" spans="1:36" x14ac:dyDescent="0.25">
      <c r="A66" s="55" t="s">
        <v>308</v>
      </c>
      <c r="B66" s="61">
        <v>0.99980000000000002</v>
      </c>
      <c r="C66" s="56">
        <f>IFERROR(C17/$B52,0)</f>
        <v>164932.48025460506</v>
      </c>
      <c r="D66" s="56">
        <f>IFERROR(D17/$B52,0)</f>
        <v>580877.57119980734</v>
      </c>
      <c r="E66" s="56">
        <f>IFERROR(E17/$B52,0)</f>
        <v>88.489397454709447</v>
      </c>
      <c r="F66" s="56">
        <f t="shared" si="67"/>
        <v>88.428482931867549</v>
      </c>
      <c r="G66" s="64">
        <f>IFERROR(s_RadSpec!$I$17*G17,".")*$B$66</f>
        <v>3.3683480606270002E-7</v>
      </c>
      <c r="H66" s="64">
        <f>IFERROR(s_RadSpec!$G$17*H17,".")*$B$66</f>
        <v>9.5639774634869593E-8</v>
      </c>
      <c r="I66" s="64">
        <f>IFERROR(s_RadSpec!$F$17*I17,".")*$B$66</f>
        <v>6.2781532701060717E-4</v>
      </c>
      <c r="J66" s="73">
        <f t="shared" si="68"/>
        <v>3.3683480606270002E-7</v>
      </c>
      <c r="K66" s="73">
        <f t="shared" si="68"/>
        <v>9.5639774634869593E-8</v>
      </c>
      <c r="L66" s="73">
        <f t="shared" si="68"/>
        <v>6.2781532701060717E-4</v>
      </c>
      <c r="M66" s="73">
        <f t="shared" si="69"/>
        <v>6.2824780159130469E-4</v>
      </c>
      <c r="N66" s="56">
        <f t="shared" ref="N66:AD66" si="76">IFERROR(N17/$B52,0)</f>
        <v>88.489397454709447</v>
      </c>
      <c r="O66" s="56">
        <f t="shared" si="76"/>
        <v>679.80538577332356</v>
      </c>
      <c r="P66" s="56">
        <f t="shared" si="76"/>
        <v>183.89672815123467</v>
      </c>
      <c r="Q66" s="56">
        <f t="shared" si="76"/>
        <v>110.63190490357185</v>
      </c>
      <c r="R66" s="56">
        <f t="shared" si="76"/>
        <v>1320.3313674239118</v>
      </c>
      <c r="S66" s="64">
        <f>IFERROR(s_RadSpec!$F$17*S17,".")*$B$66</f>
        <v>6.2781532701060717E-4</v>
      </c>
      <c r="T66" s="64">
        <f>IFERROR(s_RadSpec!$M$17*T17,".")*$B$66</f>
        <v>8.1721918011582834E-5</v>
      </c>
      <c r="U66" s="64">
        <f>IFERROR(s_RadSpec!$N$17*U17,".")*$B$66</f>
        <v>3.0209890387126499E-4</v>
      </c>
      <c r="V66" s="64">
        <f>IFERROR(s_RadSpec!$O$17*V17,".")*$B$66</f>
        <v>5.0216074692397653E-4</v>
      </c>
      <c r="W66" s="64">
        <f>IFERROR(s_RadSpec!$K$17*W17,".")*$B$66</f>
        <v>4.207655848424848E-5</v>
      </c>
      <c r="X66" s="73">
        <f t="shared" si="71"/>
        <v>6.2781532701060717E-4</v>
      </c>
      <c r="Y66" s="73">
        <f t="shared" si="71"/>
        <v>8.1721918011582834E-5</v>
      </c>
      <c r="Z66" s="73">
        <f t="shared" si="71"/>
        <v>3.0209890387126499E-4</v>
      </c>
      <c r="AA66" s="73">
        <f t="shared" si="71"/>
        <v>5.0216074692397653E-4</v>
      </c>
      <c r="AB66" s="73">
        <f t="shared" si="71"/>
        <v>4.207655848424848E-5</v>
      </c>
      <c r="AC66" s="56">
        <f t="shared" si="76"/>
        <v>1.872376347271326</v>
      </c>
      <c r="AD66" s="56">
        <f t="shared" si="76"/>
        <v>781.40890061515358</v>
      </c>
      <c r="AE66" s="56">
        <f t="shared" si="72"/>
        <v>1.8679005691710033</v>
      </c>
      <c r="AF66" s="64">
        <f>IFERROR(s_RadSpec!$G$17*AF17,".")*$B$66</f>
        <v>2.9670851205187504E-2</v>
      </c>
      <c r="AG66" s="64">
        <f>IFERROR(s_RadSpec!$J$17*AG17,".")*$B$66</f>
        <v>7.1095939598672423E-5</v>
      </c>
      <c r="AH66" s="73">
        <f t="shared" si="73"/>
        <v>2.9234992899410117E-2</v>
      </c>
      <c r="AI66" s="73">
        <f t="shared" si="73"/>
        <v>7.1095939598672423E-5</v>
      </c>
      <c r="AJ66" s="73">
        <f t="shared" si="74"/>
        <v>2.930400789634735E-2</v>
      </c>
    </row>
    <row r="67" spans="1:36" x14ac:dyDescent="0.25">
      <c r="A67" s="55" t="s">
        <v>309</v>
      </c>
      <c r="B67" s="60">
        <v>2.0000000000000001E-4</v>
      </c>
      <c r="C67" s="56">
        <f>IFERROR(C5/$B53,0)</f>
        <v>0</v>
      </c>
      <c r="D67" s="56">
        <f>IFERROR(D5/$B53,0)</f>
        <v>0</v>
      </c>
      <c r="E67" s="56">
        <f>IFERROR(E5/$B53,0)</f>
        <v>0</v>
      </c>
      <c r="F67" s="56">
        <f t="shared" si="67"/>
        <v>0</v>
      </c>
      <c r="G67" s="64">
        <f>IFERROR(s_RadSpec!$I$5*G5,".")*$B$67</f>
        <v>0</v>
      </c>
      <c r="H67" s="64">
        <f>IFERROR(s_RadSpec!$G$5*H5,".")*$B$67</f>
        <v>0</v>
      </c>
      <c r="I67" s="64">
        <f>IFERROR(s_RadSpec!$F$5*I5,".")*$B$67</f>
        <v>0</v>
      </c>
      <c r="J67" s="73">
        <f t="shared" si="68"/>
        <v>0</v>
      </c>
      <c r="K67" s="73">
        <f t="shared" si="68"/>
        <v>0</v>
      </c>
      <c r="L67" s="73">
        <f t="shared" si="68"/>
        <v>0</v>
      </c>
      <c r="M67" s="73">
        <f t="shared" si="69"/>
        <v>0</v>
      </c>
      <c r="N67" s="56">
        <f t="shared" ref="N67:AD67" si="77">IFERROR(N5/$B53,0)</f>
        <v>0</v>
      </c>
      <c r="O67" s="56">
        <f t="shared" si="77"/>
        <v>0</v>
      </c>
      <c r="P67" s="56">
        <f t="shared" si="77"/>
        <v>0</v>
      </c>
      <c r="Q67" s="56">
        <f t="shared" si="77"/>
        <v>0</v>
      </c>
      <c r="R67" s="56">
        <f t="shared" si="77"/>
        <v>0</v>
      </c>
      <c r="S67" s="64">
        <f>IFERROR(s_RadSpec!$F$5*S5,".")*$B$67</f>
        <v>0</v>
      </c>
      <c r="T67" s="64">
        <f>IFERROR(s_RadSpec!$M$5*T5,".")*$B$67</f>
        <v>0</v>
      </c>
      <c r="U67" s="64">
        <f>IFERROR(s_RadSpec!$N$5*U5,".")*$B$67</f>
        <v>0</v>
      </c>
      <c r="V67" s="64">
        <f>IFERROR(s_RadSpec!$O$5*V5,".")*$B$67</f>
        <v>0</v>
      </c>
      <c r="W67" s="64">
        <f>IFERROR(s_RadSpec!$K$5*W5,".")*$B$67</f>
        <v>0</v>
      </c>
      <c r="X67" s="73">
        <f t="shared" si="71"/>
        <v>0</v>
      </c>
      <c r="Y67" s="73">
        <f t="shared" si="71"/>
        <v>0</v>
      </c>
      <c r="Z67" s="73">
        <f t="shared" si="71"/>
        <v>0</v>
      </c>
      <c r="AA67" s="73">
        <f t="shared" si="71"/>
        <v>0</v>
      </c>
      <c r="AB67" s="73">
        <f t="shared" si="71"/>
        <v>0</v>
      </c>
      <c r="AC67" s="56">
        <f t="shared" si="77"/>
        <v>0</v>
      </c>
      <c r="AD67" s="56">
        <f t="shared" si="77"/>
        <v>129173018227.83745</v>
      </c>
      <c r="AE67" s="56">
        <f t="shared" si="72"/>
        <v>129173018227.83746</v>
      </c>
      <c r="AF67" s="64">
        <f>IFERROR(s_RadSpec!$G$5*AF5,".")*$B$67</f>
        <v>0</v>
      </c>
      <c r="AG67" s="64">
        <f>IFERROR(s_RadSpec!$J$5*AG5,".")*$B$67</f>
        <v>4.3008207721841092E-13</v>
      </c>
      <c r="AH67" s="73">
        <f t="shared" si="73"/>
        <v>0</v>
      </c>
      <c r="AI67" s="73">
        <f t="shared" si="73"/>
        <v>4.3008207721841092E-13</v>
      </c>
      <c r="AJ67" s="73">
        <f t="shared" si="74"/>
        <v>4.3008207721841092E-13</v>
      </c>
    </row>
    <row r="68" spans="1:36" x14ac:dyDescent="0.25">
      <c r="A68" s="55" t="s">
        <v>310</v>
      </c>
      <c r="B68" s="60">
        <v>0.99999979999999999</v>
      </c>
      <c r="C68" s="56">
        <f>IFERROR(C9/$B54,0)</f>
        <v>246934.96968874842</v>
      </c>
      <c r="D68" s="56">
        <f>IFERROR(D9/$B54,0)</f>
        <v>730180.73575732182</v>
      </c>
      <c r="E68" s="56">
        <f>IFERROR(E9/$B54,0)</f>
        <v>4.4255122316576694</v>
      </c>
      <c r="F68" s="56">
        <f t="shared" si="67"/>
        <v>4.4254060988382031</v>
      </c>
      <c r="G68" s="64">
        <f>IFERROR(s_RadSpec!$I$9*G9,".")*$B$68</f>
        <v>2.2497826075433883E-7</v>
      </c>
      <c r="H68" s="64">
        <f>IFERROR(s_RadSpec!$G$9*H9,".")*$B$68</f>
        <v>7.608390262772407E-8</v>
      </c>
      <c r="I68" s="64">
        <f>IFERROR(s_RadSpec!$F$9*I9,".")*$B$68</f>
        <v>1.255334910218759E-2</v>
      </c>
      <c r="J68" s="73">
        <f t="shared" si="68"/>
        <v>2.2497826075433883E-7</v>
      </c>
      <c r="K68" s="73">
        <f t="shared" si="68"/>
        <v>7.608390262772407E-8</v>
      </c>
      <c r="L68" s="73">
        <f t="shared" si="68"/>
        <v>1.2474884489754534E-2</v>
      </c>
      <c r="M68" s="73">
        <f t="shared" si="69"/>
        <v>1.2475181796157475E-2</v>
      </c>
      <c r="N68" s="56">
        <f t="shared" ref="N68:AD68" si="78">IFERROR(N9/$B54,0)</f>
        <v>4.4255122316576694</v>
      </c>
      <c r="O68" s="56">
        <f t="shared" si="78"/>
        <v>50.188162256216756</v>
      </c>
      <c r="P68" s="56">
        <f t="shared" si="78"/>
        <v>12.290438665006086</v>
      </c>
      <c r="Q68" s="56">
        <f t="shared" si="78"/>
        <v>6.2867489125449127</v>
      </c>
      <c r="R68" s="56">
        <f t="shared" si="78"/>
        <v>91.806627199311791</v>
      </c>
      <c r="S68" s="64">
        <f>IFERROR(s_RadSpec!$F$9*S9,".")*$B$68</f>
        <v>1.255334910218759E-2</v>
      </c>
      <c r="T68" s="64">
        <f>IFERROR(s_RadSpec!$M$9*T9,".")*$B$68</f>
        <v>1.1069343347617482E-3</v>
      </c>
      <c r="U68" s="64">
        <f>IFERROR(s_RadSpec!$N$9*U9,".")*$B$68</f>
        <v>4.520180403176235E-3</v>
      </c>
      <c r="V68" s="64">
        <f>IFERROR(s_RadSpec!$O$9*V9,".")*$B$68</f>
        <v>8.8368409129785004E-3</v>
      </c>
      <c r="W68" s="64">
        <f>IFERROR(s_RadSpec!$K$9*W9,".")*$B$68</f>
        <v>6.0513060652353924E-4</v>
      </c>
      <c r="X68" s="73">
        <f t="shared" si="71"/>
        <v>1.2474884489754534E-2</v>
      </c>
      <c r="Y68" s="73">
        <f t="shared" si="71"/>
        <v>1.1069343347617482E-3</v>
      </c>
      <c r="Z68" s="73">
        <f t="shared" si="71"/>
        <v>4.520180403176235E-3</v>
      </c>
      <c r="AA68" s="73">
        <f t="shared" si="71"/>
        <v>8.8368409129785004E-3</v>
      </c>
      <c r="AB68" s="73">
        <f t="shared" si="71"/>
        <v>6.0513060652353924E-4</v>
      </c>
      <c r="AC68" s="56">
        <f t="shared" si="78"/>
        <v>2.3536338923213651</v>
      </c>
      <c r="AD68" s="56">
        <f t="shared" si="78"/>
        <v>119.02856416225418</v>
      </c>
      <c r="AE68" s="56">
        <f t="shared" si="72"/>
        <v>2.3079962898733264</v>
      </c>
      <c r="AF68" s="64">
        <f>IFERROR(s_RadSpec!$G$9*AF9,".")*$B$68</f>
        <v>2.3603925904213872E-2</v>
      </c>
      <c r="AG68" s="64">
        <f>IFERROR(s_RadSpec!$J$9*AG9,".")*$B$68</f>
        <v>4.6673670636125636E-4</v>
      </c>
      <c r="AH68" s="73">
        <f t="shared" si="73"/>
        <v>2.332753217499961E-2</v>
      </c>
      <c r="AI68" s="73">
        <f t="shared" si="73"/>
        <v>4.6673670636125636E-4</v>
      </c>
      <c r="AJ68" s="73">
        <f t="shared" si="74"/>
        <v>2.3783274701669632E-2</v>
      </c>
    </row>
    <row r="69" spans="1:36" x14ac:dyDescent="0.25">
      <c r="A69" s="55" t="s">
        <v>311</v>
      </c>
      <c r="B69" s="60">
        <v>1.9999999999999999E-7</v>
      </c>
      <c r="C69" s="56">
        <f>IFERROR(C24/$B55,0)</f>
        <v>0</v>
      </c>
      <c r="D69" s="56">
        <f>IFERROR(D24/$B55,0)</f>
        <v>0</v>
      </c>
      <c r="E69" s="56">
        <f>IFERROR(E24/$B55,0)</f>
        <v>84697271979.424286</v>
      </c>
      <c r="F69" s="56">
        <f t="shared" si="67"/>
        <v>84697271979.424286</v>
      </c>
      <c r="G69" s="64">
        <f>IFERROR(s_RadSpec!$I$24*G24,".")*$B$69</f>
        <v>0</v>
      </c>
      <c r="H69" s="64">
        <f>IFERROR(s_RadSpec!$G$24*H24,".")*$B$69</f>
        <v>0</v>
      </c>
      <c r="I69" s="64">
        <f>IFERROR(s_RadSpec!$F$24*I24,".")*$B$69</f>
        <v>6.5592431375471138E-13</v>
      </c>
      <c r="J69" s="73">
        <f t="shared" si="68"/>
        <v>0</v>
      </c>
      <c r="K69" s="73">
        <f t="shared" si="68"/>
        <v>0</v>
      </c>
      <c r="L69" s="73">
        <f t="shared" si="68"/>
        <v>6.5592431375471138E-13</v>
      </c>
      <c r="M69" s="73">
        <f t="shared" si="69"/>
        <v>6.5592431375471138E-13</v>
      </c>
      <c r="N69" s="56">
        <f t="shared" ref="N69:AD69" si="79">IFERROR(N24/$B55,0)</f>
        <v>84697271979.424286</v>
      </c>
      <c r="O69" s="56">
        <f t="shared" si="79"/>
        <v>746173797173.31934</v>
      </c>
      <c r="P69" s="56">
        <f t="shared" si="79"/>
        <v>187156095300.03778</v>
      </c>
      <c r="Q69" s="56">
        <f t="shared" si="79"/>
        <v>100985752564.93889</v>
      </c>
      <c r="R69" s="56">
        <f t="shared" si="79"/>
        <v>1269500531619.2192</v>
      </c>
      <c r="S69" s="64">
        <f>IFERROR(s_RadSpec!$F$24*S24,".")*$B$69</f>
        <v>6.5592431375471138E-13</v>
      </c>
      <c r="T69" s="64">
        <f>IFERROR(s_RadSpec!$M$24*T24,".")*$B$69</f>
        <v>7.4453163874763925E-14</v>
      </c>
      <c r="U69" s="64">
        <f>IFERROR(s_RadSpec!$N$24*U24,".")*$B$69</f>
        <v>2.9683778084244291E-13</v>
      </c>
      <c r="V69" s="64">
        <f>IFERROR(s_RadSpec!$O$24*V24,".")*$B$69</f>
        <v>5.5012710792322254E-13</v>
      </c>
      <c r="W69" s="64">
        <f>IFERROR(s_RadSpec!$K$24*W24,".")*$B$69</f>
        <v>4.3761305030050551E-14</v>
      </c>
      <c r="X69" s="73">
        <f t="shared" si="71"/>
        <v>6.5592431375471138E-13</v>
      </c>
      <c r="Y69" s="73">
        <f t="shared" si="71"/>
        <v>7.4453163874763925E-14</v>
      </c>
      <c r="Z69" s="73">
        <f t="shared" si="71"/>
        <v>2.9683778084244291E-13</v>
      </c>
      <c r="AA69" s="73">
        <f t="shared" si="71"/>
        <v>5.5012710792322254E-13</v>
      </c>
      <c r="AB69" s="73">
        <f t="shared" si="71"/>
        <v>4.3761305030050551E-14</v>
      </c>
      <c r="AC69" s="56">
        <f t="shared" si="79"/>
        <v>0</v>
      </c>
      <c r="AD69" s="56">
        <f t="shared" si="79"/>
        <v>1249145670774.6921</v>
      </c>
      <c r="AE69" s="56">
        <f t="shared" si="72"/>
        <v>1249145670774.6921</v>
      </c>
      <c r="AF69" s="64">
        <f>IFERROR(s_RadSpec!$G$24*AF24,".")*$B$69</f>
        <v>0</v>
      </c>
      <c r="AG69" s="64">
        <f>IFERROR(s_RadSpec!$J$24*AG24,".")*$B$69</f>
        <v>4.4474396621449307E-14</v>
      </c>
      <c r="AH69" s="73">
        <f t="shared" si="73"/>
        <v>0</v>
      </c>
      <c r="AI69" s="73">
        <f t="shared" si="73"/>
        <v>4.4474396621449307E-14</v>
      </c>
      <c r="AJ69" s="73">
        <f t="shared" si="74"/>
        <v>4.4474396621449307E-14</v>
      </c>
    </row>
    <row r="70" spans="1:36" x14ac:dyDescent="0.25">
      <c r="A70" s="55" t="s">
        <v>312</v>
      </c>
      <c r="B70" s="60">
        <v>0.99979000004200003</v>
      </c>
      <c r="C70" s="56">
        <f>IFERROR(C20/$B56,0)</f>
        <v>0</v>
      </c>
      <c r="D70" s="56">
        <f>IFERROR(D20/$B56,0)</f>
        <v>0</v>
      </c>
      <c r="E70" s="56">
        <f>IFERROR(E20/$B56,0)</f>
        <v>116614.50025830333</v>
      </c>
      <c r="F70" s="56">
        <f t="shared" si="67"/>
        <v>116614.50025830333</v>
      </c>
      <c r="G70" s="64">
        <f>IFERROR(s_RadSpec!$I$20*G20,".")*$B$70</f>
        <v>0</v>
      </c>
      <c r="H70" s="64">
        <f>IFERROR(s_RadSpec!$G$20*H20,".")*$B$70</f>
        <v>0</v>
      </c>
      <c r="I70" s="64">
        <f>IFERROR(s_RadSpec!$F$20*I20,".")*$B$70</f>
        <v>4.7639873152090526E-7</v>
      </c>
      <c r="J70" s="73">
        <f t="shared" si="68"/>
        <v>0</v>
      </c>
      <c r="K70" s="73">
        <f t="shared" si="68"/>
        <v>0</v>
      </c>
      <c r="L70" s="73">
        <f t="shared" si="68"/>
        <v>4.7639873152090526E-7</v>
      </c>
      <c r="M70" s="73">
        <f t="shared" si="69"/>
        <v>4.7639873152090526E-7</v>
      </c>
      <c r="N70" s="56">
        <f t="shared" ref="N70:AD70" si="80">IFERROR(N20/$B56,0)</f>
        <v>116614.50025830333</v>
      </c>
      <c r="O70" s="56">
        <f t="shared" si="80"/>
        <v>1162556.6311608364</v>
      </c>
      <c r="P70" s="56">
        <f t="shared" si="80"/>
        <v>288586.09767667647</v>
      </c>
      <c r="Q70" s="56">
        <f t="shared" si="80"/>
        <v>154279.30283396249</v>
      </c>
      <c r="R70" s="56">
        <f t="shared" si="80"/>
        <v>2033279.0375113955</v>
      </c>
      <c r="S70" s="64">
        <f>IFERROR(s_RadSpec!$F$20*S20,".")*$B$70</f>
        <v>4.7639873152090526E-7</v>
      </c>
      <c r="T70" s="64">
        <f>IFERROR(s_RadSpec!$M$20*T20,".")*$B$70</f>
        <v>4.778691937314674E-8</v>
      </c>
      <c r="U70" s="64">
        <f>IFERROR(s_RadSpec!$N$20*U20,".")*$B$70</f>
        <v>1.9250754089423332E-7</v>
      </c>
      <c r="V70" s="64">
        <f>IFERROR(s_RadSpec!$O$20*V20,".")*$B$70</f>
        <v>3.6009366765021632E-7</v>
      </c>
      <c r="W70" s="64">
        <f>IFERROR(s_RadSpec!$K$20*W20,".")*$B$70</f>
        <v>2.7322860746155037E-8</v>
      </c>
      <c r="X70" s="73">
        <f t="shared" si="71"/>
        <v>4.7639873152090526E-7</v>
      </c>
      <c r="Y70" s="73">
        <f t="shared" si="71"/>
        <v>4.778691937314674E-8</v>
      </c>
      <c r="Z70" s="73">
        <f t="shared" si="71"/>
        <v>1.9250754089423332E-7</v>
      </c>
      <c r="AA70" s="73">
        <f t="shared" si="71"/>
        <v>3.6009366765021632E-7</v>
      </c>
      <c r="AB70" s="73">
        <f t="shared" si="71"/>
        <v>2.7322860746155037E-8</v>
      </c>
      <c r="AC70" s="56">
        <f t="shared" si="80"/>
        <v>0</v>
      </c>
      <c r="AD70" s="56">
        <f t="shared" si="80"/>
        <v>2229335.9259507577</v>
      </c>
      <c r="AE70" s="56">
        <f t="shared" si="72"/>
        <v>2229335.9259507577</v>
      </c>
      <c r="AF70" s="64">
        <f>IFERROR(s_RadSpec!$G$20*AF20,".")*$B$70</f>
        <v>0</v>
      </c>
      <c r="AG70" s="64">
        <f>IFERROR(s_RadSpec!$J$20*AG20,".")*$B$70</f>
        <v>2.4919977000014982E-8</v>
      </c>
      <c r="AH70" s="73">
        <f t="shared" si="73"/>
        <v>0</v>
      </c>
      <c r="AI70" s="73">
        <f t="shared" si="73"/>
        <v>2.4919977000014982E-8</v>
      </c>
      <c r="AJ70" s="73">
        <f t="shared" si="74"/>
        <v>2.4919977000014982E-8</v>
      </c>
    </row>
    <row r="71" spans="1:36" x14ac:dyDescent="0.25">
      <c r="A71" s="55" t="s">
        <v>313</v>
      </c>
      <c r="B71" s="60">
        <v>2.0999995799999999E-4</v>
      </c>
      <c r="C71" s="56">
        <f>IFERROR(C29/$B57,0)</f>
        <v>0</v>
      </c>
      <c r="D71" s="56">
        <f>IFERROR(D29/$B57,0)</f>
        <v>0</v>
      </c>
      <c r="E71" s="56">
        <f>IFERROR(E29/$B57,0)</f>
        <v>12538.943964246568</v>
      </c>
      <c r="F71" s="56">
        <f t="shared" si="67"/>
        <v>12538.943964246568</v>
      </c>
      <c r="G71" s="64">
        <f>IFERROR(s_RadSpec!$I$29*G29,".")*$B$71</f>
        <v>0</v>
      </c>
      <c r="H71" s="64">
        <f>IFERROR(s_RadSpec!$G$29*H29,".")*$B$71</f>
        <v>0</v>
      </c>
      <c r="I71" s="64">
        <f>IFERROR(s_RadSpec!$F$29*I29,".")*$B$71</f>
        <v>4.4305964009735619E-6</v>
      </c>
      <c r="J71" s="73">
        <f t="shared" si="68"/>
        <v>0</v>
      </c>
      <c r="K71" s="73">
        <f t="shared" si="68"/>
        <v>0</v>
      </c>
      <c r="L71" s="73">
        <f t="shared" si="68"/>
        <v>4.4305964009735619E-6</v>
      </c>
      <c r="M71" s="73">
        <f t="shared" si="69"/>
        <v>4.4305964009735619E-6</v>
      </c>
      <c r="N71" s="56">
        <f t="shared" ref="N71:AD71" si="81">IFERROR(N29/$B57,0)</f>
        <v>12538.943964246568</v>
      </c>
      <c r="O71" s="56">
        <f t="shared" si="81"/>
        <v>135217.03879376804</v>
      </c>
      <c r="P71" s="56">
        <f t="shared" si="81"/>
        <v>33626.324845264455</v>
      </c>
      <c r="Q71" s="56">
        <f t="shared" si="81"/>
        <v>17870.617898053384</v>
      </c>
      <c r="R71" s="56">
        <f t="shared" si="81"/>
        <v>250821.44478144913</v>
      </c>
      <c r="S71" s="64">
        <f>IFERROR(s_RadSpec!$F$29*S29,".")*$B$71</f>
        <v>4.4305964009735619E-6</v>
      </c>
      <c r="T71" s="64">
        <f>IFERROR(s_RadSpec!$M$29*T29,".")*$B$71</f>
        <v>4.1085798428652214E-7</v>
      </c>
      <c r="U71" s="64">
        <f>IFERROR(s_RadSpec!$N$29*U29,".")*$B$71</f>
        <v>1.6521282137028933E-6</v>
      </c>
      <c r="V71" s="64">
        <f>IFERROR(s_RadSpec!$O$29*V29,".")*$B$71</f>
        <v>3.1087341420942976E-6</v>
      </c>
      <c r="W71" s="64">
        <f>IFERROR(s_RadSpec!$K$29*W29,".")*$B$71</f>
        <v>2.2149222546902761E-7</v>
      </c>
      <c r="X71" s="73">
        <f t="shared" si="71"/>
        <v>4.4305964009735619E-6</v>
      </c>
      <c r="Y71" s="73">
        <f t="shared" si="71"/>
        <v>4.1085798428652214E-7</v>
      </c>
      <c r="Z71" s="73">
        <f t="shared" si="71"/>
        <v>1.6521282137028933E-6</v>
      </c>
      <c r="AA71" s="73">
        <f t="shared" si="71"/>
        <v>3.1087341420942976E-6</v>
      </c>
      <c r="AB71" s="73">
        <f t="shared" si="71"/>
        <v>2.2149222546902761E-7</v>
      </c>
      <c r="AC71" s="56">
        <f t="shared" si="81"/>
        <v>0</v>
      </c>
      <c r="AD71" s="56">
        <f t="shared" si="81"/>
        <v>306394.28241227142</v>
      </c>
      <c r="AE71" s="56">
        <f t="shared" si="72"/>
        <v>306394.28241227142</v>
      </c>
      <c r="AF71" s="64">
        <f>IFERROR(s_RadSpec!$G$29*AF29,".")*$B$71</f>
        <v>0</v>
      </c>
      <c r="AG71" s="64">
        <f>IFERROR(s_RadSpec!$J$29*AG29,".")*$B$71</f>
        <v>1.8131865765447759E-7</v>
      </c>
      <c r="AH71" s="73">
        <f t="shared" si="73"/>
        <v>0</v>
      </c>
      <c r="AI71" s="73">
        <f t="shared" si="73"/>
        <v>1.8131865765447759E-7</v>
      </c>
      <c r="AJ71" s="73">
        <f t="shared" si="74"/>
        <v>1.8131865765447759E-7</v>
      </c>
    </row>
    <row r="72" spans="1:36" x14ac:dyDescent="0.25">
      <c r="A72" s="55" t="s">
        <v>314</v>
      </c>
      <c r="B72" s="60">
        <v>1</v>
      </c>
      <c r="C72" s="56">
        <f>IFERROR(C16/$B58,0)</f>
        <v>60.666727333394</v>
      </c>
      <c r="D72" s="56">
        <f>IFERROR(D16/$B58,0)</f>
        <v>2842.8879509083722</v>
      </c>
      <c r="E72" s="56">
        <f>IFERROR(E16/$B58,0)</f>
        <v>644809599.23567688</v>
      </c>
      <c r="F72" s="56">
        <f t="shared" si="67"/>
        <v>59.399154271810858</v>
      </c>
      <c r="G72" s="64">
        <f>IFERROR(s_RadSpec!$I$16*G16,".")*$B$72</f>
        <v>9.1574084250000006E-4</v>
      </c>
      <c r="H72" s="64">
        <f>IFERROR(s_RadSpec!$G$16*H16,".")*$B$72</f>
        <v>1.9541748025014073E-5</v>
      </c>
      <c r="I72" s="64">
        <f>IFERROR(s_RadSpec!$F$16*I16,".")*$B$72</f>
        <v>8.6157216123723871E-11</v>
      </c>
      <c r="J72" s="73">
        <f t="shared" si="68"/>
        <v>9.1574084250000006E-4</v>
      </c>
      <c r="K72" s="73">
        <f t="shared" si="68"/>
        <v>1.9541748025014073E-5</v>
      </c>
      <c r="L72" s="73">
        <f t="shared" si="68"/>
        <v>8.6157216123723871E-11</v>
      </c>
      <c r="M72" s="73">
        <f t="shared" si="69"/>
        <v>9.3528267668223028E-4</v>
      </c>
      <c r="N72" s="56">
        <f t="shared" ref="N72:AD72" si="82">IFERROR(N16/$B58,0)</f>
        <v>644809599.23567688</v>
      </c>
      <c r="O72" s="56">
        <f t="shared" si="82"/>
        <v>1787312978.8768268</v>
      </c>
      <c r="P72" s="56">
        <f t="shared" si="82"/>
        <v>697569733.94444859</v>
      </c>
      <c r="Q72" s="56">
        <f t="shared" si="82"/>
        <v>693444551.586308</v>
      </c>
      <c r="R72" s="56">
        <f t="shared" si="82"/>
        <v>23198419600.101421</v>
      </c>
      <c r="S72" s="64">
        <f>IFERROR(s_RadSpec!$F$16*S16,".")*$B$72</f>
        <v>8.6157216123723871E-11</v>
      </c>
      <c r="T72" s="64">
        <f>IFERROR(s_RadSpec!$M$16*T16,".")*$B$72</f>
        <v>3.1082972404145778E-11</v>
      </c>
      <c r="U72" s="64">
        <f>IFERROR(s_RadSpec!$N$16*U16,".")*$B$72</f>
        <v>7.9640783274614026E-11</v>
      </c>
      <c r="V72" s="64">
        <f>IFERROR(s_RadSpec!$O$16*V16,".")*$B$72</f>
        <v>8.0114552595320904E-11</v>
      </c>
      <c r="W72" s="64">
        <f>IFERROR(s_RadSpec!$K$16*W16,".")*$B$72</f>
        <v>2.3947752026934241E-12</v>
      </c>
      <c r="X72" s="73">
        <f t="shared" si="71"/>
        <v>8.6157216123723871E-11</v>
      </c>
      <c r="Y72" s="73">
        <f t="shared" si="71"/>
        <v>3.1082972404145778E-11</v>
      </c>
      <c r="Z72" s="73">
        <f t="shared" si="71"/>
        <v>7.9640783274614026E-11</v>
      </c>
      <c r="AA72" s="73">
        <f t="shared" si="71"/>
        <v>8.0114552595320904E-11</v>
      </c>
      <c r="AB72" s="73">
        <f t="shared" si="71"/>
        <v>2.3947752026934241E-12</v>
      </c>
      <c r="AC72" s="56">
        <f t="shared" si="82"/>
        <v>9.1636455272818898E-3</v>
      </c>
      <c r="AD72" s="56">
        <f t="shared" si="82"/>
        <v>202383.83864776907</v>
      </c>
      <c r="AE72" s="56">
        <f t="shared" si="72"/>
        <v>9.1636451123653824E-3</v>
      </c>
      <c r="AF72" s="64">
        <f>IFERROR(s_RadSpec!$G$16*AF16,".")*$B$72</f>
        <v>6.0625435406249997</v>
      </c>
      <c r="AG72" s="64">
        <f>IFERROR(s_RadSpec!$J$16*AG16,".")*$B$72</f>
        <v>2.7450314398220543E-7</v>
      </c>
      <c r="AH72" s="73">
        <f t="shared" si="73"/>
        <v>0.99767152921104285</v>
      </c>
      <c r="AI72" s="73">
        <f t="shared" si="73"/>
        <v>2.7450314398220543E-7</v>
      </c>
      <c r="AJ72" s="73">
        <f t="shared" si="74"/>
        <v>0.99767152985021534</v>
      </c>
    </row>
    <row r="73" spans="1:36" x14ac:dyDescent="0.25">
      <c r="A73" s="55" t="s">
        <v>315</v>
      </c>
      <c r="B73" s="60">
        <v>1</v>
      </c>
      <c r="C73" s="56">
        <f>IFERROR(C7/$B59,0)</f>
        <v>9730.7028000097307</v>
      </c>
      <c r="D73" s="56">
        <f>IFERROR(D7/$B59,0)</f>
        <v>99154.384629243243</v>
      </c>
      <c r="E73" s="56">
        <f>IFERROR(E7/$B59,0)</f>
        <v>41486.224832298147</v>
      </c>
      <c r="F73" s="56">
        <f t="shared" si="67"/>
        <v>7301.5527806688606</v>
      </c>
      <c r="G73" s="64">
        <f>IFERROR(s_RadSpec!$I$7*G7,".")*$B$73</f>
        <v>5.7092484625000003E-6</v>
      </c>
      <c r="H73" s="64">
        <f>IFERROR(s_RadSpec!$G$7*H7,".")*$B$73</f>
        <v>5.6028788043746651E-7</v>
      </c>
      <c r="I73" s="64">
        <f>IFERROR(s_RadSpec!$F$7*I7,".")*$B$73</f>
        <v>1.3391191949755071E-6</v>
      </c>
      <c r="J73" s="73">
        <f t="shared" si="68"/>
        <v>5.7092484625000003E-6</v>
      </c>
      <c r="K73" s="73">
        <f t="shared" si="68"/>
        <v>5.6028788043746651E-7</v>
      </c>
      <c r="L73" s="73">
        <f t="shared" si="68"/>
        <v>1.3391191949755071E-6</v>
      </c>
      <c r="M73" s="73">
        <f t="shared" si="69"/>
        <v>7.6086555379129741E-6</v>
      </c>
      <c r="N73" s="56">
        <f t="shared" ref="N73:AD73" si="83">IFERROR(N7/$B59,0)</f>
        <v>41486.224832298147</v>
      </c>
      <c r="O73" s="56">
        <f t="shared" si="83"/>
        <v>191314.52505623535</v>
      </c>
      <c r="P73" s="56">
        <f t="shared" si="83"/>
        <v>65111.827467156945</v>
      </c>
      <c r="Q73" s="56">
        <f t="shared" si="83"/>
        <v>45833.858587608665</v>
      </c>
      <c r="R73" s="56">
        <f t="shared" si="83"/>
        <v>64813.856990222586</v>
      </c>
      <c r="S73" s="64">
        <f>IFERROR(s_RadSpec!$F$7*S7,".")*$B$73</f>
        <v>1.3391191949755071E-6</v>
      </c>
      <c r="T73" s="64">
        <f>IFERROR(s_RadSpec!$M$7*T7,".")*$B$73</f>
        <v>2.9038568808965264E-7</v>
      </c>
      <c r="U73" s="64">
        <f>IFERROR(s_RadSpec!$N$7*U7,".")*$B$73</f>
        <v>8.5322440117384953E-7</v>
      </c>
      <c r="V73" s="64">
        <f>IFERROR(s_RadSpec!$O$7*V7,".")*$B$73</f>
        <v>1.2120952001850324E-6</v>
      </c>
      <c r="W73" s="64">
        <f>IFERROR(s_RadSpec!$K$7*W7,".")*$B$73</f>
        <v>8.5714695251635243E-7</v>
      </c>
      <c r="X73" s="73">
        <f t="shared" si="71"/>
        <v>1.3391191949755071E-6</v>
      </c>
      <c r="Y73" s="73">
        <f t="shared" si="71"/>
        <v>2.9038568808965264E-7</v>
      </c>
      <c r="Z73" s="73">
        <f t="shared" si="71"/>
        <v>8.5322440117384953E-7</v>
      </c>
      <c r="AA73" s="73">
        <f t="shared" si="71"/>
        <v>1.2120952001850324E-6</v>
      </c>
      <c r="AB73" s="73">
        <f t="shared" si="71"/>
        <v>8.5714695251635243E-7</v>
      </c>
      <c r="AC73" s="56">
        <f t="shared" si="83"/>
        <v>0.31961007570763672</v>
      </c>
      <c r="AD73" s="56">
        <f t="shared" si="83"/>
        <v>150559.27952383706</v>
      </c>
      <c r="AE73" s="56">
        <f t="shared" si="72"/>
        <v>0.3196093972347856</v>
      </c>
      <c r="AF73" s="64">
        <f>IFERROR(s_RadSpec!$G$7*AF7,".")*$B$73</f>
        <v>0.1738211784375</v>
      </c>
      <c r="AG73" s="64">
        <f>IFERROR(s_RadSpec!$J$7*AG7,".")*$B$73</f>
        <v>3.6899087306806843E-7</v>
      </c>
      <c r="AH73" s="73">
        <f t="shared" si="73"/>
        <v>0.15955282570141405</v>
      </c>
      <c r="AI73" s="73">
        <f t="shared" si="73"/>
        <v>3.6899087306806843E-7</v>
      </c>
      <c r="AJ73" s="73">
        <f t="shared" si="74"/>
        <v>0.15955313581869346</v>
      </c>
    </row>
    <row r="74" spans="1:36" x14ac:dyDescent="0.25">
      <c r="A74" s="55" t="s">
        <v>316</v>
      </c>
      <c r="B74" s="62">
        <v>1.9000000000000001E-8</v>
      </c>
      <c r="C74" s="56">
        <f>IFERROR(C12/$B60,0)</f>
        <v>0</v>
      </c>
      <c r="D74" s="56">
        <f>IFERROR(D12/$B60,0)</f>
        <v>0</v>
      </c>
      <c r="E74" s="56">
        <f>IFERROR(E12/$B60,0)</f>
        <v>9701315117.6567898</v>
      </c>
      <c r="F74" s="56">
        <f t="shared" si="67"/>
        <v>9701315117.6567898</v>
      </c>
      <c r="G74" s="64">
        <f>IFERROR(s_RadSpec!$I$12*G12,".")*$B$74</f>
        <v>0</v>
      </c>
      <c r="H74" s="64">
        <f>IFERROR(s_RadSpec!$G$12*H12,".")*$B$74</f>
        <v>0</v>
      </c>
      <c r="I74" s="64">
        <f>IFERROR(s_RadSpec!$F$12*I12,".")*$B$74</f>
        <v>5.726543187829E-12</v>
      </c>
      <c r="J74" s="73">
        <f t="shared" si="68"/>
        <v>0</v>
      </c>
      <c r="K74" s="73">
        <f t="shared" si="68"/>
        <v>0</v>
      </c>
      <c r="L74" s="73">
        <f t="shared" si="68"/>
        <v>5.726543187829E-12</v>
      </c>
      <c r="M74" s="73">
        <f t="shared" si="69"/>
        <v>5.726543187829E-12</v>
      </c>
      <c r="N74" s="56">
        <f t="shared" ref="N74:AD74" si="84">IFERROR(N12/$B60,0)</f>
        <v>9701315117.6567898</v>
      </c>
      <c r="O74" s="56">
        <f t="shared" si="84"/>
        <v>76589918728.700226</v>
      </c>
      <c r="P74" s="56">
        <f t="shared" si="84"/>
        <v>19911115242.52438</v>
      </c>
      <c r="Q74" s="56">
        <f t="shared" si="84"/>
        <v>11922785959.187998</v>
      </c>
      <c r="R74" s="56">
        <f t="shared" si="84"/>
        <v>129975196434.05005</v>
      </c>
      <c r="S74" s="64">
        <f>IFERROR(s_RadSpec!$F$12*S12,".")*$B$74</f>
        <v>5.726543187829E-12</v>
      </c>
      <c r="T74" s="64">
        <f>IFERROR(s_RadSpec!$M$12*T12,".")*$B$74</f>
        <v>7.2535656026466181E-13</v>
      </c>
      <c r="U74" s="64">
        <f>IFERROR(s_RadSpec!$N$12*U12,".")*$B$74</f>
        <v>2.7901500907066519E-12</v>
      </c>
      <c r="V74" s="64">
        <f>IFERROR(s_RadSpec!$O$12*V12,".")*$B$74</f>
        <v>4.6595653222465107E-12</v>
      </c>
      <c r="W74" s="64">
        <f>IFERROR(s_RadSpec!$K$12*W12,".")*$B$74</f>
        <v>4.2742770562527151E-13</v>
      </c>
      <c r="X74" s="73">
        <f t="shared" si="71"/>
        <v>5.726543187829E-12</v>
      </c>
      <c r="Y74" s="73">
        <f t="shared" si="71"/>
        <v>7.2535656026466181E-13</v>
      </c>
      <c r="Z74" s="73">
        <f t="shared" si="71"/>
        <v>2.7901500907066519E-12</v>
      </c>
      <c r="AA74" s="73">
        <f t="shared" si="71"/>
        <v>4.6595653222465107E-12</v>
      </c>
      <c r="AB74" s="73">
        <f t="shared" si="71"/>
        <v>4.2742770562527151E-13</v>
      </c>
      <c r="AC74" s="56">
        <f t="shared" si="84"/>
        <v>0</v>
      </c>
      <c r="AD74" s="56">
        <f t="shared" si="84"/>
        <v>84462357429.47142</v>
      </c>
      <c r="AE74" s="56">
        <f t="shared" si="72"/>
        <v>84462357429.47142</v>
      </c>
      <c r="AF74" s="64">
        <f>IFERROR(s_RadSpec!$G$12*AF12,".")*$B$74</f>
        <v>0</v>
      </c>
      <c r="AG74" s="64">
        <f>IFERROR(s_RadSpec!$J$12*AG12,".")*$B$74</f>
        <v>6.5774863135202041E-13</v>
      </c>
      <c r="AH74" s="73">
        <f t="shared" si="73"/>
        <v>0</v>
      </c>
      <c r="AI74" s="73">
        <f t="shared" si="73"/>
        <v>6.5774863135202041E-13</v>
      </c>
      <c r="AJ74" s="73">
        <f t="shared" si="74"/>
        <v>6.5774863135202041E-13</v>
      </c>
    </row>
    <row r="75" spans="1:36" x14ac:dyDescent="0.25">
      <c r="A75" s="55" t="s">
        <v>317</v>
      </c>
      <c r="B75" s="60">
        <v>1</v>
      </c>
      <c r="C75" s="56">
        <f>IFERROR(C18/$B61,0)</f>
        <v>25.329922237138728</v>
      </c>
      <c r="D75" s="56">
        <f>IFERROR(D18/$B61,0)</f>
        <v>3111.2217626012548</v>
      </c>
      <c r="E75" s="56">
        <f>IFERROR(E18/$B61,0)</f>
        <v>993417.36458497483</v>
      </c>
      <c r="F75" s="56">
        <f t="shared" si="67"/>
        <v>25.12472935339213</v>
      </c>
      <c r="G75" s="64">
        <f>IFERROR(s_RadSpec!$I$18*G18,".")*$B$75</f>
        <v>2.193255845E-3</v>
      </c>
      <c r="H75" s="64">
        <f>IFERROR(s_RadSpec!$G$18*H18,".")*$B$75</f>
        <v>1.785632919768186E-5</v>
      </c>
      <c r="I75" s="64">
        <f>IFERROR(s_RadSpec!$F$18*I18,".")*$B$75</f>
        <v>5.5923121520237855E-8</v>
      </c>
      <c r="J75" s="73">
        <f t="shared" si="68"/>
        <v>2.193255845E-3</v>
      </c>
      <c r="K75" s="73">
        <f t="shared" si="68"/>
        <v>1.785632919768186E-5</v>
      </c>
      <c r="L75" s="73">
        <f t="shared" si="68"/>
        <v>5.5923121520237855E-8</v>
      </c>
      <c r="M75" s="73">
        <f t="shared" si="69"/>
        <v>2.2111680973192021E-3</v>
      </c>
      <c r="N75" s="56">
        <f t="shared" ref="N75:AD75" si="85">IFERROR(N18/$B61,0)</f>
        <v>993417.36458497483</v>
      </c>
      <c r="O75" s="56">
        <f t="shared" si="85"/>
        <v>9900238.23887337</v>
      </c>
      <c r="P75" s="56">
        <f t="shared" si="85"/>
        <v>2441876.1400580145</v>
      </c>
      <c r="Q75" s="56">
        <f t="shared" si="85"/>
        <v>1298628.1234334791</v>
      </c>
      <c r="R75" s="56">
        <f t="shared" si="85"/>
        <v>17311985.30301838</v>
      </c>
      <c r="S75" s="64">
        <f>IFERROR(s_RadSpec!$F$18*S18,".")*$B$75</f>
        <v>5.5923121520237855E-8</v>
      </c>
      <c r="T75" s="64">
        <f>IFERROR(s_RadSpec!$M$18*T18,".")*$B$75</f>
        <v>5.6114811239453626E-9</v>
      </c>
      <c r="U75" s="64">
        <f>IFERROR(s_RadSpec!$N$18*U18,".")*$B$75</f>
        <v>2.2750949193794938E-8</v>
      </c>
      <c r="V75" s="64">
        <f>IFERROR(s_RadSpec!$O$18*V18,".")*$B$75</f>
        <v>4.2779760423728205E-8</v>
      </c>
      <c r="W75" s="64">
        <f>IFERROR(s_RadSpec!$K$18*W18,".")*$B$75</f>
        <v>3.2090484729278201E-9</v>
      </c>
      <c r="X75" s="73">
        <f t="shared" si="71"/>
        <v>5.5923121520237855E-8</v>
      </c>
      <c r="Y75" s="73">
        <f t="shared" si="71"/>
        <v>5.6114811239453626E-9</v>
      </c>
      <c r="Z75" s="73">
        <f t="shared" si="71"/>
        <v>2.2750949193794938E-8</v>
      </c>
      <c r="AA75" s="73">
        <f t="shared" si="71"/>
        <v>4.2779760423728205E-8</v>
      </c>
      <c r="AB75" s="73">
        <f t="shared" si="71"/>
        <v>3.2090484729278201E-9</v>
      </c>
      <c r="AC75" s="56">
        <f t="shared" si="85"/>
        <v>1.0028581457152885E-2</v>
      </c>
      <c r="AD75" s="56">
        <f t="shared" si="85"/>
        <v>19051216.096172679</v>
      </c>
      <c r="AE75" s="56">
        <f t="shared" si="72"/>
        <v>1.0028581451873828E-2</v>
      </c>
      <c r="AF75" s="64">
        <f>IFERROR(s_RadSpec!$G$18*AF18,".")*$B$75</f>
        <v>5.5396668250000003</v>
      </c>
      <c r="AG75" s="64">
        <f>IFERROR(s_RadSpec!$J$18*AG18,".")*$B$75</f>
        <v>2.9160868114430133E-9</v>
      </c>
      <c r="AH75" s="73">
        <f t="shared" si="73"/>
        <v>0.99607216472315763</v>
      </c>
      <c r="AI75" s="73">
        <f t="shared" si="73"/>
        <v>2.9160868114430133E-9</v>
      </c>
      <c r="AJ75" s="73">
        <f t="shared" si="74"/>
        <v>0.99607216473461158</v>
      </c>
    </row>
    <row r="76" spans="1:36" x14ac:dyDescent="0.25">
      <c r="A76" s="55" t="s">
        <v>318</v>
      </c>
      <c r="B76" s="60">
        <v>1.339E-6</v>
      </c>
      <c r="C76" s="56">
        <f>IFERROR(C27/$B62,0)</f>
        <v>0</v>
      </c>
      <c r="D76" s="56">
        <f>IFERROR(D27/$B62,0)</f>
        <v>0</v>
      </c>
      <c r="E76" s="56">
        <f>IFERROR(E27/$B62,0)</f>
        <v>8986220705.7034264</v>
      </c>
      <c r="F76" s="56">
        <f t="shared" si="67"/>
        <v>8986220705.7034264</v>
      </c>
      <c r="G76" s="64">
        <f>IFERROR(s_RadSpec!$I$27*G27,".")*$B$76</f>
        <v>0</v>
      </c>
      <c r="H76" s="64">
        <f>IFERROR(s_RadSpec!$G$27*H27,".")*$B$76</f>
        <v>0</v>
      </c>
      <c r="I76" s="64">
        <f>IFERROR(s_RadSpec!$F$27*I27,".")*$B$76</f>
        <v>6.1822429939585198E-12</v>
      </c>
      <c r="J76" s="73">
        <f t="shared" si="68"/>
        <v>0</v>
      </c>
      <c r="K76" s="73">
        <f t="shared" si="68"/>
        <v>0</v>
      </c>
      <c r="L76" s="73">
        <f t="shared" si="68"/>
        <v>6.1822429939585198E-12</v>
      </c>
      <c r="M76" s="73">
        <f t="shared" si="69"/>
        <v>6.1822429939585198E-12</v>
      </c>
      <c r="N76" s="56">
        <f t="shared" ref="N76:AD76" si="86">IFERROR(N27/$B62,0)</f>
        <v>8986220705.7034264</v>
      </c>
      <c r="O76" s="56">
        <f t="shared" si="86"/>
        <v>78493181814.758545</v>
      </c>
      <c r="P76" s="56">
        <f t="shared" si="86"/>
        <v>22633757361.090252</v>
      </c>
      <c r="Q76" s="56">
        <f t="shared" si="86"/>
        <v>12384967151.08374</v>
      </c>
      <c r="R76" s="56">
        <f t="shared" si="86"/>
        <v>59407755140.083183</v>
      </c>
      <c r="S76" s="64">
        <f>IFERROR(s_RadSpec!$F$27*S27,".")*$B$76</f>
        <v>6.1822429939585198E-12</v>
      </c>
      <c r="T76" s="64">
        <f>IFERROR(s_RadSpec!$M$27*T27,".")*$B$76</f>
        <v>7.0776848021154305E-13</v>
      </c>
      <c r="U76" s="64">
        <f>IFERROR(s_RadSpec!$N$27*U27,".")*$B$76</f>
        <v>2.4545195529711181E-12</v>
      </c>
      <c r="V76" s="64">
        <f>IFERROR(s_RadSpec!$O$27*V27,".")*$B$76</f>
        <v>4.4856800443866065E-12</v>
      </c>
      <c r="W76" s="64">
        <f>IFERROR(s_RadSpec!$K$27*W27,".")*$B$76</f>
        <v>9.3514726939271787E-13</v>
      </c>
      <c r="X76" s="73">
        <f t="shared" si="71"/>
        <v>6.1822429939585198E-12</v>
      </c>
      <c r="Y76" s="73">
        <f t="shared" si="71"/>
        <v>7.0776848021154305E-13</v>
      </c>
      <c r="Z76" s="73">
        <f t="shared" si="71"/>
        <v>2.4545195529711181E-12</v>
      </c>
      <c r="AA76" s="73">
        <f t="shared" si="71"/>
        <v>4.4856800443866065E-12</v>
      </c>
      <c r="AB76" s="73">
        <f t="shared" si="71"/>
        <v>9.3514726939271787E-13</v>
      </c>
      <c r="AC76" s="56">
        <f t="shared" si="86"/>
        <v>0</v>
      </c>
      <c r="AD76" s="56">
        <f t="shared" si="86"/>
        <v>63274580199.646706</v>
      </c>
      <c r="AE76" s="56">
        <f t="shared" si="72"/>
        <v>63274580199.646698</v>
      </c>
      <c r="AF76" s="64">
        <f>IFERROR(s_RadSpec!$G$27*AF27,".")*$B$76</f>
        <v>0</v>
      </c>
      <c r="AG76" s="64">
        <f>IFERROR(s_RadSpec!$J$27*AG27,".")*$B$76</f>
        <v>8.7799871330177839E-13</v>
      </c>
      <c r="AH76" s="73">
        <f t="shared" si="73"/>
        <v>0</v>
      </c>
      <c r="AI76" s="73">
        <f t="shared" si="73"/>
        <v>8.7799871330177839E-13</v>
      </c>
      <c r="AJ76" s="73">
        <f t="shared" si="74"/>
        <v>8.7799871330177839E-13</v>
      </c>
    </row>
  </sheetData>
  <sheetProtection algorithmName="SHA-512" hashValue="Vr0GNr9lRTofbP3MXQvFRD6gBbHyWCPFg2ohdebQSUUpZ99tni4ZjZieAjkBjM8TSSXcDGFNnUbF7eFwBjnoHw==" saltValue="l5aQtAWAi7CLGWK1Nce6Rw==" spinCount="100000" sheet="1" objects="1" scenarios="1" formatColumns="0" formatRows="0" autoFilter="0"/>
  <autoFilter ref="A1:Y76" xr:uid="{00000000-0009-0000-0000-000006000000}"/>
  <pageMargins left="0.7" right="0.7" top="0.75" bottom="0.75" header="0.3" footer="0.3"/>
  <pageSetup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9" tint="-0.499984740745262"/>
  </sheetPr>
  <dimension ref="A1:AJ76"/>
  <sheetViews>
    <sheetView zoomScale="90" zoomScaleNormal="90" workbookViewId="0">
      <pane xSplit="2" ySplit="1" topLeftCell="C2" activePane="bottomRight" state="frozen"/>
      <selection activeCell="AA1390" sqref="AA1390"/>
      <selection pane="topRight" activeCell="AA1390" sqref="AA1390"/>
      <selection pane="bottomLeft" activeCell="AA1390" sqref="AA1390"/>
      <selection pane="bottomRight" activeCell="C2" sqref="C2"/>
    </sheetView>
  </sheetViews>
  <sheetFormatPr defaultColWidth="9.140625" defaultRowHeight="15" x14ac:dyDescent="0.25"/>
  <cols>
    <col min="1" max="1" width="15.42578125" style="3" customWidth="1"/>
    <col min="2" max="2" width="13.28515625" style="3" bestFit="1" customWidth="1"/>
    <col min="3" max="3" width="14.42578125" style="2" bestFit="1" customWidth="1"/>
    <col min="4" max="4" width="14.5703125" style="2" bestFit="1" customWidth="1"/>
    <col min="5" max="5" width="14.28515625" style="2" bestFit="1" customWidth="1"/>
    <col min="6" max="8" width="14.140625" style="2" bestFit="1" customWidth="1"/>
    <col min="9" max="9" width="14" style="2" bestFit="1" customWidth="1"/>
    <col min="10" max="11" width="14.5703125" style="2" bestFit="1" customWidth="1"/>
    <col min="12" max="12" width="14.42578125" style="2" bestFit="1" customWidth="1"/>
    <col min="13" max="13" width="14.28515625" style="2" bestFit="1" customWidth="1"/>
    <col min="14" max="14" width="13.5703125" style="2" bestFit="1" customWidth="1"/>
    <col min="15" max="16" width="15.42578125" style="2" bestFit="1" customWidth="1"/>
    <col min="17" max="17" width="16.42578125" style="2" bestFit="1" customWidth="1"/>
    <col min="18" max="18" width="13.85546875" style="2" bestFit="1" customWidth="1"/>
    <col min="19" max="19" width="13.140625" style="2" bestFit="1" customWidth="1"/>
    <col min="20" max="21" width="14.85546875" style="2" bestFit="1" customWidth="1"/>
    <col min="22" max="22" width="16" style="2" bestFit="1" customWidth="1"/>
    <col min="23" max="24" width="13.5703125" style="2" bestFit="1" customWidth="1"/>
    <col min="25" max="25" width="15.42578125" style="2" bestFit="1" customWidth="1"/>
    <col min="26" max="26" width="13" style="2" bestFit="1" customWidth="1"/>
    <col min="27" max="27" width="14.140625" style="2" bestFit="1" customWidth="1"/>
    <col min="28" max="28" width="11.7109375" style="2" bestFit="1" customWidth="1"/>
    <col min="29" max="29" width="11.28515625" style="2" bestFit="1" customWidth="1"/>
    <col min="30" max="30" width="11.5703125" style="2" bestFit="1" customWidth="1"/>
    <col min="31" max="31" width="10.7109375" style="2" bestFit="1" customWidth="1"/>
    <col min="32" max="32" width="11" style="2" bestFit="1" customWidth="1"/>
    <col min="33" max="33" width="11.42578125" style="2" bestFit="1" customWidth="1"/>
    <col min="34" max="34" width="11.5703125" style="2" bestFit="1" customWidth="1"/>
    <col min="35" max="35" width="12" style="2" bestFit="1" customWidth="1"/>
    <col min="36" max="36" width="11.42578125" style="2" bestFit="1" customWidth="1"/>
    <col min="37" max="16384" width="9.140625" style="2"/>
  </cols>
  <sheetData>
    <row r="1" spans="1:36" x14ac:dyDescent="0.25">
      <c r="A1" s="47" t="s">
        <v>51</v>
      </c>
      <c r="B1" s="47" t="s">
        <v>274</v>
      </c>
      <c r="C1" s="48" t="s">
        <v>364</v>
      </c>
      <c r="D1" s="48" t="s">
        <v>365</v>
      </c>
      <c r="E1" s="48" t="s">
        <v>366</v>
      </c>
      <c r="F1" s="48" t="s">
        <v>367</v>
      </c>
      <c r="G1" s="65" t="s">
        <v>376</v>
      </c>
      <c r="H1" s="65" t="s">
        <v>377</v>
      </c>
      <c r="I1" s="65" t="s">
        <v>378</v>
      </c>
      <c r="J1" s="66" t="s">
        <v>379</v>
      </c>
      <c r="K1" s="66" t="s">
        <v>380</v>
      </c>
      <c r="L1" s="66" t="s">
        <v>381</v>
      </c>
      <c r="M1" s="66" t="s">
        <v>382</v>
      </c>
      <c r="N1" s="48" t="s">
        <v>368</v>
      </c>
      <c r="O1" s="50" t="s">
        <v>369</v>
      </c>
      <c r="P1" s="50" t="s">
        <v>370</v>
      </c>
      <c r="Q1" s="50" t="s">
        <v>371</v>
      </c>
      <c r="R1" s="50" t="s">
        <v>372</v>
      </c>
      <c r="S1" s="67" t="s">
        <v>394</v>
      </c>
      <c r="T1" s="67" t="s">
        <v>395</v>
      </c>
      <c r="U1" s="67" t="s">
        <v>396</v>
      </c>
      <c r="V1" s="67" t="s">
        <v>397</v>
      </c>
      <c r="W1" s="67" t="s">
        <v>398</v>
      </c>
      <c r="X1" s="68" t="s">
        <v>399</v>
      </c>
      <c r="Y1" s="68" t="s">
        <v>400</v>
      </c>
      <c r="Z1" s="68" t="s">
        <v>401</v>
      </c>
      <c r="AA1" s="68" t="s">
        <v>402</v>
      </c>
      <c r="AB1" s="68" t="s">
        <v>403</v>
      </c>
      <c r="AC1" s="50" t="s">
        <v>373</v>
      </c>
      <c r="AD1" s="50" t="s">
        <v>374</v>
      </c>
      <c r="AE1" s="50" t="s">
        <v>375</v>
      </c>
      <c r="AF1" s="67" t="s">
        <v>404</v>
      </c>
      <c r="AG1" s="67" t="s">
        <v>405</v>
      </c>
      <c r="AH1" s="68" t="s">
        <v>406</v>
      </c>
      <c r="AI1" s="68" t="s">
        <v>407</v>
      </c>
      <c r="AJ1" s="68" t="s">
        <v>408</v>
      </c>
    </row>
    <row r="2" spans="1:36" x14ac:dyDescent="0.25">
      <c r="A2" s="49" t="s">
        <v>12</v>
      </c>
      <c r="B2" s="50" t="s">
        <v>289</v>
      </c>
      <c r="C2" s="48">
        <f>IFERROR((s_TR/(s_RadSpec!I2*s_EF_ow*s_ED_out*s_IRS_ow*(1/1000)))*1,".")</f>
        <v>201.39364401659481</v>
      </c>
      <c r="D2" s="48">
        <f>IFERROR(IF(A2="H-3",(s_TR/(s_RadSpec!G2*s_EF_ow*s_ED_out*(s_ET_ow_o+s_ET_ow_i)*(1/24)*s_IRA_ow*(1/17)*1000))*1,(s_TR/(s_RadSpec!G2*s_EF_ow*s_ED_out*(s_ET_ow_o+s_ET_ow_i)*(1/24)*s_IRA_ow*(1/s_PEF_wind)*1000))*1),".")</f>
        <v>1579.7913613208443</v>
      </c>
      <c r="E2" s="48">
        <f>IFERROR((s_TR/(s_RadSpec!F2*s_EF_ow*(1/365)*s_ED_out*s_RadSpec!Q2*(s_ET_ow_o+s_ET_ow_i)*(1/24)*s_RadSpec!V2))*1,".")</f>
        <v>2051.2286804300215</v>
      </c>
      <c r="F2" s="48">
        <f t="shared" ref="F2:F30" si="0">(IF(AND(ISNUMBER(C2),ISNUMBER(D2),ISNUMBER(E2)),1/((1/C2)+(1/D2)+(1/E2)),IF(AND(ISNUMBER(C2),ISNUMBER(D2),NOT(ISNUMBER(E2))), 1/((1/C2)+(1/D2)),IF(AND(ISNUMBER(C2),NOT(ISNUMBER(D2)),ISNUMBER(E2)),1/((1/C2)+(1/E2)),IF(AND(NOT(ISNUMBER(C2)),ISNUMBER(D2),ISNUMBER(E2)),1/((1/D2)+(1/E2)),IF(AND(ISNUMBER(C2),NOT(ISNUMBER(D2)),NOT(ISNUMBER(E2))),1/((1/C2)),IF(AND(NOT(ISNUMBER(C2)),NOT(ISNUMBER(D2)),ISNUMBER(E2)),1/((1/E2)),IF(AND(NOT(ISNUMBER(C2)),ISNUMBER(D2),NOT(ISNUMBER(E2))),1/((1/D2)),IF(AND(NOT(ISNUMBER(C2)),NOT(ISNUMBER(D2)),NOT(ISNUMBER(E2))),".")))))))))</f>
        <v>164.31402763400447</v>
      </c>
      <c r="G2" s="69">
        <f t="shared" ref="G2:G30" si="1">s_C*s_EF_ow*s_ED_out*s_IRS_ow*(1/1000)*1</f>
        <v>3055525</v>
      </c>
      <c r="H2" s="69">
        <f t="shared" ref="H2:H30" si="2">s_C*s_EF_ow*s_ED_out*(s_ET_ow_o+s_ET_ow_i)*(1/24)*s_IRA_ow*(1/s_PEF_wind)*1000*1</f>
        <v>1231.1313567072434</v>
      </c>
      <c r="I2" s="69">
        <f>s_C*s_EF_ow*(1/365)*s_ED_out*(s_ET_ow_o+s_ET_ow_i)*(1/24)*s_RadSpec!V2*s_RadSpec!Q2*1</f>
        <v>657.09577560893558</v>
      </c>
      <c r="J2" s="11"/>
      <c r="K2" s="11"/>
      <c r="L2" s="11"/>
      <c r="M2" s="11"/>
      <c r="N2" s="48">
        <f>IFERROR((s_TR/(s_RadSpec!F2*s_EF_ow*(1/365)*s_ED_out*s_RadSpec!Q2*(s_ET_ow_o+s_ET_ow_i)*(1/24)*s_RadSpec!V2))*1,".")</f>
        <v>2051.2286804300215</v>
      </c>
      <c r="O2" s="48">
        <f>IFERROR((s_TR/(s_RadSpec!M2*s_EF_ow*(1/365)*s_ED_out*s_RadSpec!R2*(s_ET_ow_o+s_ET_ow_i)*(1/24)*s_RadSpec!W2))*1,".")</f>
        <v>14806.341488526072</v>
      </c>
      <c r="P2" s="48">
        <f>IFERROR((s_TR/(s_RadSpec!N2*s_EF_ow*(1/365)*s_ED_out*s_RadSpec!S2*(s_ET_ow_o+s_ET_ow_i)*(1/24)*s_RadSpec!X2))*1,".")</f>
        <v>3884.2447303557651</v>
      </c>
      <c r="Q2" s="48">
        <f>IFERROR((s_TR/(s_RadSpec!O2*s_EF_ow*(1/365)*s_ED_out*s_RadSpec!T2*(s_ET_ow_o+s_ET_ow_i)*(1/24)*s_RadSpec!Y2))*1,".")</f>
        <v>2402.7280902312823</v>
      </c>
      <c r="R2" s="48">
        <f>IFERROR((s_TR/(s_RadSpec!K2*s_EF_ow*(1/365)*s_ED_out*s_RadSpec!P2*(s_ET_ow_o+s_ET_ow_i)*(1/24)*s_RadSpec!U2))*1,".")</f>
        <v>112480.61359788748</v>
      </c>
      <c r="S2" s="69">
        <f>s_C*s_EF_ow*(1/365)*s_ED_out*(s_ET_ow_o+s_ET_ow_i)*(1/24)*s_RadSpec!V2*s_RadSpec!Q2*1</f>
        <v>657.09577560893558</v>
      </c>
      <c r="T2" s="69">
        <f>s_C*s_EF_ow*(1/365)*s_ED_out*(s_ET_ow_o+s_ET_ow_i)*(1/24)*s_RadSpec!W2*s_RadSpec!R2*1</f>
        <v>324.98344748858455</v>
      </c>
      <c r="U2" s="69">
        <f>s_C*s_EF_ow*(1/365)*s_ED_out*(s_ET_ow_o+s_ET_ow_i)*(1/24)*s_RadSpec!X2*s_RadSpec!S2*1</f>
        <v>478.48784539281121</v>
      </c>
      <c r="V2" s="69">
        <f>s_C*s_EF_ow*(1/365)*s_ED_out*(s_ET_ow_o+s_ET_ow_i)*(1/24)*s_RadSpec!Y2*s_RadSpec!T2*1</f>
        <v>575.64454363552409</v>
      </c>
      <c r="W2" s="69">
        <f>s_C*s_EF_ow*(1/365)*s_ED_out*(s_ET_ow_o+s_ET_ow_i)*(1/24)*s_RadSpec!U2*s_RadSpec!P2*1</f>
        <v>41.067905995632309</v>
      </c>
      <c r="X2" s="11"/>
      <c r="Y2" s="11"/>
      <c r="Z2" s="11"/>
      <c r="AA2" s="11"/>
      <c r="AB2" s="11"/>
      <c r="AC2" s="48">
        <f>IFERROR(s_TR/(s_RadSpec!G2*s_EF_ow*s_ED_out*(s_ET_ow_o+s_ET_ow_i)*(1/24)*s_IRA_ow),".")</f>
        <v>5.0922330715076833E-3</v>
      </c>
      <c r="AD2" s="48">
        <f>IFERROR(s_TR/(s_RadSpec!J2*s_EF_ow*(1/365)*s_ED_out*(s_ET_ow_o+s_ET_ow_i)*(1/24)*s_GSF_a),".")</f>
        <v>15465.613066734286</v>
      </c>
      <c r="AE2" s="48">
        <f t="shared" ref="AE2" si="3">IFERROR(IF(AND(ISNUMBER(AC2),ISNUMBER(AD2)),1/((1/AC2)+(1/AD2)),IF(AND(ISNUMBER(AC2),NOT(ISNUMBER(AD2))),1/((1/AC2)),IF(AND(NOT(ISNUMBER(AC2)),ISNUMBER(AD2)),1/((1/AD2)),IF(AND(NOT(ISNUMBER(AC2)),NOT(ISNUMBER(AD2))),".")))),".")</f>
        <v>5.0922313948312389E-3</v>
      </c>
      <c r="AF2" s="69">
        <f t="shared" ref="AF2:AF30" si="4">s_C*s_EF_ow*s_ED_out*(s_ET_ow_o+s_ET_ow_i)*(1/24)*s_IRA_ow*1</f>
        <v>381940625</v>
      </c>
      <c r="AG2" s="69">
        <f t="shared" ref="AG2:AG30" si="5">s_C*s_EF_ow*(1/365)*s_ED_out*(s_ET_ow_o+s_ET_ow_i)*(1/24)*s_GSF_a*1</f>
        <v>69760.844748858435</v>
      </c>
      <c r="AH2" s="11"/>
      <c r="AI2" s="11"/>
      <c r="AJ2" s="11"/>
    </row>
    <row r="3" spans="1:36" x14ac:dyDescent="0.25">
      <c r="A3" s="51" t="s">
        <v>13</v>
      </c>
      <c r="B3" s="50" t="s">
        <v>275</v>
      </c>
      <c r="C3" s="48">
        <f>IFERROR((s_TR/(s_RadSpec!I3*s_EF_ow*s_ED_out*s_IRS_ow*(1/1000)))*1,".")</f>
        <v>199.7562973172729</v>
      </c>
      <c r="D3" s="48">
        <f>IFERROR(IF(A3="H-3",(s_TR/(s_RadSpec!G3*s_EF_ow*s_ED_out*(s_ET_ow_o+s_ET_ow_i)*(1/24)*s_IRA_ow*(1/17)*1000))*1,(s_TR/(s_RadSpec!G3*s_EF_ow*s_ED_out*(s_ET_ow_o+s_ET_ow_i)*(1/24)*s_IRA_ow*(1/s_PEF_wind)*1000))*1),".")</f>
        <v>1195.685226411463</v>
      </c>
      <c r="E3" s="48">
        <f>IFERROR((s_TR/(s_RadSpec!F3*s_EF_ow*(1/365)*s_ED_out*s_RadSpec!Q3*(s_ET_ow_o+s_ET_ow_i)*(1/24)*s_RadSpec!V3))*1,".")</f>
        <v>400833.45258403098</v>
      </c>
      <c r="F3" s="48">
        <f t="shared" si="0"/>
        <v>171.08829191875577</v>
      </c>
      <c r="G3" s="69">
        <f t="shared" si="1"/>
        <v>3055525</v>
      </c>
      <c r="H3" s="69">
        <f t="shared" si="2"/>
        <v>1231.1313567072434</v>
      </c>
      <c r="I3" s="69">
        <f>s_C*s_EF_ow*(1/365)*s_ED_out*(s_ET_ow_o+s_ET_ow_i)*(1/24)*s_RadSpec!V3*s_RadSpec!Q3*1</f>
        <v>5.008470905046245</v>
      </c>
      <c r="J3" s="4"/>
      <c r="K3" s="4"/>
      <c r="L3" s="4"/>
      <c r="M3" s="4"/>
      <c r="N3" s="48">
        <f>IFERROR((s_TR/(s_RadSpec!F3*s_EF_ow*(1/365)*s_ED_out*s_RadSpec!Q3*(s_ET_ow_o+s_ET_ow_i)*(1/24)*s_RadSpec!V3))*1,".")</f>
        <v>400833.45258403098</v>
      </c>
      <c r="O3" s="48">
        <f>IFERROR((s_TR/(s_RadSpec!M3*s_EF_ow*(1/365)*s_ED_out*s_RadSpec!R3*(s_ET_ow_o+s_ET_ow_i)*(1/24)*s_RadSpec!W3))*1,".")</f>
        <v>1130747.4982238049</v>
      </c>
      <c r="P3" s="48">
        <f>IFERROR((s_TR/(s_RadSpec!N3*s_EF_ow*(1/365)*s_ED_out*s_RadSpec!S3*(s_ET_ow_o+s_ET_ow_i)*(1/24)*s_RadSpec!X3))*1,".")</f>
        <v>457364.95043918426</v>
      </c>
      <c r="Q3" s="48">
        <f>IFERROR((s_TR/(s_RadSpec!O3*s_EF_ow*(1/365)*s_ED_out*s_RadSpec!T3*(s_ET_ow_o+s_ET_ow_i)*(1/24)*s_RadSpec!Y3))*1,".")</f>
        <v>439233.3143148825</v>
      </c>
      <c r="R3" s="48">
        <f>IFERROR((s_TR/(s_RadSpec!K3*s_EF_ow*(1/365)*s_ED_out*s_RadSpec!P3*(s_ET_ow_o+s_ET_ow_i)*(1/24)*s_RadSpec!U3))*1,".")</f>
        <v>1290759.2694386942</v>
      </c>
      <c r="S3" s="69">
        <f>s_C*s_EF_ow*(1/365)*s_ED_out*(s_ET_ow_o+s_ET_ow_i)*(1/24)*s_RadSpec!V3*s_RadSpec!Q3*1</f>
        <v>5.008470905046245</v>
      </c>
      <c r="T3" s="69">
        <f>s_C*s_EF_ow*(1/365)*s_ED_out*(s_ET_ow_o+s_ET_ow_i)*(1/24)*s_RadSpec!W3*s_RadSpec!R3*1</f>
        <v>3.5719595716073429</v>
      </c>
      <c r="U3" s="69">
        <f>s_C*s_EF_ow*(1/365)*s_ED_out*(s_ET_ow_o+s_ET_ow_i)*(1/24)*s_RadSpec!X3*s_RadSpec!S3*1</f>
        <v>4.7114600371430511</v>
      </c>
      <c r="V3" s="69">
        <f>s_C*s_EF_ow*(1/365)*s_ED_out*(s_ET_ow_o+s_ET_ow_i)*(1/24)*s_RadSpec!Y3*s_RadSpec!T3*1</f>
        <v>4.5706065992916667</v>
      </c>
      <c r="W3" s="69">
        <f>s_C*s_EF_ow*(1/365)*s_ED_out*(s_ET_ow_o+s_ET_ow_i)*(1/24)*s_RadSpec!U3*s_RadSpec!P3*1</f>
        <v>2.3038395288869444</v>
      </c>
      <c r="X3" s="11"/>
      <c r="Y3" s="11"/>
      <c r="Z3" s="11"/>
      <c r="AA3" s="11"/>
      <c r="AB3" s="11"/>
      <c r="AC3" s="48">
        <f>IFERROR(s_TR/(s_RadSpec!G3*s_EF_ow*s_ED_out*(s_ET_ow_o+s_ET_ow_i)*(1/24)*s_IRA_ow),".")</f>
        <v>3.8541215011803258E-3</v>
      </c>
      <c r="AD3" s="48">
        <f>IFERROR(s_TR/(s_RadSpec!J3*s_EF_ow*(1/365)*s_ED_out*(s_ET_ow_o+s_ET_ow_i)*(1/24)*s_GSF_a),".")</f>
        <v>13723.008777524785</v>
      </c>
      <c r="AE3" s="48">
        <f>IFERROR(IF(AND(ISNUMBER(AC3),ISNUMBER(AD3)),1/((1/AC3)+(1/AD3)),IF(AND(ISNUMBER(AC3),NOT(ISNUMBER(AD3))),1/((1/AC3)),IF(AND(NOT(ISNUMBER(AC3)),ISNUMBER(AD3)),1/((1/AD3)),IF(AND(NOT(ISNUMBER(AC3)),NOT(ISNUMBER(AD3))),".")))),".")</f>
        <v>3.8541204187465378E-3</v>
      </c>
      <c r="AF3" s="69">
        <f t="shared" si="4"/>
        <v>381940625</v>
      </c>
      <c r="AG3" s="69">
        <f t="shared" si="5"/>
        <v>69760.844748858435</v>
      </c>
      <c r="AH3" s="10"/>
      <c r="AI3" s="10"/>
      <c r="AJ3" s="10"/>
    </row>
    <row r="4" spans="1:36" x14ac:dyDescent="0.25">
      <c r="A4" s="49" t="s">
        <v>14</v>
      </c>
      <c r="B4" s="50" t="s">
        <v>289</v>
      </c>
      <c r="C4" s="48" t="str">
        <f>IFERROR((s_TR/(s_RadSpec!I4*s_EF_ow*s_ED_out*s_IRS_ow*(1/1000)))*1,".")</f>
        <v>.</v>
      </c>
      <c r="D4" s="48" t="str">
        <f>IFERROR(IF(A4="H-3",(s_TR/(s_RadSpec!G4*s_EF_ow*s_ED_out*(s_ET_ow_o+s_ET_ow_i)*(1/24)*s_IRA_ow*(1/17)*1000))*1,(s_TR/(s_RadSpec!G4*s_EF_ow*s_ED_out*(s_ET_ow_o+s_ET_ow_i)*(1/24)*s_IRA_ow*(1/s_PEF_wind)*1000))*1),".")</f>
        <v>.</v>
      </c>
      <c r="E4" s="48">
        <f>IFERROR((s_TR/(s_RadSpec!F4*s_EF_ow*(1/365)*s_ED_out*s_RadSpec!Q4*(s_ET_ow_o+s_ET_ow_i)*(1/24)*s_RadSpec!V4))*1,".")</f>
        <v>44095.638253448538</v>
      </c>
      <c r="F4" s="48">
        <f t="shared" si="0"/>
        <v>44095.638253448538</v>
      </c>
      <c r="G4" s="69">
        <f t="shared" si="1"/>
        <v>3055525</v>
      </c>
      <c r="H4" s="69">
        <f t="shared" si="2"/>
        <v>1231.1313567072434</v>
      </c>
      <c r="I4" s="69">
        <f>s_C*s_EF_ow*(1/365)*s_ED_out*(s_ET_ow_o+s_ET_ow_i)*(1/24)*s_RadSpec!V4*s_RadSpec!Q4*1</f>
        <v>1345.3877201565551</v>
      </c>
      <c r="J4" s="4"/>
      <c r="K4" s="4"/>
      <c r="L4" s="4"/>
      <c r="M4" s="4"/>
      <c r="N4" s="48">
        <f>IFERROR((s_TR/(s_RadSpec!F4*s_EF_ow*(1/365)*s_ED_out*s_RadSpec!Q4*(s_ET_ow_o+s_ET_ow_i)*(1/24)*s_RadSpec!V4))*1,".")</f>
        <v>44095.638253448538</v>
      </c>
      <c r="O4" s="48">
        <f>IFERROR((s_TR/(s_RadSpec!M4*s_EF_ow*(1/365)*s_ED_out*s_RadSpec!R4*(s_ET_ow_o+s_ET_ow_i)*(1/24)*s_RadSpec!W4))*1,".")</f>
        <v>310940.3555484417</v>
      </c>
      <c r="P4" s="48">
        <f>IFERROR((s_TR/(s_RadSpec!N4*s_EF_ow*(1/365)*s_ED_out*s_RadSpec!S4*(s_ET_ow_o+s_ET_ow_i)*(1/24)*s_RadSpec!X4))*1,".")</f>
        <v>81084.150028887088</v>
      </c>
      <c r="Q4" s="48">
        <f>IFERROR((s_TR/(s_RadSpec!O4*s_EF_ow*(1/365)*s_ED_out*s_RadSpec!T4*(s_ET_ow_o+s_ET_ow_i)*(1/24)*s_RadSpec!Y4))*1,".")</f>
        <v>48056.821361261245</v>
      </c>
      <c r="R4" s="48">
        <f>IFERROR((s_TR/(s_RadSpec!K4*s_EF_ow*(1/365)*s_ED_out*s_RadSpec!P4*(s_ET_ow_o+s_ET_ow_i)*(1/24)*s_RadSpec!U4))*1,".")</f>
        <v>585591.17437149212</v>
      </c>
      <c r="S4" s="69">
        <f>s_C*s_EF_ow*(1/365)*s_ED_out*(s_ET_ow_o+s_ET_ow_i)*(1/24)*s_RadSpec!V4*s_RadSpec!Q4*1</f>
        <v>1345.3877201565551</v>
      </c>
      <c r="T4" s="69">
        <f>s_C*s_EF_ow*(1/365)*s_ED_out*(s_ET_ow_o+s_ET_ow_i)*(1/24)*s_RadSpec!W4*s_RadSpec!R4*1</f>
        <v>824.44634703196311</v>
      </c>
      <c r="U4" s="69">
        <f>s_C*s_EF_ow*(1/365)*s_ED_out*(s_ET_ow_o+s_ET_ow_i)*(1/24)*s_RadSpec!X4*s_RadSpec!S4*1</f>
        <v>1146.0710208741032</v>
      </c>
      <c r="V4" s="69">
        <f>s_C*s_EF_ow*(1/365)*s_ED_out*(s_ET_ow_o+s_ET_ow_i)*(1/24)*s_RadSpec!Y4*s_RadSpec!T4*1</f>
        <v>1316.5718905497292</v>
      </c>
      <c r="W4" s="69">
        <f>s_C*s_EF_ow*(1/365)*s_ED_out*(s_ET_ow_o+s_ET_ow_i)*(1/24)*s_RadSpec!U4*s_RadSpec!P4*1</f>
        <v>446.4281277863339</v>
      </c>
      <c r="X4" s="11"/>
      <c r="Y4" s="11"/>
      <c r="Z4" s="11"/>
      <c r="AA4" s="11"/>
      <c r="AB4" s="11"/>
      <c r="AC4" s="48" t="str">
        <f>IFERROR(s_TR/(s_RadSpec!G4*s_EF_ow*s_ED_out*(s_ET_ow_o+s_ET_ow_i)*(1/24)*s_IRA_ow),".")</f>
        <v>.</v>
      </c>
      <c r="AD4" s="48">
        <f>IFERROR(s_TR/(s_RadSpec!J4*s_EF_ow*(1/365)*s_ED_out*(s_ET_ow_o+s_ET_ow_i)*(1/24)*s_GSF_a),".")</f>
        <v>815829.5888073945</v>
      </c>
      <c r="AE4" s="48">
        <f t="shared" ref="AE4:AE30" si="6">IFERROR(IF(AND(ISNUMBER(AC4),ISNUMBER(AD4)),1/((1/AC4)+(1/AD4)),IF(AND(ISNUMBER(AC4),NOT(ISNUMBER(AD4))),1/((1/AC4)),IF(AND(NOT(ISNUMBER(AC4)),ISNUMBER(AD4)),1/((1/AD4)),IF(AND(NOT(ISNUMBER(AC4)),NOT(ISNUMBER(AD4))),".")))),".")</f>
        <v>815829.5888073945</v>
      </c>
      <c r="AF4" s="69">
        <f t="shared" si="4"/>
        <v>381940625</v>
      </c>
      <c r="AG4" s="69">
        <f t="shared" si="5"/>
        <v>69760.844748858435</v>
      </c>
      <c r="AH4" s="10"/>
      <c r="AI4" s="10"/>
      <c r="AJ4" s="10"/>
    </row>
    <row r="5" spans="1:36" x14ac:dyDescent="0.25">
      <c r="A5" s="49" t="s">
        <v>15</v>
      </c>
      <c r="B5" s="50" t="s">
        <v>289</v>
      </c>
      <c r="C5" s="48" t="str">
        <f>IFERROR((s_TR/(s_RadSpec!I5*s_EF_ow*s_ED_out*s_IRS_ow*(1/1000)))*1,".")</f>
        <v>.</v>
      </c>
      <c r="D5" s="48" t="str">
        <f>IFERROR(IF(A5="H-3",(s_TR/(s_RadSpec!G5*s_EF_ow*s_ED_out*(s_ET_ow_o+s_ET_ow_i)*(1/24)*s_IRA_ow*(1/17)*1000))*1,(s_TR/(s_RadSpec!G5*s_EF_ow*s_ED_out*(s_ET_ow_o+s_ET_ow_i)*(1/24)*s_IRA_ow*(1/s_PEF_wind)*1000))*1),".")</f>
        <v>.</v>
      </c>
      <c r="E5" s="48" t="str">
        <f>IFERROR((s_TR/(s_RadSpec!F5*s_EF_ow*(1/365)*s_ED_out*s_RadSpec!Q5*(s_ET_ow_o+s_ET_ow_i)*(1/24)*s_RadSpec!V5))*1,".")</f>
        <v>.</v>
      </c>
      <c r="F5" s="48" t="str">
        <f t="shared" si="0"/>
        <v>.</v>
      </c>
      <c r="G5" s="69">
        <f t="shared" si="1"/>
        <v>3055525</v>
      </c>
      <c r="H5" s="69">
        <f t="shared" si="2"/>
        <v>1231.1313567072434</v>
      </c>
      <c r="I5" s="69">
        <f>s_C*s_EF_ow*(1/365)*s_ED_out*(s_ET_ow_o+s_ET_ow_i)*(1/24)*s_RadSpec!V5*s_RadSpec!Q5*1</f>
        <v>0</v>
      </c>
      <c r="J5" s="4"/>
      <c r="K5" s="4"/>
      <c r="L5" s="4"/>
      <c r="M5" s="4"/>
      <c r="N5" s="48" t="str">
        <f>IFERROR((s_TR/(s_RadSpec!F5*s_EF_ow*(1/365)*s_ED_out*s_RadSpec!Q5*(s_ET_ow_o+s_ET_ow_i)*(1/24)*s_RadSpec!V5))*1,".")</f>
        <v>.</v>
      </c>
      <c r="O5" s="48" t="str">
        <f>IFERROR((s_TR/(s_RadSpec!M5*s_EF_ow*(1/365)*s_ED_out*s_RadSpec!R5*(s_ET_ow_o+s_ET_ow_i)*(1/24)*s_RadSpec!W5))*1,".")</f>
        <v>.</v>
      </c>
      <c r="P5" s="48" t="str">
        <f>IFERROR((s_TR/(s_RadSpec!N5*s_EF_ow*(1/365)*s_ED_out*s_RadSpec!S5*(s_ET_ow_o+s_ET_ow_i)*(1/24)*s_RadSpec!X5))*1,".")</f>
        <v>.</v>
      </c>
      <c r="Q5" s="48" t="str">
        <f>IFERROR((s_TR/(s_RadSpec!O5*s_EF_ow*(1/365)*s_ED_out*s_RadSpec!T5*(s_ET_ow_o+s_ET_ow_i)*(1/24)*s_RadSpec!Y5))*1,".")</f>
        <v>.</v>
      </c>
      <c r="R5" s="48" t="str">
        <f>IFERROR((s_TR/(s_RadSpec!K5*s_EF_ow*(1/365)*s_ED_out*s_RadSpec!P5*(s_ET_ow_o+s_ET_ow_i)*(1/24)*s_RadSpec!U5))*1,".")</f>
        <v>.</v>
      </c>
      <c r="S5" s="69">
        <f>s_C*s_EF_ow*(1/365)*s_ED_out*(s_ET_ow_o+s_ET_ow_i)*(1/24)*s_RadSpec!V5*s_RadSpec!Q5*1</f>
        <v>0</v>
      </c>
      <c r="T5" s="69">
        <f>s_C*s_EF_ow*(1/365)*s_ED_out*(s_ET_ow_o+s_ET_ow_i)*(1/24)*s_RadSpec!W5*s_RadSpec!R5*1</f>
        <v>0</v>
      </c>
      <c r="U5" s="69">
        <f>s_C*s_EF_ow*(1/365)*s_ED_out*(s_ET_ow_o+s_ET_ow_i)*(1/24)*s_RadSpec!X5*s_RadSpec!S5*1</f>
        <v>0</v>
      </c>
      <c r="V5" s="69">
        <f>s_C*s_EF_ow*(1/365)*s_ED_out*(s_ET_ow_o+s_ET_ow_i)*(1/24)*s_RadSpec!Y5*s_RadSpec!T5*1</f>
        <v>0</v>
      </c>
      <c r="W5" s="69">
        <f>s_C*s_EF_ow*(1/365)*s_ED_out*(s_ET_ow_o+s_ET_ow_i)*(1/24)*s_RadSpec!U5*s_RadSpec!P5*1</f>
        <v>0</v>
      </c>
      <c r="X5" s="11"/>
      <c r="Y5" s="11"/>
      <c r="Z5" s="11"/>
      <c r="AA5" s="11"/>
      <c r="AB5" s="11"/>
      <c r="AC5" s="48" t="str">
        <f>IFERROR(s_TR/(s_RadSpec!G5*s_EF_ow*s_ED_out*(s_ET_ow_o+s_ET_ow_i)*(1/24)*s_IRA_ow),".")</f>
        <v>.</v>
      </c>
      <c r="AD5" s="48">
        <f>IFERROR(s_TR/(s_RadSpec!J5*s_EF_ow*(1/365)*s_ED_out*(s_ET_ow_o+s_ET_ow_i)*(1/24)*s_GSF_a),".")</f>
        <v>25834603.645567492</v>
      </c>
      <c r="AE5" s="48">
        <f t="shared" si="6"/>
        <v>25834603.645567495</v>
      </c>
      <c r="AF5" s="69">
        <f t="shared" si="4"/>
        <v>381940625</v>
      </c>
      <c r="AG5" s="69">
        <f t="shared" si="5"/>
        <v>69760.844748858435</v>
      </c>
      <c r="AH5" s="10"/>
      <c r="AI5" s="10"/>
      <c r="AJ5" s="10"/>
    </row>
    <row r="6" spans="1:36" x14ac:dyDescent="0.25">
      <c r="A6" s="49" t="s">
        <v>16</v>
      </c>
      <c r="B6" s="50" t="s">
        <v>289</v>
      </c>
      <c r="C6" s="48" t="str">
        <f>IFERROR((s_TR/(s_RadSpec!I6*s_EF_ow*s_ED_out*s_IRS_ow*(1/1000)))*1,".")</f>
        <v>.</v>
      </c>
      <c r="D6" s="48" t="str">
        <f>IFERROR(IF(A6="H-3",(s_TR/(s_RadSpec!G6*s_EF_ow*s_ED_out*(s_ET_ow_o+s_ET_ow_i)*(1/24)*s_IRA_ow*(1/17)*1000))*1,(s_TR/(s_RadSpec!G6*s_EF_ow*s_ED_out*(s_ET_ow_o+s_ET_ow_i)*(1/24)*s_IRA_ow*(1/s_PEF_wind)*1000))*1),".")</f>
        <v>.</v>
      </c>
      <c r="E6" s="48">
        <f>IFERROR((s_TR/(s_RadSpec!F6*s_EF_ow*(1/365)*s_ED_out*s_RadSpec!Q6*(s_ET_ow_o+s_ET_ow_i)*(1/24)*s_RadSpec!V6))*1,".")</f>
        <v>7.9027948573215285</v>
      </c>
      <c r="F6" s="48">
        <f t="shared" si="0"/>
        <v>7.9027948573215285</v>
      </c>
      <c r="G6" s="69">
        <f t="shared" si="1"/>
        <v>3055525</v>
      </c>
      <c r="H6" s="69">
        <f t="shared" si="2"/>
        <v>1231.1313567072434</v>
      </c>
      <c r="I6" s="69">
        <f>s_C*s_EF_ow*(1/365)*s_ED_out*(s_ET_ow_o+s_ET_ow_i)*(1/24)*s_RadSpec!V6*s_RadSpec!Q6*1</f>
        <v>2617.6339589686504</v>
      </c>
      <c r="J6" s="4"/>
      <c r="K6" s="4"/>
      <c r="L6" s="4"/>
      <c r="M6" s="4"/>
      <c r="N6" s="48">
        <f>IFERROR((s_TR/(s_RadSpec!F6*s_EF_ow*(1/365)*s_ED_out*s_RadSpec!Q6*(s_ET_ow_o+s_ET_ow_i)*(1/24)*s_RadSpec!V6))*1,".")</f>
        <v>7.9027948573215285</v>
      </c>
      <c r="O6" s="48">
        <f>IFERROR((s_TR/(s_RadSpec!M6*s_EF_ow*(1/365)*s_ED_out*s_RadSpec!R6*(s_ET_ow_o+s_ET_ow_i)*(1/24)*s_RadSpec!W6))*1,".")</f>
        <v>72.381338284307233</v>
      </c>
      <c r="P6" s="48">
        <f>IFERROR((s_TR/(s_RadSpec!N6*s_EF_ow*(1/365)*s_ED_out*s_RadSpec!S6*(s_ET_ow_o+s_ET_ow_i)*(1/24)*s_RadSpec!X6))*1,".")</f>
        <v>18.13820510280733</v>
      </c>
      <c r="Q6" s="48">
        <f>IFERROR((s_TR/(s_RadSpec!O6*s_EF_ow*(1/365)*s_ED_out*s_RadSpec!T6*(s_ET_ow_o+s_ET_ow_i)*(1/24)*s_RadSpec!Y6))*1,".")</f>
        <v>9.6729236847468929</v>
      </c>
      <c r="R6" s="48">
        <f>IFERROR((s_TR/(s_RadSpec!K6*s_EF_ow*(1/365)*s_ED_out*s_RadSpec!P6*(s_ET_ow_o+s_ET_ow_i)*(1/24)*s_RadSpec!U6))*1,".")</f>
        <v>124.17876756188345</v>
      </c>
      <c r="S6" s="69">
        <f>s_C*s_EF_ow*(1/365)*s_ED_out*(s_ET_ow_o+s_ET_ow_i)*(1/24)*s_RadSpec!V6*s_RadSpec!Q6*1</f>
        <v>2617.6339589686504</v>
      </c>
      <c r="T6" s="69">
        <f>s_C*s_EF_ow*(1/365)*s_ED_out*(s_ET_ow_o+s_ET_ow_i)*(1/24)*s_RadSpec!W6*s_RadSpec!R6*1</f>
        <v>1402.1783238124015</v>
      </c>
      <c r="U6" s="69">
        <f>s_C*s_EF_ow*(1/365)*s_ED_out*(s_ET_ow_o+s_ET_ow_i)*(1/24)*s_RadSpec!X6*s_RadSpec!S6*1</f>
        <v>1984.2285635268079</v>
      </c>
      <c r="V6" s="69">
        <f>s_C*s_EF_ow*(1/365)*s_ED_out*(s_ET_ow_o+s_ET_ow_i)*(1/24)*s_RadSpec!Y6*s_RadSpec!T6*1</f>
        <v>2399.4175900881255</v>
      </c>
      <c r="W6" s="69">
        <f>s_C*s_EF_ow*(1/365)*s_ED_out*(s_ET_ow_o+s_ET_ow_i)*(1/24)*s_RadSpec!U6*s_RadSpec!P6*1</f>
        <v>834.75192636986253</v>
      </c>
      <c r="X6" s="11"/>
      <c r="Y6" s="11"/>
      <c r="Z6" s="11"/>
      <c r="AA6" s="11"/>
      <c r="AB6" s="11"/>
      <c r="AC6" s="48" t="str">
        <f>IFERROR(s_TR/(s_RadSpec!G6*s_EF_ow*s_ED_out*(s_ET_ow_o+s_ET_ow_i)*(1/24)*s_IRA_ow),".")</f>
        <v>.</v>
      </c>
      <c r="AD6" s="48">
        <f>IFERROR(s_TR/(s_RadSpec!J6*s_EF_ow*(1/365)*s_ED_out*(s_ET_ow_o+s_ET_ow_i)*(1/24)*s_GSF_a),".")</f>
        <v>315.7562667791583</v>
      </c>
      <c r="AE6" s="48">
        <f t="shared" si="6"/>
        <v>315.7562667791583</v>
      </c>
      <c r="AF6" s="69">
        <f t="shared" si="4"/>
        <v>381940625</v>
      </c>
      <c r="AG6" s="69">
        <f t="shared" si="5"/>
        <v>69760.844748858435</v>
      </c>
      <c r="AH6" s="10"/>
      <c r="AI6" s="10"/>
      <c r="AJ6" s="10"/>
    </row>
    <row r="7" spans="1:36" x14ac:dyDescent="0.25">
      <c r="A7" s="49" t="s">
        <v>17</v>
      </c>
      <c r="B7" s="50" t="s">
        <v>289</v>
      </c>
      <c r="C7" s="48">
        <f>IFERROR((s_TR/(s_RadSpec!I7*s_EF_ow*s_ED_out*s_IRS_ow*(1/1000)))*1,".")</f>
        <v>4865.3514000048654</v>
      </c>
      <c r="D7" s="48">
        <f>IFERROR(IF(A7="H-3",(s_TR/(s_RadSpec!G7*s_EF_ow*s_ED_out*(s_ET_ow_o+s_ET_ow_i)*(1/24)*s_IRA_ow*(1/17)*1000))*1,(s_TR/(s_RadSpec!G7*s_EF_ow*s_ED_out*(s_ET_ow_o+s_ET_ow_i)*(1/24)*s_IRA_ow*(1/s_PEF_wind)*1000))*1),".")</f>
        <v>99154.384629243243</v>
      </c>
      <c r="E7" s="48">
        <f>IFERROR((s_TR/(s_RadSpec!F7*s_EF_ow*(1/365)*s_ED_out*s_RadSpec!Q7*(s_ET_ow_o+s_ET_ow_i)*(1/24)*s_RadSpec!V7))*1,".")</f>
        <v>16594.489932919259</v>
      </c>
      <c r="F7" s="48">
        <f t="shared" si="0"/>
        <v>3624.7479787746202</v>
      </c>
      <c r="G7" s="69">
        <f t="shared" si="1"/>
        <v>3055525</v>
      </c>
      <c r="H7" s="69">
        <f t="shared" si="2"/>
        <v>1231.1313567072434</v>
      </c>
      <c r="I7" s="69">
        <f>s_C*s_EF_ow*(1/365)*s_ED_out*(s_ET_ow_o+s_ET_ow_i)*(1/24)*s_RadSpec!V7*s_RadSpec!Q7*1</f>
        <v>1209.7766747586847</v>
      </c>
      <c r="J7" s="4"/>
      <c r="K7" s="4"/>
      <c r="L7" s="4"/>
      <c r="M7" s="4"/>
      <c r="N7" s="48">
        <f>IFERROR((s_TR/(s_RadSpec!F7*s_EF_ow*(1/365)*s_ED_out*s_RadSpec!Q7*(s_ET_ow_o+s_ET_ow_i)*(1/24)*s_RadSpec!V7))*1,".")</f>
        <v>16594.489932919259</v>
      </c>
      <c r="O7" s="48">
        <f>IFERROR((s_TR/(s_RadSpec!M7*s_EF_ow*(1/365)*s_ED_out*s_RadSpec!R7*(s_ET_ow_o+s_ET_ow_i)*(1/24)*s_RadSpec!W7))*1,".")</f>
        <v>76525.810022494145</v>
      </c>
      <c r="P7" s="48">
        <f>IFERROR((s_TR/(s_RadSpec!N7*s_EF_ow*(1/365)*s_ED_out*s_RadSpec!S7*(s_ET_ow_o+s_ET_ow_i)*(1/24)*s_RadSpec!X7))*1,".")</f>
        <v>26044.730986862778</v>
      </c>
      <c r="Q7" s="48">
        <f>IFERROR((s_TR/(s_RadSpec!O7*s_EF_ow*(1/365)*s_ED_out*s_RadSpec!T7*(s_ET_ow_o+s_ET_ow_i)*(1/24)*s_RadSpec!Y7))*1,".")</f>
        <v>18333.543435043466</v>
      </c>
      <c r="R7" s="48">
        <f>IFERROR((s_TR/(s_RadSpec!K7*s_EF_ow*(1/365)*s_ED_out*s_RadSpec!P7*(s_ET_ow_o+s_ET_ow_i)*(1/24)*s_RadSpec!U7))*1,".")</f>
        <v>25925.542796089037</v>
      </c>
      <c r="S7" s="69">
        <f>s_C*s_EF_ow*(1/365)*s_ED_out*(s_ET_ow_o+s_ET_ow_i)*(1/24)*s_RadSpec!V7*s_RadSpec!Q7*1</f>
        <v>1209.7766747586847</v>
      </c>
      <c r="T7" s="69">
        <f>s_C*s_EF_ow*(1/365)*s_ED_out*(s_ET_ow_o+s_ET_ow_i)*(1/24)*s_RadSpec!W7*s_RadSpec!R7*1</f>
        <v>760.44646031579998</v>
      </c>
      <c r="U7" s="69">
        <f>s_C*s_EF_ow*(1/365)*s_ED_out*(s_ET_ow_o+s_ET_ow_i)*(1/24)*s_RadSpec!X7*s_RadSpec!S7*1</f>
        <v>1037.9702760084922</v>
      </c>
      <c r="V7" s="69">
        <f>s_C*s_EF_ow*(1/365)*s_ED_out*(s_ET_ow_o+s_ET_ow_i)*(1/24)*s_RadSpec!Y7*s_RadSpec!T7*1</f>
        <v>1128.3483884379054</v>
      </c>
      <c r="W7" s="69">
        <f>s_C*s_EF_ow*(1/365)*s_ED_out*(s_ET_ow_o+s_ET_ow_i)*(1/24)*s_RadSpec!U7*s_RadSpec!P7*1</f>
        <v>444.36469964114707</v>
      </c>
      <c r="X7" s="11"/>
      <c r="Y7" s="11"/>
      <c r="Z7" s="11"/>
      <c r="AA7" s="11"/>
      <c r="AB7" s="11"/>
      <c r="AC7" s="48">
        <f>IFERROR(s_TR/(s_RadSpec!G7*s_EF_ow*s_ED_out*(s_ET_ow_o+s_ET_ow_i)*(1/24)*s_IRA_ow),".")</f>
        <v>0.31961007570763672</v>
      </c>
      <c r="AD7" s="48">
        <f>IFERROR(s_TR/(s_RadSpec!J7*s_EF_ow*(1/365)*s_ED_out*(s_ET_ow_o+s_ET_ow_i)*(1/24)*s_GSF_a),".")</f>
        <v>150559.27952383706</v>
      </c>
      <c r="AE7" s="48">
        <f t="shared" si="6"/>
        <v>0.3196093972347856</v>
      </c>
      <c r="AF7" s="69">
        <f t="shared" si="4"/>
        <v>381940625</v>
      </c>
      <c r="AG7" s="69">
        <f t="shared" si="5"/>
        <v>69760.844748858435</v>
      </c>
      <c r="AH7" s="10"/>
      <c r="AI7" s="10"/>
      <c r="AJ7" s="10"/>
    </row>
    <row r="8" spans="1:36" x14ac:dyDescent="0.25">
      <c r="A8" s="49" t="s">
        <v>18</v>
      </c>
      <c r="B8" s="50" t="s">
        <v>289</v>
      </c>
      <c r="C8" s="48">
        <f>IFERROR((s_TR/(s_RadSpec!I8*s_EF_ow*s_ED_out*s_IRS_ow*(1/1000)))*1,".")</f>
        <v>57339.61393237939</v>
      </c>
      <c r="D8" s="48">
        <f>IFERROR(IF(A8="H-3",(s_TR/(s_RadSpec!G8*s_EF_ow*s_ED_out*(s_ET_ow_o+s_ET_ow_i)*(1/24)*s_IRA_ow*(1/17)*1000))*1,(s_TR/(s_RadSpec!G8*s_EF_ow*s_ED_out*(s_ET_ow_o+s_ET_ow_i)*(1/24)*s_IRA_ow*(1/s_PEF_wind)*1000))*1),".")</f>
        <v>609799.46546984604</v>
      </c>
      <c r="E8" s="48">
        <f>IFERROR((s_TR/(s_RadSpec!F8*s_EF_ow*(1/365)*s_ED_out*s_RadSpec!Q8*(s_ET_ow_o+s_ET_ow_i)*(1/24)*s_RadSpec!V8))*1,".")</f>
        <v>48.621175280198329</v>
      </c>
      <c r="F8" s="48">
        <f t="shared" si="0"/>
        <v>48.576112002081118</v>
      </c>
      <c r="G8" s="69">
        <f t="shared" si="1"/>
        <v>3055525</v>
      </c>
      <c r="H8" s="69">
        <f t="shared" si="2"/>
        <v>1231.1313567072434</v>
      </c>
      <c r="I8" s="69">
        <f>s_C*s_EF_ow*(1/365)*s_ED_out*(s_ET_ow_o+s_ET_ow_i)*(1/24)*s_RadSpec!V8*s_RadSpec!Q8*1</f>
        <v>2104.4521499238954</v>
      </c>
      <c r="J8" s="4"/>
      <c r="K8" s="4"/>
      <c r="L8" s="4"/>
      <c r="M8" s="4"/>
      <c r="N8" s="48">
        <f>IFERROR((s_TR/(s_RadSpec!F8*s_EF_ow*(1/365)*s_ED_out*s_RadSpec!Q8*(s_ET_ow_o+s_ET_ow_i)*(1/24)*s_RadSpec!V8))*1,".")</f>
        <v>48.621175280198329</v>
      </c>
      <c r="O8" s="48">
        <f>IFERROR((s_TR/(s_RadSpec!M8*s_EF_ow*(1/365)*s_ED_out*s_RadSpec!R8*(s_ET_ow_o+s_ET_ow_i)*(1/24)*s_RadSpec!W8))*1,".")</f>
        <v>411.73665618841255</v>
      </c>
      <c r="P8" s="48">
        <f>IFERROR((s_TR/(s_RadSpec!N8*s_EF_ow*(1/365)*s_ED_out*s_RadSpec!S8*(s_ET_ow_o+s_ET_ow_i)*(1/24)*s_RadSpec!X8))*1,".")</f>
        <v>107.5758797106832</v>
      </c>
      <c r="Q8" s="48">
        <f>IFERROR((s_TR/(s_RadSpec!O8*s_EF_ow*(1/365)*s_ED_out*s_RadSpec!T8*(s_ET_ow_o+s_ET_ow_i)*(1/24)*s_RadSpec!Y8))*1,".")</f>
        <v>65.197737906794941</v>
      </c>
      <c r="R8" s="48">
        <f>IFERROR((s_TR/(s_RadSpec!K8*s_EF_ow*(1/365)*s_ED_out*s_RadSpec!P8*(s_ET_ow_o+s_ET_ow_i)*(1/24)*s_RadSpec!U8))*1,".")</f>
        <v>746.60607342686501</v>
      </c>
      <c r="S8" s="69">
        <f>s_C*s_EF_ow*(1/365)*s_ED_out*(s_ET_ow_o+s_ET_ow_i)*(1/24)*s_RadSpec!V8*s_RadSpec!Q8*1</f>
        <v>2104.4521499238954</v>
      </c>
      <c r="T8" s="69">
        <f>s_C*s_EF_ow*(1/365)*s_ED_out*(s_ET_ow_o+s_ET_ow_i)*(1/24)*s_RadSpec!W8*s_RadSpec!R8*1</f>
        <v>1146.4032153729072</v>
      </c>
      <c r="U8" s="69">
        <f>s_C*s_EF_ow*(1/365)*s_ED_out*(s_ET_ow_o+s_ET_ow_i)*(1/24)*s_RadSpec!X8*s_RadSpec!S8*1</f>
        <v>1570.615590345727</v>
      </c>
      <c r="V8" s="69">
        <f>s_C*s_EF_ow*(1/365)*s_ED_out*(s_ET_ow_o+s_ET_ow_i)*(1/24)*s_RadSpec!Y8*s_RadSpec!T8*1</f>
        <v>1713.0708847835867</v>
      </c>
      <c r="W8" s="69">
        <f>s_C*s_EF_ow*(1/365)*s_ED_out*(s_ET_ow_o+s_ET_ow_i)*(1/24)*s_RadSpec!U8*s_RadSpec!P8*1</f>
        <v>618.71225402261359</v>
      </c>
      <c r="X8" s="11"/>
      <c r="Y8" s="11"/>
      <c r="Z8" s="11"/>
      <c r="AA8" s="11"/>
      <c r="AB8" s="11"/>
      <c r="AC8" s="48">
        <f>IFERROR(s_TR/(s_RadSpec!G8*s_EF_ow*s_ED_out*(s_ET_ow_o+s_ET_ow_i)*(1/24)*s_IRA_ow),".")</f>
        <v>1.9656019656019659</v>
      </c>
      <c r="AD8" s="48">
        <f>IFERROR(s_TR/(s_RadSpec!J8*s_EF_ow*(1/365)*s_ED_out*(s_ET_ow_o+s_ET_ow_i)*(1/24)*s_GSF_a),".")</f>
        <v>1495.6875794802233</v>
      </c>
      <c r="AE8" s="48">
        <f t="shared" si="6"/>
        <v>1.9630222020525383</v>
      </c>
      <c r="AF8" s="69">
        <f t="shared" si="4"/>
        <v>381940625</v>
      </c>
      <c r="AG8" s="69">
        <f t="shared" si="5"/>
        <v>69760.844748858435</v>
      </c>
      <c r="AH8" s="10"/>
      <c r="AI8" s="10"/>
      <c r="AJ8" s="10"/>
    </row>
    <row r="9" spans="1:36" x14ac:dyDescent="0.25">
      <c r="A9" s="49" t="s">
        <v>19</v>
      </c>
      <c r="B9" s="50" t="s">
        <v>289</v>
      </c>
      <c r="C9" s="48">
        <f>IFERROR((s_TR/(s_RadSpec!I9*s_EF_ow*s_ED_out*s_IRS_ow*(1/1000)))*1,".")</f>
        <v>123467.46015087723</v>
      </c>
      <c r="D9" s="48">
        <f>IFERROR(IF(A9="H-3",(s_TR/(s_RadSpec!G9*s_EF_ow*s_ED_out*(s_ET_ow_o+s_ET_ow_i)*(1/24)*s_IRA_ow*(1/17)*1000))*1,(s_TR/(s_RadSpec!G9*s_EF_ow*s_ED_out*(s_ET_ow_o+s_ET_ow_i)*(1/24)*s_IRA_ow*(1/s_PEF_wind)*1000))*1),".")</f>
        <v>730180.58972117468</v>
      </c>
      <c r="E9" s="48">
        <f>IFERROR((s_TR/(s_RadSpec!F9*s_EF_ow*(1/365)*s_ED_out*s_RadSpec!Q9*(s_ET_ow_o+s_ET_ow_i)*(1/24)*s_RadSpec!V9))*1,".")</f>
        <v>1.770204538622089</v>
      </c>
      <c r="F9" s="48">
        <f t="shared" si="0"/>
        <v>1.7701748673835866</v>
      </c>
      <c r="G9" s="69">
        <f t="shared" si="1"/>
        <v>3055525</v>
      </c>
      <c r="H9" s="69">
        <f t="shared" si="2"/>
        <v>1231.1313567072434</v>
      </c>
      <c r="I9" s="69">
        <f>s_C*s_EF_ow*(1/365)*s_ED_out*(s_ET_ow_o+s_ET_ow_i)*(1/24)*s_RadSpec!V9*s_RadSpec!Q9*1</f>
        <v>4273.1030407405951</v>
      </c>
      <c r="J9" s="4"/>
      <c r="K9" s="4"/>
      <c r="L9" s="4"/>
      <c r="M9" s="4"/>
      <c r="N9" s="48">
        <f>IFERROR((s_TR/(s_RadSpec!F9*s_EF_ow*(1/365)*s_ED_out*s_RadSpec!Q9*(s_ET_ow_o+s_ET_ow_i)*(1/24)*s_RadSpec!V9))*1,".")</f>
        <v>1.770204538622089</v>
      </c>
      <c r="O9" s="48">
        <f>IFERROR((s_TR/(s_RadSpec!M9*s_EF_ow*(1/365)*s_ED_out*s_RadSpec!R9*(s_ET_ow_o+s_ET_ow_i)*(1/24)*s_RadSpec!W9))*1,".")</f>
        <v>20.075260887433725</v>
      </c>
      <c r="P9" s="48">
        <f>IFERROR((s_TR/(s_RadSpec!N9*s_EF_ow*(1/365)*s_ED_out*s_RadSpec!S9*(s_ET_ow_o+s_ET_ow_i)*(1/24)*s_RadSpec!X9))*1,".")</f>
        <v>4.9161744827673406</v>
      </c>
      <c r="Q9" s="48">
        <f>IFERROR((s_TR/(s_RadSpec!O9*s_EF_ow*(1/365)*s_ED_out*s_RadSpec!T9*(s_ET_ow_o+s_ET_ow_i)*(1/24)*s_RadSpec!Y9))*1,".")</f>
        <v>2.5146990620780523</v>
      </c>
      <c r="R9" s="48">
        <f>IFERROR((s_TR/(s_RadSpec!K9*s_EF_ow*(1/365)*s_ED_out*s_RadSpec!P9*(s_ET_ow_o+s_ET_ow_i)*(1/24)*s_RadSpec!U9))*1,".")</f>
        <v>36.722643535194543</v>
      </c>
      <c r="S9" s="69">
        <f>s_C*s_EF_ow*(1/365)*s_ED_out*(s_ET_ow_o+s_ET_ow_i)*(1/24)*s_RadSpec!V9*s_RadSpec!Q9*1</f>
        <v>4273.1030407405951</v>
      </c>
      <c r="T9" s="69">
        <f>s_C*s_EF_ow*(1/365)*s_ED_out*(s_ET_ow_o+s_ET_ow_i)*(1/24)*s_RadSpec!W9*s_RadSpec!R9*1</f>
        <v>2086.3056373490363</v>
      </c>
      <c r="U9" s="69">
        <f>s_C*s_EF_ow*(1/365)*s_ED_out*(s_ET_ow_o+s_ET_ow_i)*(1/24)*s_RadSpec!X9*s_RadSpec!S9*1</f>
        <v>2965.104626189921</v>
      </c>
      <c r="V9" s="69">
        <f>s_C*s_EF_ow*(1/365)*s_ED_out*(s_ET_ow_o+s_ET_ow_i)*(1/24)*s_RadSpec!Y9*s_RadSpec!T9*1</f>
        <v>3597.0435573630134</v>
      </c>
      <c r="W9" s="69">
        <f>s_C*s_EF_ow*(1/365)*s_ED_out*(s_ET_ow_o+s_ET_ow_i)*(1/24)*s_RadSpec!U9*s_RadSpec!P9*1</f>
        <v>1177.8523116438348</v>
      </c>
      <c r="X9" s="11"/>
      <c r="Y9" s="11"/>
      <c r="Z9" s="11"/>
      <c r="AA9" s="11"/>
      <c r="AB9" s="11"/>
      <c r="AC9" s="48">
        <f>IFERROR(s_TR/(s_RadSpec!G9*s_EF_ow*s_ED_out*(s_ET_ow_o+s_ET_ow_i)*(1/24)*s_IRA_ow),".")</f>
        <v>2.3536334215945867</v>
      </c>
      <c r="AD9" s="48">
        <f>IFERROR(s_TR/(s_RadSpec!J9*s_EF_ow*(1/365)*s_ED_out*(s_ET_ow_o+s_ET_ow_i)*(1/24)*s_GSF_a),".")</f>
        <v>119.02854035654136</v>
      </c>
      <c r="AE9" s="48">
        <f t="shared" si="6"/>
        <v>2.3079958282740685</v>
      </c>
      <c r="AF9" s="69">
        <f t="shared" si="4"/>
        <v>381940625</v>
      </c>
      <c r="AG9" s="69">
        <f t="shared" si="5"/>
        <v>69760.844748858435</v>
      </c>
      <c r="AH9" s="10"/>
      <c r="AI9" s="10"/>
      <c r="AJ9" s="10"/>
    </row>
    <row r="10" spans="1:36" x14ac:dyDescent="0.25">
      <c r="A10" s="51" t="s">
        <v>20</v>
      </c>
      <c r="B10" s="50" t="s">
        <v>275</v>
      </c>
      <c r="C10" s="48">
        <f>IFERROR((s_TR/(s_RadSpec!I10*s_EF_ow*s_ED_out*s_IRS_ow*(1/1000)))*1,".")</f>
        <v>572.06110756751025</v>
      </c>
      <c r="D10" s="48">
        <f>IFERROR(IF(A10="H-3",(s_TR/(s_RadSpec!G10*s_EF_ow*s_ED_out*(s_ET_ow_o+s_ET_ow_i)*(1/24)*s_IRA_ow*(1/17)*1000))*1,(s_TR/(s_RadSpec!G10*s_EF_ow*s_ED_out*(s_ET_ow_o+s_ET_ow_i)*(1/24)*s_IRA_ow*(1/s_PEF_wind)*1000))*1),".")</f>
        <v>401183.85886174068</v>
      </c>
      <c r="E10" s="48">
        <f>IFERROR((s_TR/(s_RadSpec!F10*s_EF_ow*(1/365)*s_ED_out*s_RadSpec!Q10*(s_ET_ow_o+s_ET_ow_i)*(1/24)*s_RadSpec!V10))*1,".")</f>
        <v>45043.189346158862</v>
      </c>
      <c r="F10" s="48">
        <f t="shared" si="0"/>
        <v>564.09261551981729</v>
      </c>
      <c r="G10" s="69">
        <f t="shared" si="1"/>
        <v>3055525</v>
      </c>
      <c r="H10" s="69">
        <f t="shared" si="2"/>
        <v>1231.1313567072434</v>
      </c>
      <c r="I10" s="69">
        <f>s_C*s_EF_ow*(1/365)*s_ED_out*(s_ET_ow_o+s_ET_ow_i)*(1/24)*s_RadSpec!V10*s_RadSpec!Q10*1</f>
        <v>2233.1977739726026</v>
      </c>
      <c r="J10" s="4"/>
      <c r="K10" s="4"/>
      <c r="L10" s="4"/>
      <c r="M10" s="4"/>
      <c r="N10" s="48">
        <f>IFERROR((s_TR/(s_RadSpec!F10*s_EF_ow*(1/365)*s_ED_out*s_RadSpec!Q10*(s_ET_ow_o+s_ET_ow_i)*(1/24)*s_RadSpec!V10))*1,".")</f>
        <v>45043.189346158862</v>
      </c>
      <c r="O10" s="48">
        <f>IFERROR((s_TR/(s_RadSpec!M10*s_EF_ow*(1/365)*s_ED_out*s_RadSpec!R10*(s_ET_ow_o+s_ET_ow_i)*(1/24)*s_RadSpec!W10))*1,".")</f>
        <v>201453.37408933809</v>
      </c>
      <c r="P10" s="48">
        <f>IFERROR((s_TR/(s_RadSpec!N10*s_EF_ow*(1/365)*s_ED_out*s_RadSpec!S10*(s_ET_ow_o+s_ET_ow_i)*(1/24)*s_RadSpec!X10))*1,".")</f>
        <v>65277.528591987262</v>
      </c>
      <c r="Q10" s="48">
        <f>IFERROR((s_TR/(s_RadSpec!O10*s_EF_ow*(1/365)*s_ED_out*s_RadSpec!T10*(s_ET_ow_o+s_ET_ow_i)*(1/24)*s_RadSpec!Y10))*1,".")</f>
        <v>46733.764038253066</v>
      </c>
      <c r="R10" s="48">
        <f>IFERROR((s_TR/(s_RadSpec!K10*s_EF_ow*(1/365)*s_ED_out*s_RadSpec!P10*(s_ET_ow_o+s_ET_ow_i)*(1/24)*s_RadSpec!U10))*1,".")</f>
        <v>117745.0633625421</v>
      </c>
      <c r="S10" s="69">
        <f>s_C*s_EF_ow*(1/365)*s_ED_out*(s_ET_ow_o+s_ET_ow_i)*(1/24)*s_RadSpec!V10*s_RadSpec!Q10*1</f>
        <v>2233.1977739726026</v>
      </c>
      <c r="T10" s="69">
        <f>s_C*s_EF_ow*(1/365)*s_ED_out*(s_ET_ow_o+s_ET_ow_i)*(1/24)*s_RadSpec!W10*s_RadSpec!R10*1</f>
        <v>1433.1303975580706</v>
      </c>
      <c r="U10" s="69">
        <f>s_C*s_EF_ow*(1/365)*s_ED_out*(s_ET_ow_o+s_ET_ow_i)*(1/24)*s_RadSpec!X10*s_RadSpec!S10*1</f>
        <v>2006.8176743300053</v>
      </c>
      <c r="V10" s="69">
        <f>s_C*s_EF_ow*(1/365)*s_ED_out*(s_ET_ow_o+s_ET_ow_i)*(1/24)*s_RadSpec!Y10*s_RadSpec!T10*1</f>
        <v>2194.1621485219898</v>
      </c>
      <c r="W10" s="69">
        <f>s_C*s_EF_ow*(1/365)*s_ED_out*(s_ET_ow_o+s_ET_ow_i)*(1/24)*s_RadSpec!U10*s_RadSpec!P10*1</f>
        <v>852.50397244043347</v>
      </c>
      <c r="X10" s="11"/>
      <c r="Y10" s="11"/>
      <c r="Z10" s="11"/>
      <c r="AA10" s="11"/>
      <c r="AB10" s="11"/>
      <c r="AC10" s="48">
        <f>IFERROR(s_TR/(s_RadSpec!G10*s_EF_ow*s_ED_out*(s_ET_ow_o+s_ET_ow_i)*(1/24)*s_IRA_ow),".")</f>
        <v>1.29315918789603</v>
      </c>
      <c r="AD10" s="48">
        <f>IFERROR(s_TR/(s_RadSpec!J10*s_EF_ow*(1/365)*s_ED_out*(s_ET_ow_o+s_ET_ow_i)*(1/24)*s_GSF_a),".")</f>
        <v>490671.60880790063</v>
      </c>
      <c r="AE10" s="48">
        <f t="shared" si="6"/>
        <v>1.2931557797993558</v>
      </c>
      <c r="AF10" s="69">
        <f t="shared" si="4"/>
        <v>381940625</v>
      </c>
      <c r="AG10" s="69">
        <f t="shared" si="5"/>
        <v>69760.844748858435</v>
      </c>
      <c r="AH10" s="10"/>
      <c r="AI10" s="10"/>
      <c r="AJ10" s="10"/>
    </row>
    <row r="11" spans="1:36" x14ac:dyDescent="0.25">
      <c r="A11" s="49" t="s">
        <v>21</v>
      </c>
      <c r="B11" s="50" t="s">
        <v>289</v>
      </c>
      <c r="C11" s="48" t="str">
        <f>IFERROR((s_TR/(s_RadSpec!I11*s_EF_ow*s_ED_out*s_IRS_ow*(1/1000)))*1,".")</f>
        <v>.</v>
      </c>
      <c r="D11" s="48" t="str">
        <f>IFERROR(IF(A11="H-3",(s_TR/(s_RadSpec!G11*s_EF_ow*s_ED_out*(s_ET_ow_o+s_ET_ow_i)*(1/24)*s_IRA_ow*(1/17)*1000))*1,(s_TR/(s_RadSpec!G11*s_EF_ow*s_ED_out*(s_ET_ow_o+s_ET_ow_i)*(1/24)*s_IRA_ow*(1/s_PEF_wind)*1000))*1),".")</f>
        <v>.</v>
      </c>
      <c r="E11" s="48">
        <f>IFERROR((s_TR/(s_RadSpec!F11*s_EF_ow*(1/365)*s_ED_out*s_RadSpec!Q11*(s_ET_ow_o+s_ET_ow_i)*(1/24)*s_RadSpec!V11))*1,".")</f>
        <v>709.42571502794306</v>
      </c>
      <c r="F11" s="48">
        <f t="shared" si="0"/>
        <v>709.42571502794306</v>
      </c>
      <c r="G11" s="69">
        <f t="shared" si="1"/>
        <v>3055525</v>
      </c>
      <c r="H11" s="69">
        <f t="shared" si="2"/>
        <v>1231.1313567072434</v>
      </c>
      <c r="I11" s="69">
        <f>s_C*s_EF_ow*(1/365)*s_ED_out*(s_ET_ow_o+s_ET_ow_i)*(1/24)*s_RadSpec!V11*s_RadSpec!Q11*1</f>
        <v>746.85139672307264</v>
      </c>
      <c r="J11" s="4"/>
      <c r="K11" s="4"/>
      <c r="L11" s="4"/>
      <c r="M11" s="4"/>
      <c r="N11" s="48">
        <f>IFERROR((s_TR/(s_RadSpec!F11*s_EF_ow*(1/365)*s_ED_out*s_RadSpec!Q11*(s_ET_ow_o+s_ET_ow_i)*(1/24)*s_RadSpec!V11))*1,".")</f>
        <v>709.42571502794306</v>
      </c>
      <c r="O11" s="48">
        <f>IFERROR((s_TR/(s_RadSpec!M11*s_EF_ow*(1/365)*s_ED_out*s_RadSpec!R11*(s_ET_ow_o+s_ET_ow_i)*(1/24)*s_RadSpec!W11))*1,".")</f>
        <v>3677.4492926136886</v>
      </c>
      <c r="P11" s="48">
        <f>IFERROR((s_TR/(s_RadSpec!N11*s_EF_ow*(1/365)*s_ED_out*s_RadSpec!S11*(s_ET_ow_o+s_ET_ow_i)*(1/24)*s_RadSpec!X11))*1,".")</f>
        <v>1034.4019530920518</v>
      </c>
      <c r="Q11" s="48">
        <f>IFERROR((s_TR/(s_RadSpec!O11*s_EF_ow*(1/365)*s_ED_out*s_RadSpec!T11*(s_ET_ow_o+s_ET_ow_i)*(1/24)*s_RadSpec!Y11))*1,".")</f>
        <v>688.92942310004071</v>
      </c>
      <c r="R11" s="48">
        <f>IFERROR((s_TR/(s_RadSpec!K11*s_EF_ow*(1/365)*s_ED_out*s_RadSpec!P11*(s_ET_ow_o+s_ET_ow_i)*(1/24)*s_RadSpec!U11))*1,".")</f>
        <v>6947.44336982204</v>
      </c>
      <c r="S11" s="69">
        <f>s_C*s_EF_ow*(1/365)*s_ED_out*(s_ET_ow_o+s_ET_ow_i)*(1/24)*s_RadSpec!V11*s_RadSpec!Q11*1</f>
        <v>746.85139672307264</v>
      </c>
      <c r="T11" s="69">
        <f>s_C*s_EF_ow*(1/365)*s_ED_out*(s_ET_ow_o+s_ET_ow_i)*(1/24)*s_RadSpec!W11*s_RadSpec!R11*1</f>
        <v>590.24214736729436</v>
      </c>
      <c r="U11" s="69">
        <f>s_C*s_EF_ow*(1/365)*s_ED_out*(s_ET_ow_o+s_ET_ow_i)*(1/24)*s_RadSpec!X11*s_RadSpec!S11*1</f>
        <v>760.529993732653</v>
      </c>
      <c r="V11" s="69">
        <f>s_C*s_EF_ow*(1/365)*s_ED_out*(s_ET_ow_o+s_ET_ow_i)*(1/24)*s_RadSpec!Y11*s_RadSpec!T11*1</f>
        <v>798.41119923095368</v>
      </c>
      <c r="W11" s="69">
        <f>s_C*s_EF_ow*(1/365)*s_ED_out*(s_ET_ow_o+s_ET_ow_i)*(1/24)*s_RadSpec!U11*s_RadSpec!P11*1</f>
        <v>317.05798424988416</v>
      </c>
      <c r="X11" s="11"/>
      <c r="Y11" s="11"/>
      <c r="Z11" s="11"/>
      <c r="AA11" s="11"/>
      <c r="AB11" s="11"/>
      <c r="AC11" s="48" t="str">
        <f>IFERROR(s_TR/(s_RadSpec!G11*s_EF_ow*s_ED_out*(s_ET_ow_o+s_ET_ow_i)*(1/24)*s_IRA_ow),".")</f>
        <v>.</v>
      </c>
      <c r="AD11" s="48">
        <f>IFERROR(s_TR/(s_RadSpec!J11*s_EF_ow*(1/365)*s_ED_out*(s_ET_ow_o+s_ET_ow_i)*(1/24)*s_GSF_a),".")</f>
        <v>6910.1675404557436</v>
      </c>
      <c r="AE11" s="48">
        <f t="shared" si="6"/>
        <v>6910.1675404557436</v>
      </c>
      <c r="AF11" s="69">
        <f t="shared" si="4"/>
        <v>381940625</v>
      </c>
      <c r="AG11" s="69">
        <f t="shared" si="5"/>
        <v>69760.844748858435</v>
      </c>
      <c r="AH11" s="10"/>
      <c r="AI11" s="10"/>
      <c r="AJ11" s="10"/>
    </row>
    <row r="12" spans="1:36" x14ac:dyDescent="0.25">
      <c r="A12" s="49" t="s">
        <v>22</v>
      </c>
      <c r="B12" s="50" t="s">
        <v>289</v>
      </c>
      <c r="C12" s="48" t="str">
        <f>IFERROR((s_TR/(s_RadSpec!I12*s_EF_ow*s_ED_out*s_IRS_ow*(1/1000)))*1,".")</f>
        <v>.</v>
      </c>
      <c r="D12" s="48" t="str">
        <f>IFERROR(IF(A12="H-3",(s_TR/(s_RadSpec!G12*s_EF_ow*s_ED_out*(s_ET_ow_o+s_ET_ow_i)*(1/24)*s_IRA_ow*(1/17)*1000))*1,(s_TR/(s_RadSpec!G12*s_EF_ow*s_ED_out*(s_ET_ow_o+s_ET_ow_i)*(1/24)*s_IRA_ow*(1/s_PEF_wind)*1000))*1),".")</f>
        <v>.</v>
      </c>
      <c r="E12" s="48">
        <f>IFERROR((s_TR/(s_RadSpec!F12*s_EF_ow*(1/365)*s_ED_out*s_RadSpec!Q12*(s_ET_ow_o+s_ET_ow_i)*(1/24)*s_RadSpec!V12))*1,".")</f>
        <v>73.729994894191606</v>
      </c>
      <c r="F12" s="48">
        <f t="shared" si="0"/>
        <v>73.729994894191606</v>
      </c>
      <c r="G12" s="69">
        <f t="shared" si="1"/>
        <v>3055525</v>
      </c>
      <c r="H12" s="69">
        <f t="shared" si="2"/>
        <v>1231.1313567072434</v>
      </c>
      <c r="I12" s="69">
        <f>s_C*s_EF_ow*(1/365)*s_ED_out*(s_ET_ow_o+s_ET_ow_i)*(1/24)*s_RadSpec!V12*s_RadSpec!Q12*1</f>
        <v>1558.7372561928739</v>
      </c>
      <c r="J12" s="4"/>
      <c r="K12" s="4"/>
      <c r="L12" s="4"/>
      <c r="M12" s="4"/>
      <c r="N12" s="48">
        <f>IFERROR((s_TR/(s_RadSpec!F12*s_EF_ow*(1/365)*s_ED_out*s_RadSpec!Q12*(s_ET_ow_o+s_ET_ow_i)*(1/24)*s_RadSpec!V12))*1,".")</f>
        <v>73.729994894191606</v>
      </c>
      <c r="O12" s="48">
        <f>IFERROR((s_TR/(s_RadSpec!M12*s_EF_ow*(1/365)*s_ED_out*s_RadSpec!R12*(s_ET_ow_o+s_ET_ow_i)*(1/24)*s_RadSpec!W12))*1,".")</f>
        <v>582.08338233812185</v>
      </c>
      <c r="P12" s="48">
        <f>IFERROR((s_TR/(s_RadSpec!N12*s_EF_ow*(1/365)*s_ED_out*s_RadSpec!S12*(s_ET_ow_o+s_ET_ow_i)*(1/24)*s_RadSpec!X12))*1,".")</f>
        <v>151.3244758431853</v>
      </c>
      <c r="Q12" s="48">
        <f>IFERROR((s_TR/(s_RadSpec!O12*s_EF_ow*(1/365)*s_ED_out*s_RadSpec!T12*(s_ET_ow_o+s_ET_ow_i)*(1/24)*s_RadSpec!Y12))*1,".")</f>
        <v>90.613173289828794</v>
      </c>
      <c r="R12" s="48">
        <f>IFERROR((s_TR/(s_RadSpec!K12*s_EF_ow*(1/365)*s_ED_out*s_RadSpec!P12*(s_ET_ow_o+s_ET_ow_i)*(1/24)*s_RadSpec!U12))*1,".")</f>
        <v>987.81149289878044</v>
      </c>
      <c r="S12" s="69">
        <f>s_C*s_EF_ow*(1/365)*s_ED_out*(s_ET_ow_o+s_ET_ow_i)*(1/24)*s_RadSpec!V12*s_RadSpec!Q12*1</f>
        <v>1558.7372561928739</v>
      </c>
      <c r="T12" s="69">
        <f>s_C*s_EF_ow*(1/365)*s_ED_out*(s_ET_ow_o+s_ET_ow_i)*(1/24)*s_RadSpec!W12*s_RadSpec!R12*1</f>
        <v>868.83028555600288</v>
      </c>
      <c r="U12" s="69">
        <f>s_C*s_EF_ow*(1/365)*s_ED_out*(s_ET_ow_o+s_ET_ow_i)*(1/24)*s_RadSpec!X12*s_RadSpec!S12*1</f>
        <v>1198.241761796043</v>
      </c>
      <c r="V12" s="69">
        <f>s_C*s_EF_ow*(1/365)*s_ED_out*(s_ET_ow_o+s_ET_ow_i)*(1/24)*s_RadSpec!Y12*s_RadSpec!T12*1</f>
        <v>1356.7978790285224</v>
      </c>
      <c r="W12" s="69">
        <f>s_C*s_EF_ow*(1/365)*s_ED_out*(s_ET_ow_o+s_ET_ow_i)*(1/24)*s_RadSpec!U12*s_RadSpec!P12*1</f>
        <v>503.30523573409522</v>
      </c>
      <c r="X12" s="11"/>
      <c r="Y12" s="11"/>
      <c r="Z12" s="11"/>
      <c r="AA12" s="11"/>
      <c r="AB12" s="11"/>
      <c r="AC12" s="48" t="str">
        <f>IFERROR(s_TR/(s_RadSpec!G12*s_EF_ow*s_ED_out*(s_ET_ow_o+s_ET_ow_i)*(1/24)*s_IRA_ow),".")</f>
        <v>.</v>
      </c>
      <c r="AD12" s="48">
        <f>IFERROR(s_TR/(s_RadSpec!J12*s_EF_ow*(1/365)*s_ED_out*(s_ET_ow_o+s_ET_ow_i)*(1/24)*s_GSF_a),".")</f>
        <v>1604.7847911599572</v>
      </c>
      <c r="AE12" s="48">
        <f t="shared" si="6"/>
        <v>1604.7847911599572</v>
      </c>
      <c r="AF12" s="69">
        <f t="shared" si="4"/>
        <v>381940625</v>
      </c>
      <c r="AG12" s="69">
        <f t="shared" si="5"/>
        <v>69760.844748858435</v>
      </c>
      <c r="AH12" s="10"/>
      <c r="AI12" s="10"/>
      <c r="AJ12" s="10"/>
    </row>
    <row r="13" spans="1:36" x14ac:dyDescent="0.25">
      <c r="A13" s="49" t="s">
        <v>23</v>
      </c>
      <c r="B13" s="50" t="s">
        <v>289</v>
      </c>
      <c r="C13" s="48">
        <f>IFERROR((s_TR/(s_RadSpec!I13*s_EF_ow*s_ED_out*s_IRS_ow*(1/1000)))*1,".")</f>
        <v>386.92952078778848</v>
      </c>
      <c r="D13" s="48">
        <f>IFERROR(IF(A13="H-3",(s_TR/(s_RadSpec!G13*s_EF_ow*s_ED_out*(s_ET_ow_o+s_ET_ow_i)*(1/24)*s_IRA_ow*(1/17)*1000))*1,(s_TR/(s_RadSpec!G13*s_EF_ow*s_ED_out*(s_ET_ow_o+s_ET_ow_i)*(1/24)*s_IRA_ow*(1/s_PEF_wind)*1000))*1),".")</f>
        <v>1573.676039922183</v>
      </c>
      <c r="E13" s="48">
        <f>IFERROR((s_TR/(s_RadSpec!F13*s_EF_ow*(1/365)*s_ED_out*s_RadSpec!Q13*(s_ET_ow_o+s_ET_ow_i)*(1/24)*s_RadSpec!V13))*1,".")</f>
        <v>5296.2293819483139</v>
      </c>
      <c r="F13" s="48">
        <f t="shared" si="0"/>
        <v>293.36539101318334</v>
      </c>
      <c r="G13" s="69">
        <f t="shared" si="1"/>
        <v>3055525</v>
      </c>
      <c r="H13" s="69">
        <f t="shared" si="2"/>
        <v>1231.1313567072434</v>
      </c>
      <c r="I13" s="69">
        <f>s_C*s_EF_ow*(1/365)*s_ED_out*(s_ET_ow_o+s_ET_ow_i)*(1/24)*s_RadSpec!V13*s_RadSpec!Q13*1</f>
        <v>202.79019285571425</v>
      </c>
      <c r="J13" s="4"/>
      <c r="K13" s="4"/>
      <c r="L13" s="4"/>
      <c r="M13" s="4"/>
      <c r="N13" s="48">
        <f>IFERROR((s_TR/(s_RadSpec!F13*s_EF_ow*(1/365)*s_ED_out*s_RadSpec!Q13*(s_ET_ow_o+s_ET_ow_i)*(1/24)*s_RadSpec!V13))*1,".")</f>
        <v>5296.2293819483139</v>
      </c>
      <c r="O13" s="48">
        <f>IFERROR((s_TR/(s_RadSpec!M13*s_EF_ow*(1/365)*s_ED_out*s_RadSpec!R13*(s_ET_ow_o+s_ET_ow_i)*(1/24)*s_RadSpec!W13))*1,".")</f>
        <v>34432.115228614341</v>
      </c>
      <c r="P13" s="48">
        <f>IFERROR((s_TR/(s_RadSpec!N13*s_EF_ow*(1/365)*s_ED_out*s_RadSpec!S13*(s_ET_ow_o+s_ET_ow_i)*(1/24)*s_RadSpec!X13))*1,".")</f>
        <v>8596.5587252885889</v>
      </c>
      <c r="Q13" s="48">
        <f>IFERROR((s_TR/(s_RadSpec!O13*s_EF_ow*(1/365)*s_ED_out*s_RadSpec!T13*(s_ET_ow_o+s_ET_ow_i)*(1/24)*s_RadSpec!Y13))*1,".")</f>
        <v>5690.1724804873502</v>
      </c>
      <c r="R13" s="48">
        <f>IFERROR((s_TR/(s_RadSpec!K13*s_EF_ow*(1/365)*s_ED_out*s_RadSpec!P13*(s_ET_ow_o+s_ET_ow_i)*(1/24)*s_RadSpec!U13))*1,".")</f>
        <v>273467.48104980658</v>
      </c>
      <c r="S13" s="69">
        <f>s_C*s_EF_ow*(1/365)*s_ED_out*(s_ET_ow_o+s_ET_ow_i)*(1/24)*s_RadSpec!V13*s_RadSpec!Q13*1</f>
        <v>202.79019285571425</v>
      </c>
      <c r="T13" s="69">
        <f>s_C*s_EF_ow*(1/365)*s_ED_out*(s_ET_ow_o+s_ET_ow_i)*(1/24)*s_RadSpec!W13*s_RadSpec!R13*1</f>
        <v>92.989721776935752</v>
      </c>
      <c r="U13" s="69">
        <f>s_C*s_EF_ow*(1/365)*s_ED_out*(s_ET_ow_o+s_ET_ow_i)*(1/24)*s_RadSpec!X13*s_RadSpec!S13*1</f>
        <v>156.52386747371779</v>
      </c>
      <c r="V13" s="69">
        <f>s_C*s_EF_ow*(1/365)*s_ED_out*(s_ET_ow_o+s_ET_ow_i)*(1/24)*s_RadSpec!Y13*s_RadSpec!T13*1</f>
        <v>189.60659554593357</v>
      </c>
      <c r="W13" s="69">
        <f>s_C*s_EF_ow*(1/365)*s_ED_out*(s_ET_ow_o+s_ET_ow_i)*(1/24)*s_RadSpec!U13*s_RadSpec!P13*1</f>
        <v>9.665832509532553</v>
      </c>
      <c r="X13" s="11"/>
      <c r="Y13" s="11"/>
      <c r="Z13" s="11"/>
      <c r="AA13" s="11"/>
      <c r="AB13" s="11"/>
      <c r="AC13" s="48">
        <f>IFERROR(s_TR/(s_RadSpec!G13*s_EF_ow*s_ED_out*(s_ET_ow_o+s_ET_ow_i)*(1/24)*s_IRA_ow),".")</f>
        <v>5.0725212015534605E-3</v>
      </c>
      <c r="AD13" s="48">
        <f>IFERROR(s_TR/(s_RadSpec!J13*s_EF_ow*(1/365)*s_ED_out*(s_ET_ow_o+s_ET_ow_i)*(1/24)*s_GSF_a),".")</f>
        <v>10381.027948903833</v>
      </c>
      <c r="AE13" s="48">
        <f t="shared" si="6"/>
        <v>5.0725187229493287E-3</v>
      </c>
      <c r="AF13" s="69">
        <f t="shared" si="4"/>
        <v>381940625</v>
      </c>
      <c r="AG13" s="69">
        <f t="shared" si="5"/>
        <v>69760.844748858435</v>
      </c>
      <c r="AH13" s="10"/>
      <c r="AI13" s="10"/>
      <c r="AJ13" s="10"/>
    </row>
    <row r="14" spans="1:36" x14ac:dyDescent="0.25">
      <c r="A14" s="49" t="s">
        <v>24</v>
      </c>
      <c r="B14" s="50" t="s">
        <v>289</v>
      </c>
      <c r="C14" s="48">
        <f>IFERROR((s_TR/(s_RadSpec!I14*s_EF_ow*s_ED_out*s_IRS_ow*(1/1000)))*1,".")</f>
        <v>7040.1216533021679</v>
      </c>
      <c r="D14" s="48">
        <f>IFERROR(IF(A14="H-3",(s_TR/(s_RadSpec!G14*s_EF_ow*s_ED_out*(s_ET_ow_o+s_ET_ow_i)*(1/24)*s_IRA_ow*(1/17)*1000))*1,(s_TR/(s_RadSpec!G14*s_EF_ow*s_ED_out*(s_ET_ow_o+s_ET_ow_i)*(1/24)*s_IRA_ow*(1/s_PEF_wind)*1000))*1),".")</f>
        <v>2953024.0458588176</v>
      </c>
      <c r="E14" s="48">
        <f>IFERROR((s_TR/(s_RadSpec!F14*s_EF_ow*(1/365)*s_ED_out*s_RadSpec!Q14*(s_ET_ow_o+s_ET_ow_i)*(1/24)*s_RadSpec!V14))*1,".")</f>
        <v>51.193253233970175</v>
      </c>
      <c r="F14" s="48">
        <f t="shared" si="0"/>
        <v>50.822806854803218</v>
      </c>
      <c r="G14" s="69">
        <f t="shared" si="1"/>
        <v>3055525</v>
      </c>
      <c r="H14" s="69">
        <f t="shared" si="2"/>
        <v>1231.1313567072434</v>
      </c>
      <c r="I14" s="69">
        <f>s_C*s_EF_ow*(1/365)*s_ED_out*(s_ET_ow_o+s_ET_ow_i)*(1/24)*s_RadSpec!V14*s_RadSpec!Q14*1</f>
        <v>1350.8785119204431</v>
      </c>
      <c r="J14" s="4"/>
      <c r="K14" s="4"/>
      <c r="L14" s="4"/>
      <c r="M14" s="4"/>
      <c r="N14" s="48">
        <f>IFERROR((s_TR/(s_RadSpec!F14*s_EF_ow*(1/365)*s_ED_out*s_RadSpec!Q14*(s_ET_ow_o+s_ET_ow_i)*(1/24)*s_RadSpec!V14))*1,".")</f>
        <v>51.193253233970175</v>
      </c>
      <c r="O14" s="48">
        <f>IFERROR((s_TR/(s_RadSpec!M14*s_EF_ow*(1/365)*s_ED_out*s_RadSpec!R14*(s_ET_ow_o+s_ET_ow_i)*(1/24)*s_RadSpec!W14))*1,".")</f>
        <v>391.94180488247326</v>
      </c>
      <c r="P14" s="48">
        <f>IFERROR((s_TR/(s_RadSpec!N14*s_EF_ow*(1/365)*s_ED_out*s_RadSpec!S14*(s_ET_ow_o+s_ET_ow_i)*(1/24)*s_RadSpec!X14))*1,".")</f>
        <v>105.56260049413056</v>
      </c>
      <c r="Q14" s="48">
        <f>IFERROR((s_TR/(s_RadSpec!O14*s_EF_ow*(1/365)*s_ED_out*s_RadSpec!T14*(s_ET_ow_o+s_ET_ow_i)*(1/24)*s_RadSpec!Y14))*1,".")</f>
        <v>63.658769357939534</v>
      </c>
      <c r="R14" s="48">
        <f>IFERROR((s_TR/(s_RadSpec!K14*s_EF_ow*(1/365)*s_ED_out*s_RadSpec!P14*(s_ET_ow_o+s_ET_ow_i)*(1/24)*s_RadSpec!U14))*1,".")</f>
        <v>1108.5671084088765</v>
      </c>
      <c r="S14" s="69">
        <f>s_C*s_EF_ow*(1/365)*s_ED_out*(s_ET_ow_o+s_ET_ow_i)*(1/24)*s_RadSpec!V14*s_RadSpec!Q14*1</f>
        <v>1350.8785119204431</v>
      </c>
      <c r="T14" s="69">
        <f>s_C*s_EF_ow*(1/365)*s_ED_out*(s_ET_ow_o+s_ET_ow_i)*(1/24)*s_RadSpec!W14*s_RadSpec!R14*1</f>
        <v>743.83347325663817</v>
      </c>
      <c r="U14" s="69">
        <f>s_C*s_EF_ow*(1/365)*s_ED_out*(s_ET_ow_o+s_ET_ow_i)*(1/24)*s_RadSpec!X14*s_RadSpec!S14*1</f>
        <v>1006.0727044867969</v>
      </c>
      <c r="V14" s="69">
        <f>s_C*s_EF_ow*(1/365)*s_ED_out*(s_ET_ow_o+s_ET_ow_i)*(1/24)*s_RadSpec!Y14*s_RadSpec!T14*1</f>
        <v>1148.0960785388124</v>
      </c>
      <c r="W14" s="69">
        <f>s_C*s_EF_ow*(1/365)*s_ED_out*(s_ET_ow_o+s_ET_ow_i)*(1/24)*s_RadSpec!U14*s_RadSpec!P14*1</f>
        <v>266.58124750631725</v>
      </c>
      <c r="X14" s="11"/>
      <c r="Y14" s="11"/>
      <c r="Z14" s="11"/>
      <c r="AA14" s="11"/>
      <c r="AB14" s="11"/>
      <c r="AC14" s="48">
        <f>IFERROR(s_TR/(s_RadSpec!G14*s_EF_ow*s_ED_out*(s_ET_ow_o+s_ET_ow_i)*(1/24)*s_IRA_ow),".")</f>
        <v>9.5186535864501973</v>
      </c>
      <c r="AD14" s="48">
        <f>IFERROR(s_TR/(s_RadSpec!J14*s_EF_ow*(1/365)*s_ED_out*(s_ET_ow_o+s_ET_ow_i)*(1/24)*s_GSF_a),".")</f>
        <v>933.01441346509137</v>
      </c>
      <c r="AE14" s="48">
        <f t="shared" si="6"/>
        <v>9.4225245812554252</v>
      </c>
      <c r="AF14" s="69">
        <f t="shared" si="4"/>
        <v>381940625</v>
      </c>
      <c r="AG14" s="69">
        <f t="shared" si="5"/>
        <v>69760.844748858435</v>
      </c>
      <c r="AH14" s="10"/>
      <c r="AI14" s="10"/>
      <c r="AJ14" s="10"/>
    </row>
    <row r="15" spans="1:36" x14ac:dyDescent="0.25">
      <c r="A15" s="49" t="s">
        <v>25</v>
      </c>
      <c r="B15" s="50" t="s">
        <v>289</v>
      </c>
      <c r="C15" s="48">
        <f>IFERROR((s_TR/(s_RadSpec!I15*s_EF_ow*s_ED_out*s_IRS_ow*(1/1000)))*1,".")</f>
        <v>148909.23981833068</v>
      </c>
      <c r="D15" s="48">
        <f>IFERROR(IF(A15="H-3",(s_TR/(s_RadSpec!G15*s_EF_ow*s_ED_out*(s_ET_ow_o+s_ET_ow_i)*(1/24)*s_IRA_ow*(1/17)*1000))*1,(s_TR/(s_RadSpec!G15*s_EF_ow*s_ED_out*(s_ET_ow_o+s_ET_ow_i)*(1/24)*s_IRA_ow*(1/s_PEF_wind)*1000))*1),".")</f>
        <v>217010485.93232954</v>
      </c>
      <c r="E15" s="48" t="str">
        <f>IFERROR((s_TR/(s_RadSpec!F15*s_EF_ow*(1/365)*s_ED_out*s_RadSpec!Q15*(s_ET_ow_o+s_ET_ow_i)*(1/24)*s_RadSpec!V15))*1,".")</f>
        <v>.</v>
      </c>
      <c r="F15" s="48">
        <f t="shared" si="0"/>
        <v>148807.13066626893</v>
      </c>
      <c r="G15" s="69">
        <f t="shared" si="1"/>
        <v>3055525</v>
      </c>
      <c r="H15" s="69">
        <f t="shared" si="2"/>
        <v>1231.1313567072434</v>
      </c>
      <c r="I15" s="69">
        <f>s_C*s_EF_ow*(1/365)*s_ED_out*(s_ET_ow_o+s_ET_ow_i)*(1/24)*s_RadSpec!V15*s_RadSpec!Q15*1</f>
        <v>0</v>
      </c>
      <c r="J15" s="4"/>
      <c r="K15" s="4"/>
      <c r="L15" s="4"/>
      <c r="M15" s="4"/>
      <c r="N15" s="48" t="str">
        <f>IFERROR((s_TR/(s_RadSpec!F15*s_EF_ow*(1/365)*s_ED_out*s_RadSpec!Q15*(s_ET_ow_o+s_ET_ow_i)*(1/24)*s_RadSpec!V15))*1,".")</f>
        <v>.</v>
      </c>
      <c r="O15" s="48" t="str">
        <f>IFERROR((s_TR/(s_RadSpec!M15*s_EF_ow*(1/365)*s_ED_out*s_RadSpec!R15*(s_ET_ow_o+s_ET_ow_i)*(1/24)*s_RadSpec!W15))*1,".")</f>
        <v>.</v>
      </c>
      <c r="P15" s="48" t="str">
        <f>IFERROR((s_TR/(s_RadSpec!N15*s_EF_ow*(1/365)*s_ED_out*s_RadSpec!S15*(s_ET_ow_o+s_ET_ow_i)*(1/24)*s_RadSpec!X15))*1,".")</f>
        <v>.</v>
      </c>
      <c r="Q15" s="48" t="str">
        <f>IFERROR((s_TR/(s_RadSpec!O15*s_EF_ow*(1/365)*s_ED_out*s_RadSpec!T15*(s_ET_ow_o+s_ET_ow_i)*(1/24)*s_RadSpec!Y15))*1,".")</f>
        <v>.</v>
      </c>
      <c r="R15" s="48" t="str">
        <f>IFERROR((s_TR/(s_RadSpec!K15*s_EF_ow*(1/365)*s_ED_out*s_RadSpec!P15*(s_ET_ow_o+s_ET_ow_i)*(1/24)*s_RadSpec!U15))*1,".")</f>
        <v>.</v>
      </c>
      <c r="S15" s="69">
        <f>s_C*s_EF_ow*(1/365)*s_ED_out*(s_ET_ow_o+s_ET_ow_i)*(1/24)*s_RadSpec!V15*s_RadSpec!Q15*1</f>
        <v>0</v>
      </c>
      <c r="T15" s="69">
        <f>s_C*s_EF_ow*(1/365)*s_ED_out*(s_ET_ow_o+s_ET_ow_i)*(1/24)*s_RadSpec!W15*s_RadSpec!R15*1</f>
        <v>0</v>
      </c>
      <c r="U15" s="69">
        <f>s_C*s_EF_ow*(1/365)*s_ED_out*(s_ET_ow_o+s_ET_ow_i)*(1/24)*s_RadSpec!X15*s_RadSpec!S15*1</f>
        <v>0</v>
      </c>
      <c r="V15" s="69">
        <f>s_C*s_EF_ow*(1/365)*s_ED_out*(s_ET_ow_o+s_ET_ow_i)*(1/24)*s_RadSpec!Y15*s_RadSpec!T15*1</f>
        <v>0</v>
      </c>
      <c r="W15" s="69">
        <f>s_C*s_EF_ow*(1/365)*s_ED_out*(s_ET_ow_o+s_ET_ow_i)*(1/24)*s_RadSpec!U15*s_RadSpec!P15*1</f>
        <v>0</v>
      </c>
      <c r="X15" s="11"/>
      <c r="Y15" s="11"/>
      <c r="Z15" s="11"/>
      <c r="AA15" s="11"/>
      <c r="AB15" s="11"/>
      <c r="AC15" s="48">
        <f>IFERROR(s_TR/(s_RadSpec!G15*s_EF_ow*s_ED_out*(s_ET_ow_o+s_ET_ow_i)*(1/24)*s_IRA_ow),".")</f>
        <v>699.50247886190959</v>
      </c>
      <c r="AD15" s="48">
        <f>IFERROR(s_TR/(s_RadSpec!J15*s_EF_ow*(1/365)*s_ED_out*(s_ET_ow_o+s_ET_ow_i)*(1/24)*s_GSF_a),".")</f>
        <v>467146.25770067237</v>
      </c>
      <c r="AE15" s="48">
        <f t="shared" si="6"/>
        <v>698.45661340884624</v>
      </c>
      <c r="AF15" s="69">
        <f t="shared" si="4"/>
        <v>381940625</v>
      </c>
      <c r="AG15" s="69">
        <f t="shared" si="5"/>
        <v>69760.844748858435</v>
      </c>
      <c r="AH15" s="10"/>
      <c r="AI15" s="10"/>
      <c r="AJ15" s="10"/>
    </row>
    <row r="16" spans="1:36" x14ac:dyDescent="0.25">
      <c r="A16" s="49" t="s">
        <v>26</v>
      </c>
      <c r="B16" s="50" t="s">
        <v>289</v>
      </c>
      <c r="C16" s="48">
        <f>IFERROR((s_TR/(s_RadSpec!I16*s_EF_ow*s_ED_out*s_IRS_ow*(1/1000)))*1,".")</f>
        <v>30.333363666697</v>
      </c>
      <c r="D16" s="48">
        <f>IFERROR(IF(A16="H-3",(s_TR/(s_RadSpec!G16*s_EF_ow*s_ED_out*(s_ET_ow_o+s_ET_ow_i)*(1/24)*s_IRA_ow*(1/17)*1000))*1,(s_TR/(s_RadSpec!G16*s_EF_ow*s_ED_out*(s_ET_ow_o+s_ET_ow_i)*(1/24)*s_IRA_ow*(1/s_PEF_wind)*1000))*1),".")</f>
        <v>2842.8879509083722</v>
      </c>
      <c r="E16" s="48">
        <f>IFERROR((s_TR/(s_RadSpec!F16*s_EF_ow*(1/365)*s_ED_out*s_RadSpec!Q16*(s_ET_ow_o+s_ET_ow_i)*(1/24)*s_RadSpec!V16))*1,".")</f>
        <v>257923839.69427079</v>
      </c>
      <c r="F16" s="48">
        <f t="shared" si="0"/>
        <v>30.013122764519576</v>
      </c>
      <c r="G16" s="69">
        <f t="shared" si="1"/>
        <v>3055525</v>
      </c>
      <c r="H16" s="69">
        <f t="shared" si="2"/>
        <v>1231.1313567072434</v>
      </c>
      <c r="I16" s="69">
        <f>s_C*s_EF_ow*(1/365)*s_ED_out*(s_ET_ow_o+s_ET_ow_i)*(1/24)*s_RadSpec!V16*s_RadSpec!Q16*1</f>
        <v>0.14525204460208732</v>
      </c>
      <c r="J16" s="4"/>
      <c r="K16" s="4"/>
      <c r="L16" s="4"/>
      <c r="M16" s="4"/>
      <c r="N16" s="48">
        <f>IFERROR((s_TR/(s_RadSpec!F16*s_EF_ow*(1/365)*s_ED_out*s_RadSpec!Q16*(s_ET_ow_o+s_ET_ow_i)*(1/24)*s_RadSpec!V16))*1,".")</f>
        <v>257923839.69427079</v>
      </c>
      <c r="O16" s="48">
        <f>IFERROR((s_TR/(s_RadSpec!M16*s_EF_ow*(1/365)*s_ED_out*s_RadSpec!R16*(s_ET_ow_o+s_ET_ow_i)*(1/24)*s_RadSpec!W16))*1,".")</f>
        <v>714925191.55073071</v>
      </c>
      <c r="P16" s="48">
        <f>IFERROR((s_TR/(s_RadSpec!N16*s_EF_ow*(1/365)*s_ED_out*s_RadSpec!S16*(s_ET_ow_o+s_ET_ow_i)*(1/24)*s_RadSpec!X16))*1,".")</f>
        <v>279027893.57777947</v>
      </c>
      <c r="Q16" s="48">
        <f>IFERROR((s_TR/(s_RadSpec!O16*s_EF_ow*(1/365)*s_ED_out*s_RadSpec!T16*(s_ET_ow_o+s_ET_ow_i)*(1/24)*s_RadSpec!Y16))*1,".")</f>
        <v>277377820.63452315</v>
      </c>
      <c r="R16" s="48">
        <f>IFERROR((s_TR/(s_RadSpec!K16*s_EF_ow*(1/365)*s_ED_out*s_RadSpec!P16*(s_ET_ow_o+s_ET_ow_i)*(1/24)*s_RadSpec!U16))*1,".")</f>
        <v>9279367840.0405693</v>
      </c>
      <c r="S16" s="69">
        <f>s_C*s_EF_ow*(1/365)*s_ED_out*(s_ET_ow_o+s_ET_ow_i)*(1/24)*s_RadSpec!V16*s_RadSpec!Q16*1</f>
        <v>0.14525204460208732</v>
      </c>
      <c r="T16" s="69">
        <f>s_C*s_EF_ow*(1/365)*s_ED_out*(s_ET_ow_o+s_ET_ow_i)*(1/24)*s_RadSpec!W16*s_RadSpec!R16*1</f>
        <v>8.1558025227180211E-2</v>
      </c>
      <c r="U16" s="69">
        <f>s_C*s_EF_ow*(1/365)*s_ED_out*(s_ET_ow_o+s_ET_ow_i)*(1/24)*s_RadSpec!X16*s_RadSpec!S16*1</f>
        <v>0.13576261695128342</v>
      </c>
      <c r="V16" s="69">
        <f>s_C*s_EF_ow*(1/365)*s_ED_out*(s_ET_ow_o+s_ET_ow_i)*(1/24)*s_RadSpec!Y16*s_RadSpec!T16*1</f>
        <v>0.13506474663876197</v>
      </c>
      <c r="W16" s="69">
        <f>s_C*s_EF_ow*(1/365)*s_ED_out*(s_ET_ow_o+s_ET_ow_i)*(1/24)*s_RadSpec!U16*s_RadSpec!P16*1</f>
        <v>3.4880422374429215E-3</v>
      </c>
      <c r="X16" s="11"/>
      <c r="Y16" s="11"/>
      <c r="Z16" s="11"/>
      <c r="AA16" s="11"/>
      <c r="AB16" s="11"/>
      <c r="AC16" s="48">
        <f>IFERROR(s_TR/(s_RadSpec!G16*s_EF_ow*s_ED_out*(s_ET_ow_o+s_ET_ow_i)*(1/24)*s_IRA_ow),".")</f>
        <v>9.1636455272818898E-3</v>
      </c>
      <c r="AD16" s="48">
        <f>IFERROR(s_TR/(s_RadSpec!J16*s_EF_ow*(1/365)*s_ED_out*(s_ET_ow_o+s_ET_ow_i)*(1/24)*s_GSF_a),".")</f>
        <v>202383.83864776907</v>
      </c>
      <c r="AE16" s="48">
        <f t="shared" si="6"/>
        <v>9.1636451123653824E-3</v>
      </c>
      <c r="AF16" s="69">
        <f t="shared" si="4"/>
        <v>381940625</v>
      </c>
      <c r="AG16" s="69">
        <f t="shared" si="5"/>
        <v>69760.844748858435</v>
      </c>
      <c r="AH16" s="10"/>
      <c r="AI16" s="10"/>
      <c r="AJ16" s="10"/>
    </row>
    <row r="17" spans="1:36" x14ac:dyDescent="0.25">
      <c r="A17" s="49" t="s">
        <v>27</v>
      </c>
      <c r="B17" s="50" t="s">
        <v>289</v>
      </c>
      <c r="C17" s="48">
        <f>IFERROR((s_TR/(s_RadSpec!I17*s_EF_ow*s_ED_out*s_IRS_ow*(1/1000)))*1,".")</f>
        <v>82449.746879277067</v>
      </c>
      <c r="D17" s="48">
        <f>IFERROR(IF(A17="H-3",(s_TR/(s_RadSpec!G17*s_EF_ow*s_ED_out*(s_ET_ow_o+s_ET_ow_i)*(1/24)*s_IRA_ow*(1/17)*1000))*1,(s_TR/(s_RadSpec!G17*s_EF_ow*s_ED_out*(s_ET_ow_o+s_ET_ow_i)*(1/24)*s_IRA_ow*(1/s_PEF_wind)*1000))*1),".")</f>
        <v>580761.3956855674</v>
      </c>
      <c r="E17" s="48">
        <f>IFERROR((s_TR/(s_RadSpec!F17*s_EF_ow*(1/365)*s_ED_out*s_RadSpec!Q17*(s_ET_ow_o+s_ET_ow_i)*(1/24)*s_RadSpec!V17))*1,".")</f>
        <v>35.388679830087405</v>
      </c>
      <c r="F17" s="48">
        <f t="shared" si="0"/>
        <v>35.371342562464335</v>
      </c>
      <c r="G17" s="69">
        <f t="shared" si="1"/>
        <v>3055525</v>
      </c>
      <c r="H17" s="69">
        <f t="shared" si="2"/>
        <v>1231.1313567072434</v>
      </c>
      <c r="I17" s="69">
        <f>s_C*s_EF_ow*(1/365)*s_ED_out*(s_ET_ow_o+s_ET_ow_i)*(1/24)*s_RadSpec!V17*s_RadSpec!Q17*1</f>
        <v>1579.8779546065007</v>
      </c>
      <c r="J17" s="4"/>
      <c r="K17" s="4"/>
      <c r="L17" s="4"/>
      <c r="M17" s="4"/>
      <c r="N17" s="48">
        <f>IFERROR((s_TR/(s_RadSpec!F17*s_EF_ow*(1/365)*s_ED_out*s_RadSpec!Q17*(s_ET_ow_o+s_ET_ow_i)*(1/24)*s_RadSpec!V17))*1,".")</f>
        <v>35.388679830087405</v>
      </c>
      <c r="O17" s="48">
        <f>IFERROR((s_TR/(s_RadSpec!M17*s_EF_ow*(1/365)*s_ED_out*s_RadSpec!R17*(s_ET_ow_o+s_ET_ow_i)*(1/24)*s_RadSpec!W17))*1,".")</f>
        <v>271.86776987846758</v>
      </c>
      <c r="P17" s="48">
        <f>IFERROR((s_TR/(s_RadSpec!N17*s_EF_ow*(1/365)*s_ED_out*s_RadSpec!S17*(s_ET_ow_o+s_ET_ow_i)*(1/24)*s_RadSpec!X17))*1,".")</f>
        <v>73.543979522241784</v>
      </c>
      <c r="Q17" s="48">
        <f>IFERROR((s_TR/(s_RadSpec!O17*s_EF_ow*(1/365)*s_ED_out*s_RadSpec!T17*(s_ET_ow_o+s_ET_ow_i)*(1/24)*s_RadSpec!Y17))*1,".")</f>
        <v>44.243911409036464</v>
      </c>
      <c r="R17" s="48">
        <f>IFERROR((s_TR/(s_RadSpec!K17*s_EF_ow*(1/365)*s_ED_out*s_RadSpec!P17*(s_ET_ow_o+s_ET_ow_i)*(1/24)*s_RadSpec!U17))*1,".")</f>
        <v>528.02692046017091</v>
      </c>
      <c r="S17" s="69">
        <f>s_C*s_EF_ow*(1/365)*s_ED_out*(s_ET_ow_o+s_ET_ow_i)*(1/24)*s_RadSpec!V17*s_RadSpec!Q17*1</f>
        <v>1579.8779546065007</v>
      </c>
      <c r="T17" s="69">
        <f>s_C*s_EF_ow*(1/365)*s_ED_out*(s_ET_ow_o+s_ET_ow_i)*(1/24)*s_RadSpec!W17*s_RadSpec!R17*1</f>
        <v>903.97076032706775</v>
      </c>
      <c r="U17" s="69">
        <f>s_C*s_EF_ow*(1/365)*s_ED_out*(s_ET_ow_o+s_ET_ow_i)*(1/24)*s_RadSpec!X17*s_RadSpec!S17*1</f>
        <v>1199.8320290204051</v>
      </c>
      <c r="V17" s="69">
        <f>s_C*s_EF_ow*(1/365)*s_ED_out*(s_ET_ow_o+s_ET_ow_i)*(1/24)*s_RadSpec!Y17*s_RadSpec!T17*1</f>
        <v>1349.2910055175041</v>
      </c>
      <c r="W17" s="69">
        <f>s_C*s_EF_ow*(1/365)*s_ED_out*(s_ET_ow_o+s_ET_ow_i)*(1/24)*s_RadSpec!U17*s_RadSpec!P17*1</f>
        <v>471.76751048560863</v>
      </c>
      <c r="X17" s="11"/>
      <c r="Y17" s="11"/>
      <c r="Z17" s="11"/>
      <c r="AA17" s="11"/>
      <c r="AB17" s="11"/>
      <c r="AC17" s="48">
        <f>IFERROR(s_TR/(s_RadSpec!G17*s_EF_ow*s_ED_out*(s_ET_ow_o+s_ET_ow_i)*(1/24)*s_IRA_ow),".")</f>
        <v>1.8720018720018716</v>
      </c>
      <c r="AD17" s="48">
        <f>IFERROR(s_TR/(s_RadSpec!J17*s_EF_ow*(1/365)*s_ED_out*(s_ET_ow_o+s_ET_ow_i)*(1/24)*s_GSF_a),".")</f>
        <v>781.2526188350306</v>
      </c>
      <c r="AE17" s="48">
        <f t="shared" si="6"/>
        <v>1.8675269890571691</v>
      </c>
      <c r="AF17" s="69">
        <f t="shared" si="4"/>
        <v>381940625</v>
      </c>
      <c r="AG17" s="69">
        <f t="shared" si="5"/>
        <v>69760.844748858435</v>
      </c>
      <c r="AH17" s="10"/>
      <c r="AI17" s="10"/>
      <c r="AJ17" s="10"/>
    </row>
    <row r="18" spans="1:36" x14ac:dyDescent="0.25">
      <c r="A18" s="49" t="s">
        <v>28</v>
      </c>
      <c r="B18" s="50" t="s">
        <v>289</v>
      </c>
      <c r="C18" s="48">
        <f>IFERROR((s_TR/(s_RadSpec!I18*s_EF_ow*s_ED_out*s_IRS_ow*(1/1000)))*1,".")</f>
        <v>12.664961118569364</v>
      </c>
      <c r="D18" s="48">
        <f>IFERROR(IF(A18="H-3",(s_TR/(s_RadSpec!G18*s_EF_ow*s_ED_out*(s_ET_ow_o+s_ET_ow_i)*(1/24)*s_IRA_ow*(1/17)*1000))*1,(s_TR/(s_RadSpec!G18*s_EF_ow*s_ED_out*(s_ET_ow_o+s_ET_ow_i)*(1/24)*s_IRA_ow*(1/s_PEF_wind)*1000))*1),".")</f>
        <v>3111.2217626012548</v>
      </c>
      <c r="E18" s="48">
        <f>IFERROR((s_TR/(s_RadSpec!F18*s_EF_ow*(1/365)*s_ED_out*s_RadSpec!Q18*(s_ET_ow_o+s_ET_ow_i)*(1/24)*s_RadSpec!V18))*1,".")</f>
        <v>397366.94583399</v>
      </c>
      <c r="F18" s="48">
        <f t="shared" si="0"/>
        <v>12.613214048440216</v>
      </c>
      <c r="G18" s="69">
        <f t="shared" si="1"/>
        <v>3055525</v>
      </c>
      <c r="H18" s="69">
        <f t="shared" si="2"/>
        <v>1231.1313567072434</v>
      </c>
      <c r="I18" s="69">
        <f>s_C*s_EF_ow*(1/365)*s_ED_out*(s_ET_ow_o+s_ET_ow_i)*(1/24)*s_RadSpec!V18*s_RadSpec!Q18*1</f>
        <v>3101.9758884748444</v>
      </c>
      <c r="J18" s="4"/>
      <c r="K18" s="4"/>
      <c r="L18" s="4"/>
      <c r="M18" s="4"/>
      <c r="N18" s="48">
        <f>IFERROR((s_TR/(s_RadSpec!F18*s_EF_ow*(1/365)*s_ED_out*s_RadSpec!Q18*(s_ET_ow_o+s_ET_ow_i)*(1/24)*s_RadSpec!V18))*1,".")</f>
        <v>397366.94583399</v>
      </c>
      <c r="O18" s="48">
        <f>IFERROR((s_TR/(s_RadSpec!M18*s_EF_ow*(1/365)*s_ED_out*s_RadSpec!R18*(s_ET_ow_o+s_ET_ow_i)*(1/24)*s_RadSpec!W18))*1,".")</f>
        <v>3960095.2955493489</v>
      </c>
      <c r="P18" s="48">
        <f>IFERROR((s_TR/(s_RadSpec!N18*s_EF_ow*(1/365)*s_ED_out*s_RadSpec!S18*(s_ET_ow_o+s_ET_ow_i)*(1/24)*s_RadSpec!X18))*1,".")</f>
        <v>976750.45602320589</v>
      </c>
      <c r="Q18" s="48">
        <f>IFERROR((s_TR/(s_RadSpec!O18*s_EF_ow*(1/365)*s_ED_out*s_RadSpec!T18*(s_ET_ow_o+s_ET_ow_i)*(1/24)*s_RadSpec!Y18))*1,".")</f>
        <v>519451.24937339174</v>
      </c>
      <c r="R18" s="48">
        <f>IFERROR((s_TR/(s_RadSpec!K18*s_EF_ow*(1/365)*s_ED_out*s_RadSpec!P18*(s_ET_ow_o+s_ET_ow_i)*(1/24)*s_RadSpec!U18))*1,".")</f>
        <v>6924794.1212073518</v>
      </c>
      <c r="S18" s="69">
        <f>s_C*s_EF_ow*(1/365)*s_ED_out*(s_ET_ow_o+s_ET_ow_i)*(1/24)*s_RadSpec!V18*s_RadSpec!Q18*1</f>
        <v>3101.9758884748444</v>
      </c>
      <c r="T18" s="69">
        <f>s_C*s_EF_ow*(1/365)*s_ED_out*(s_ET_ow_o+s_ET_ow_i)*(1/24)*s_RadSpec!W18*s_RadSpec!R18*1</f>
        <v>1567.6760655499434</v>
      </c>
      <c r="U18" s="69">
        <f>s_C*s_EF_ow*(1/365)*s_ED_out*(s_ET_ow_o+s_ET_ow_i)*(1/24)*s_RadSpec!X18*s_RadSpec!S18*1</f>
        <v>2238.5919984147863</v>
      </c>
      <c r="V18" s="69">
        <f>s_C*s_EF_ow*(1/365)*s_ED_out*(s_ET_ow_o+s_ET_ow_i)*(1/24)*s_RadSpec!Y18*s_RadSpec!T18*1</f>
        <v>2701.9229948381958</v>
      </c>
      <c r="W18" s="69">
        <f>s_C*s_EF_ow*(1/365)*s_ED_out*(s_ET_ow_o+s_ET_ow_i)*(1/24)*s_RadSpec!U18*s_RadSpec!P18*1</f>
        <v>922.26201532389132</v>
      </c>
      <c r="X18" s="11"/>
      <c r="Y18" s="11"/>
      <c r="Z18" s="11"/>
      <c r="AA18" s="11"/>
      <c r="AB18" s="11"/>
      <c r="AC18" s="48">
        <f>IFERROR(s_TR/(s_RadSpec!G18*s_EF_ow*s_ED_out*(s_ET_ow_o+s_ET_ow_i)*(1/24)*s_IRA_ow),".")</f>
        <v>1.0028581457152885E-2</v>
      </c>
      <c r="AD18" s="48">
        <f>IFERROR(s_TR/(s_RadSpec!J18*s_EF_ow*(1/365)*s_ED_out*(s_ET_ow_o+s_ET_ow_i)*(1/24)*s_GSF_a),".")</f>
        <v>19051216.096172679</v>
      </c>
      <c r="AE18" s="48">
        <f t="shared" si="6"/>
        <v>1.0028581451873828E-2</v>
      </c>
      <c r="AF18" s="69">
        <f t="shared" si="4"/>
        <v>381940625</v>
      </c>
      <c r="AG18" s="69">
        <f t="shared" si="5"/>
        <v>69760.844748858435</v>
      </c>
      <c r="AH18" s="10"/>
      <c r="AI18" s="10"/>
      <c r="AJ18" s="10"/>
    </row>
    <row r="19" spans="1:36" x14ac:dyDescent="0.25">
      <c r="A19" s="49" t="s">
        <v>29</v>
      </c>
      <c r="B19" s="50" t="s">
        <v>289</v>
      </c>
      <c r="C19" s="48" t="str">
        <f>IFERROR((s_TR/(s_RadSpec!I19*s_EF_ow*s_ED_out*s_IRS_ow*(1/1000)))*1,".")</f>
        <v>.</v>
      </c>
      <c r="D19" s="48" t="str">
        <f>IFERROR(IF(A19="H-3",(s_TR/(s_RadSpec!G19*s_EF_ow*s_ED_out*(s_ET_ow_o+s_ET_ow_i)*(1/24)*s_IRA_ow*(1/17)*1000))*1,(s_TR/(s_RadSpec!G19*s_EF_ow*s_ED_out*(s_ET_ow_o+s_ET_ow_i)*(1/24)*s_IRA_ow*(1/s_PEF_wind)*1000))*1),".")</f>
        <v>.</v>
      </c>
      <c r="E19" s="48">
        <f>IFERROR((s_TR/(s_RadSpec!F19*s_EF_ow*(1/365)*s_ED_out*s_RadSpec!Q19*(s_ET_ow_o+s_ET_ow_i)*(1/24)*s_RadSpec!V19))*1,".")</f>
        <v>105751.1897797381</v>
      </c>
      <c r="F19" s="48">
        <f t="shared" si="0"/>
        <v>105751.1897797381</v>
      </c>
      <c r="G19" s="69">
        <f t="shared" si="1"/>
        <v>3055525</v>
      </c>
      <c r="H19" s="69">
        <f t="shared" si="2"/>
        <v>1231.1313567072434</v>
      </c>
      <c r="I19" s="69">
        <f>s_C*s_EF_ow*(1/365)*s_ED_out*(s_ET_ow_o+s_ET_ow_i)*(1/24)*s_RadSpec!V19*s_RadSpec!Q19*1</f>
        <v>3039.978297455968</v>
      </c>
      <c r="J19" s="4"/>
      <c r="K19" s="4"/>
      <c r="L19" s="4"/>
      <c r="M19" s="4"/>
      <c r="N19" s="48">
        <f>IFERROR((s_TR/(s_RadSpec!F19*s_EF_ow*(1/365)*s_ED_out*s_RadSpec!Q19*(s_ET_ow_o+s_ET_ow_i)*(1/24)*s_RadSpec!V19))*1,".")</f>
        <v>105751.1897797381</v>
      </c>
      <c r="O19" s="48">
        <f>IFERROR((s_TR/(s_RadSpec!M19*s_EF_ow*(1/365)*s_ED_out*s_RadSpec!R19*(s_ET_ow_o+s_ET_ow_i)*(1/24)*s_RadSpec!W19))*1,".")</f>
        <v>1048736.4458487926</v>
      </c>
      <c r="P19" s="48">
        <f>IFERROR((s_TR/(s_RadSpec!N19*s_EF_ow*(1/365)*s_ED_out*s_RadSpec!S19*(s_ET_ow_o+s_ET_ow_i)*(1/24)*s_RadSpec!X19))*1,".")</f>
        <v>258141.85645621814</v>
      </c>
      <c r="Q19" s="48">
        <f>IFERROR((s_TR/(s_RadSpec!O19*s_EF_ow*(1/365)*s_ED_out*s_RadSpec!T19*(s_ET_ow_o+s_ET_ow_i)*(1/24)*s_RadSpec!Y19))*1,".")</f>
        <v>138250.04113033411</v>
      </c>
      <c r="R19" s="48">
        <f>IFERROR((s_TR/(s_RadSpec!K19*s_EF_ow*(1/365)*s_ED_out*s_RadSpec!P19*(s_ET_ow_o+s_ET_ow_i)*(1/24)*s_RadSpec!U19))*1,".")</f>
        <v>1856118.3817684762</v>
      </c>
      <c r="S19" s="69">
        <f>s_C*s_EF_ow*(1/365)*s_ED_out*(s_ET_ow_o+s_ET_ow_i)*(1/24)*s_RadSpec!V19*s_RadSpec!Q19*1</f>
        <v>3039.978297455968</v>
      </c>
      <c r="T19" s="69">
        <f>s_C*s_EF_ow*(1/365)*s_ED_out*(s_ET_ow_o+s_ET_ow_i)*(1/24)*s_RadSpec!W19*s_RadSpec!R19*1</f>
        <v>1532.7078749530865</v>
      </c>
      <c r="U19" s="69">
        <f>s_C*s_EF_ow*(1/365)*s_ED_out*(s_ET_ow_o+s_ET_ow_i)*(1/24)*s_RadSpec!X19*s_RadSpec!S19*1</f>
        <v>2211.0640623790714</v>
      </c>
      <c r="V19" s="69">
        <f>s_C*s_EF_ow*(1/365)*s_ED_out*(s_ET_ow_o+s_ET_ow_i)*(1/24)*s_RadSpec!Y19*s_RadSpec!T19*1</f>
        <v>2647.3346212387314</v>
      </c>
      <c r="W19" s="69">
        <f>s_C*s_EF_ow*(1/365)*s_ED_out*(s_ET_ow_o+s_ET_ow_i)*(1/24)*s_RadSpec!U19*s_RadSpec!P19*1</f>
        <v>890.06003556758526</v>
      </c>
      <c r="X19" s="11"/>
      <c r="Y19" s="11"/>
      <c r="Z19" s="11"/>
      <c r="AA19" s="11"/>
      <c r="AB19" s="11"/>
      <c r="AC19" s="48" t="str">
        <f>IFERROR(s_TR/(s_RadSpec!G19*s_EF_ow*s_ED_out*(s_ET_ow_o+s_ET_ow_i)*(1/24)*s_IRA_ow),".")</f>
        <v>.</v>
      </c>
      <c r="AD19" s="48">
        <f>IFERROR(s_TR/(s_RadSpec!J19*s_EF_ow*(1/365)*s_ED_out*(s_ET_ow_o+s_ET_ow_i)*(1/24)*s_GSF_a),".")</f>
        <v>4942272.001760737</v>
      </c>
      <c r="AE19" s="48">
        <f t="shared" si="6"/>
        <v>4942272.001760737</v>
      </c>
      <c r="AF19" s="69">
        <f t="shared" si="4"/>
        <v>381940625</v>
      </c>
      <c r="AG19" s="69">
        <f t="shared" si="5"/>
        <v>69760.844748858435</v>
      </c>
      <c r="AH19" s="10"/>
      <c r="AI19" s="10"/>
      <c r="AJ19" s="10"/>
    </row>
    <row r="20" spans="1:36" x14ac:dyDescent="0.25">
      <c r="A20" s="49" t="s">
        <v>30</v>
      </c>
      <c r="B20" s="50" t="s">
        <v>289</v>
      </c>
      <c r="C20" s="48" t="str">
        <f>IFERROR((s_TR/(s_RadSpec!I20*s_EF_ow*s_ED_out*s_IRS_ow*(1/1000)))*1,".")</f>
        <v>.</v>
      </c>
      <c r="D20" s="48" t="str">
        <f>IFERROR(IF(A20="H-3",(s_TR/(s_RadSpec!G20*s_EF_ow*s_ED_out*(s_ET_ow_o+s_ET_ow_i)*(1/24)*s_IRA_ow*(1/17)*1000))*1,(s_TR/(s_RadSpec!G20*s_EF_ow*s_ED_out*(s_ET_ow_o+s_ET_ow_i)*(1/24)*s_IRA_ow*(1/s_PEF_wind)*1000))*1),".")</f>
        <v>.</v>
      </c>
      <c r="E20" s="48">
        <f>IFERROR((s_TR/(s_RadSpec!F20*s_EF_ow*(1/365)*s_ED_out*s_RadSpec!Q20*(s_ET_ow_o+s_ET_ow_i)*(1/24)*s_RadSpec!V20))*1,".")</f>
        <v>46636.004487258768</v>
      </c>
      <c r="F20" s="48">
        <f t="shared" si="0"/>
        <v>46636.004487258768</v>
      </c>
      <c r="G20" s="69">
        <f t="shared" si="1"/>
        <v>3055525</v>
      </c>
      <c r="H20" s="69">
        <f t="shared" si="2"/>
        <v>1231.1313567072434</v>
      </c>
      <c r="I20" s="69">
        <f>s_C*s_EF_ow*(1/365)*s_ED_out*(s_ET_ow_o+s_ET_ow_i)*(1/24)*s_RadSpec!V20*s_RadSpec!Q20*1</f>
        <v>3091.5920759191272</v>
      </c>
      <c r="J20" s="4"/>
      <c r="K20" s="4"/>
      <c r="L20" s="4"/>
      <c r="M20" s="4"/>
      <c r="N20" s="48">
        <f>IFERROR((s_TR/(s_RadSpec!F20*s_EF_ow*(1/365)*s_ED_out*s_RadSpec!Q20*(s_ET_ow_o+s_ET_ow_i)*(1/24)*s_RadSpec!V20))*1,".")</f>
        <v>46636.004487258768</v>
      </c>
      <c r="O20" s="48">
        <f>IFERROR((s_TR/(s_RadSpec!M20*s_EF_ow*(1/365)*s_ED_out*s_RadSpec!R20*(s_ET_ow_o+s_ET_ow_i)*(1/24)*s_RadSpec!W20))*1,".")</f>
        <v>464924.99772684817</v>
      </c>
      <c r="P20" s="48">
        <f>IFERROR((s_TR/(s_RadSpec!N20*s_EF_ow*(1/365)*s_ED_out*s_RadSpec!S20*(s_ET_ow_o+s_ET_ow_i)*(1/24)*s_RadSpec!X20))*1,".")</f>
        <v>115410.19784331399</v>
      </c>
      <c r="Q20" s="48">
        <f>IFERROR((s_TR/(s_RadSpec!O20*s_EF_ow*(1/365)*s_ED_out*s_RadSpec!T20*(s_ET_ow_o+s_ET_ow_i)*(1/24)*s_RadSpec!Y20))*1,".")</f>
        <v>61698.761674738846</v>
      </c>
      <c r="R20" s="48">
        <f>IFERROR((s_TR/(s_RadSpec!K20*s_EF_ow*(1/365)*s_ED_out*s_RadSpec!P20*(s_ET_ow_o+s_ET_ow_i)*(1/24)*s_RadSpec!U20))*1,".")</f>
        <v>813140.81959956628</v>
      </c>
      <c r="S20" s="69">
        <f>s_C*s_EF_ow*(1/365)*s_ED_out*(s_ET_ow_o+s_ET_ow_i)*(1/24)*s_RadSpec!V20*s_RadSpec!Q20*1</f>
        <v>3091.5920759191272</v>
      </c>
      <c r="T20" s="69">
        <f>s_C*s_EF_ow*(1/365)*s_ED_out*(s_ET_ow_o+s_ET_ow_i)*(1/24)*s_RadSpec!W20*s_RadSpec!R20*1</f>
        <v>1567.6691695737256</v>
      </c>
      <c r="U20" s="69">
        <f>s_C*s_EF_ow*(1/365)*s_ED_out*(s_ET_ow_o+s_ET_ow_i)*(1/24)*s_RadSpec!X20*s_RadSpec!S20*1</f>
        <v>2240.5541901692172</v>
      </c>
      <c r="V20" s="69">
        <f>s_C*s_EF_ow*(1/365)*s_ED_out*(s_ET_ow_o+s_ET_ow_i)*(1/24)*s_RadSpec!Y20*s_RadSpec!T20*1</f>
        <v>2668.3523116438337</v>
      </c>
      <c r="W20" s="69">
        <f>s_C*s_EF_ow*(1/365)*s_ED_out*(s_ET_ow_o+s_ET_ow_i)*(1/24)*s_RadSpec!U20*s_RadSpec!P20*1</f>
        <v>920.01430896514262</v>
      </c>
      <c r="X20" s="11"/>
      <c r="Y20" s="11"/>
      <c r="Z20" s="11"/>
      <c r="AA20" s="11"/>
      <c r="AB20" s="11"/>
      <c r="AC20" s="48" t="str">
        <f>IFERROR(s_TR/(s_RadSpec!G20*s_EF_ow*s_ED_out*(s_ET_ow_o+s_ET_ow_i)*(1/24)*s_IRA_ow),".")</f>
        <v>.</v>
      </c>
      <c r="AD20" s="48">
        <f>IFERROR(s_TR/(s_RadSpec!J20*s_EF_ow*(1/365)*s_ED_out*(s_ET_ow_o+s_ET_ow_i)*(1/24)*s_GSF_a),".")</f>
        <v>2228867.7654999401</v>
      </c>
      <c r="AE20" s="48">
        <f t="shared" si="6"/>
        <v>2228867.7654999401</v>
      </c>
      <c r="AF20" s="69">
        <f t="shared" si="4"/>
        <v>381940625</v>
      </c>
      <c r="AG20" s="69">
        <f t="shared" si="5"/>
        <v>69760.844748858435</v>
      </c>
      <c r="AH20" s="10"/>
      <c r="AI20" s="10"/>
      <c r="AJ20" s="10"/>
    </row>
    <row r="21" spans="1:36" x14ac:dyDescent="0.25">
      <c r="A21" s="49" t="s">
        <v>31</v>
      </c>
      <c r="B21" s="50" t="s">
        <v>289</v>
      </c>
      <c r="C21" s="48" t="str">
        <f>IFERROR((s_TR/(s_RadSpec!I21*s_EF_ow*s_ED_out*s_IRS_ow*(1/1000)))*1,".")</f>
        <v>.</v>
      </c>
      <c r="D21" s="48">
        <f>IFERROR(IF(A21="H-3",(s_TR/(s_RadSpec!G21*s_EF_ow*s_ED_out*(s_ET_ow_o+s_ET_ow_i)*(1/24)*s_IRA_ow*(1/17)*1000))*1,(s_TR/(s_RadSpec!G21*s_EF_ow*s_ED_out*(s_ET_ow_o+s_ET_ow_i)*(1/24)*s_IRA_ow*(1/s_PEF_wind)*1000))*1),".")</f>
        <v>3246414.4204869489</v>
      </c>
      <c r="E21" s="48" t="str">
        <f>IFERROR((s_TR/(s_RadSpec!F21*s_EF_ow*(1/365)*s_ED_out*s_RadSpec!Q21*(s_ET_ow_o+s_ET_ow_i)*(1/24)*s_RadSpec!V21))*1,".")</f>
        <v>.</v>
      </c>
      <c r="F21" s="48">
        <f t="shared" si="0"/>
        <v>3246414.4204869489</v>
      </c>
      <c r="G21" s="69">
        <f t="shared" si="1"/>
        <v>3055525</v>
      </c>
      <c r="H21" s="69">
        <f t="shared" si="2"/>
        <v>1231.1313567072434</v>
      </c>
      <c r="I21" s="69">
        <f>s_C*s_EF_ow*(1/365)*s_ED_out*(s_ET_ow_o+s_ET_ow_i)*(1/24)*s_RadSpec!V21*s_RadSpec!Q21*1</f>
        <v>0</v>
      </c>
      <c r="J21" s="4"/>
      <c r="K21" s="4"/>
      <c r="L21" s="4"/>
      <c r="M21" s="4"/>
      <c r="N21" s="48" t="str">
        <f>IFERROR((s_TR/(s_RadSpec!F21*s_EF_ow*(1/365)*s_ED_out*s_RadSpec!Q21*(s_ET_ow_o+s_ET_ow_i)*(1/24)*s_RadSpec!V21))*1,".")</f>
        <v>.</v>
      </c>
      <c r="O21" s="48" t="str">
        <f>IFERROR((s_TR/(s_RadSpec!M21*s_EF_ow*(1/365)*s_ED_out*s_RadSpec!R21*(s_ET_ow_o+s_ET_ow_i)*(1/24)*s_RadSpec!W21))*1,".")</f>
        <v>.</v>
      </c>
      <c r="P21" s="48" t="str">
        <f>IFERROR((s_TR/(s_RadSpec!N21*s_EF_ow*(1/365)*s_ED_out*s_RadSpec!S21*(s_ET_ow_o+s_ET_ow_i)*(1/24)*s_RadSpec!X21))*1,".")</f>
        <v>.</v>
      </c>
      <c r="Q21" s="48" t="str">
        <f>IFERROR((s_TR/(s_RadSpec!O21*s_EF_ow*(1/365)*s_ED_out*s_RadSpec!T21*(s_ET_ow_o+s_ET_ow_i)*(1/24)*s_RadSpec!Y21))*1,".")</f>
        <v>.</v>
      </c>
      <c r="R21" s="48" t="str">
        <f>IFERROR((s_TR/(s_RadSpec!K21*s_EF_ow*(1/365)*s_ED_out*s_RadSpec!P21*(s_ET_ow_o+s_ET_ow_i)*(1/24)*s_RadSpec!U21))*1,".")</f>
        <v>.</v>
      </c>
      <c r="S21" s="69">
        <f>s_C*s_EF_ow*(1/365)*s_ED_out*(s_ET_ow_o+s_ET_ow_i)*(1/24)*s_RadSpec!V21*s_RadSpec!Q21*1</f>
        <v>0</v>
      </c>
      <c r="T21" s="69">
        <f>s_C*s_EF_ow*(1/365)*s_ED_out*(s_ET_ow_o+s_ET_ow_i)*(1/24)*s_RadSpec!W21*s_RadSpec!R21*1</f>
        <v>0</v>
      </c>
      <c r="U21" s="69">
        <f>s_C*s_EF_ow*(1/365)*s_ED_out*(s_ET_ow_o+s_ET_ow_i)*(1/24)*s_RadSpec!X21*s_RadSpec!S21*1</f>
        <v>0</v>
      </c>
      <c r="V21" s="69">
        <f>s_C*s_EF_ow*(1/365)*s_ED_out*(s_ET_ow_o+s_ET_ow_i)*(1/24)*s_RadSpec!Y21*s_RadSpec!T21*1</f>
        <v>0</v>
      </c>
      <c r="W21" s="69">
        <f>s_C*s_EF_ow*(1/365)*s_ED_out*(s_ET_ow_o+s_ET_ow_i)*(1/24)*s_RadSpec!U21*s_RadSpec!P21*1</f>
        <v>0</v>
      </c>
      <c r="X21" s="11"/>
      <c r="Y21" s="11"/>
      <c r="Z21" s="11"/>
      <c r="AA21" s="11"/>
      <c r="AB21" s="11"/>
      <c r="AC21" s="48">
        <f>IFERROR(s_TR/(s_RadSpec!G21*s_EF_ow*s_ED_out*(s_ET_ow_o+s_ET_ow_i)*(1/24)*s_IRA_ow),".")</f>
        <v>10.464355788096794</v>
      </c>
      <c r="AD21" s="48">
        <f>IFERROR(s_TR/(s_RadSpec!J21*s_EF_ow*(1/365)*s_ED_out*(s_ET_ow_o+s_ET_ow_i)*(1/24)*s_GSF_a),".")</f>
        <v>20178506989.437328</v>
      </c>
      <c r="AE21" s="48">
        <f t="shared" si="6"/>
        <v>10.464355782670093</v>
      </c>
      <c r="AF21" s="69">
        <f t="shared" si="4"/>
        <v>381940625</v>
      </c>
      <c r="AG21" s="69">
        <f t="shared" si="5"/>
        <v>69760.844748858435</v>
      </c>
      <c r="AH21" s="10"/>
      <c r="AI21" s="10"/>
      <c r="AJ21" s="10"/>
    </row>
    <row r="22" spans="1:36" x14ac:dyDescent="0.25">
      <c r="A22" s="49" t="s">
        <v>32</v>
      </c>
      <c r="B22" s="50" t="s">
        <v>289</v>
      </c>
      <c r="C22" s="48">
        <f>IFERROR((s_TR/(s_RadSpec!I22*s_EF_ow*s_ED_out*s_IRS_ow*(1/1000)))*1,".")</f>
        <v>244.477856418155</v>
      </c>
      <c r="D22" s="48">
        <f>IFERROR(IF(A22="H-3",(s_TR/(s_RadSpec!G22*s_EF_ow*s_ED_out*(s_ET_ow_o+s_ET_ow_i)*(1/24)*s_IRA_ow*(1/17)*1000))*1,(s_TR/(s_RadSpec!G22*s_EF_ow*s_ED_out*(s_ET_ow_o+s_ET_ow_i)*(1/24)*s_IRA_ow*(1/s_PEF_wind)*1000))*1),".")</f>
        <v>1725.0338485709926</v>
      </c>
      <c r="E22" s="48">
        <f>IFERROR((s_TR/(s_RadSpec!F22*s_EF_ow*(1/365)*s_ED_out*s_RadSpec!Q22*(s_ET_ow_o+s_ET_ow_i)*(1/24)*s_RadSpec!V22))*1,".")</f>
        <v>12514955716.541487</v>
      </c>
      <c r="F22" s="48">
        <f t="shared" si="0"/>
        <v>214.1305224351984</v>
      </c>
      <c r="G22" s="69">
        <f t="shared" si="1"/>
        <v>3055525</v>
      </c>
      <c r="H22" s="69">
        <f t="shared" si="2"/>
        <v>1231.1313567072434</v>
      </c>
      <c r="I22" s="69">
        <f>s_C*s_EF_ow*(1/365)*s_ED_out*(s_ET_ow_o+s_ET_ow_i)*(1/24)*s_RadSpec!V22*s_RadSpec!Q22*1</f>
        <v>7.2691972679482725E-4</v>
      </c>
      <c r="J22" s="4"/>
      <c r="K22" s="4"/>
      <c r="L22" s="4"/>
      <c r="M22" s="4"/>
      <c r="N22" s="48">
        <f>IFERROR((s_TR/(s_RadSpec!F22*s_EF_ow*(1/365)*s_ED_out*s_RadSpec!Q22*(s_ET_ow_o+s_ET_ow_i)*(1/24)*s_RadSpec!V22))*1,".")</f>
        <v>12514955716.541487</v>
      </c>
      <c r="O22" s="48">
        <f>IFERROR((s_TR/(s_RadSpec!M22*s_EF_ow*(1/365)*s_ED_out*s_RadSpec!R22*(s_ET_ow_o+s_ET_ow_i)*(1/24)*s_RadSpec!W22))*1,".")</f>
        <v>15750037536.412928</v>
      </c>
      <c r="P22" s="48">
        <f>IFERROR((s_TR/(s_RadSpec!N22*s_EF_ow*(1/365)*s_ED_out*s_RadSpec!S22*(s_ET_ow_o+s_ET_ow_i)*(1/24)*s_RadSpec!X22))*1,".")</f>
        <v>8861103343.2008705</v>
      </c>
      <c r="Q22" s="48">
        <f>IFERROR((s_TR/(s_RadSpec!O22*s_EF_ow*(1/365)*s_ED_out*s_RadSpec!T22*(s_ET_ow_o+s_ET_ow_i)*(1/24)*s_RadSpec!Y22))*1,".")</f>
        <v>9096139581.7846565</v>
      </c>
      <c r="R22" s="48">
        <f>IFERROR((s_TR/(s_RadSpec!K22*s_EF_ow*(1/365)*s_ED_out*s_RadSpec!P22*(s_ET_ow_o+s_ET_ow_i)*(1/24)*s_RadSpec!U22))*1,".")</f>
        <v>44506816494.688438</v>
      </c>
      <c r="S22" s="69">
        <f>s_C*s_EF_ow*(1/365)*s_ED_out*(s_ET_ow_o+s_ET_ow_i)*(1/24)*s_RadSpec!V22*s_RadSpec!Q22*1</f>
        <v>7.2691972679482725E-4</v>
      </c>
      <c r="T22" s="69">
        <f>s_C*s_EF_ow*(1/365)*s_ED_out*(s_ET_ow_o+s_ET_ow_i)*(1/24)*s_RadSpec!W22*s_RadSpec!R22*1</f>
        <v>7.9330269177233393E-4</v>
      </c>
      <c r="U22" s="69">
        <f>s_C*s_EF_ow*(1/365)*s_ED_out*(s_ET_ow_o+s_ET_ow_i)*(1/24)*s_RadSpec!X22*s_RadSpec!S22*1</f>
        <v>1.0325861974988687E-3</v>
      </c>
      <c r="V22" s="69">
        <f>s_C*s_EF_ow*(1/365)*s_ED_out*(s_ET_ow_o+s_ET_ow_i)*(1/24)*s_RadSpec!Y22*s_RadSpec!T22*1</f>
        <v>1.0020510367915829E-3</v>
      </c>
      <c r="W22" s="69">
        <f>s_C*s_EF_ow*(1/365)*s_ED_out*(s_ET_ow_o+s_ET_ow_i)*(1/24)*s_RadSpec!U22*s_RadSpec!P22*1</f>
        <v>1.4121962382748741E-4</v>
      </c>
      <c r="X22" s="11"/>
      <c r="Y22" s="11"/>
      <c r="Z22" s="11"/>
      <c r="AA22" s="11"/>
      <c r="AB22" s="11"/>
      <c r="AC22" s="48">
        <f>IFERROR(s_TR/(s_RadSpec!G22*s_EF_ow*s_ED_out*(s_ET_ow_o+s_ET_ow_i)*(1/24)*s_IRA_ow),".")</f>
        <v>5.5604016000055604E-3</v>
      </c>
      <c r="AD22" s="48">
        <f>IFERROR(s_TR/(s_RadSpec!J22*s_EF_ow*(1/365)*s_ED_out*(s_ET_ow_o+s_ET_ow_i)*(1/24)*s_GSF_a),".")</f>
        <v>43166.679509049485</v>
      </c>
      <c r="AE22" s="48">
        <f t="shared" si="6"/>
        <v>5.5604008837572341E-3</v>
      </c>
      <c r="AF22" s="69">
        <f t="shared" si="4"/>
        <v>381940625</v>
      </c>
      <c r="AG22" s="69">
        <f t="shared" si="5"/>
        <v>69760.844748858435</v>
      </c>
      <c r="AH22" s="10"/>
      <c r="AI22" s="10"/>
      <c r="AJ22" s="10"/>
    </row>
    <row r="23" spans="1:36" x14ac:dyDescent="0.25">
      <c r="A23" s="51" t="s">
        <v>33</v>
      </c>
      <c r="B23" s="50" t="s">
        <v>275</v>
      </c>
      <c r="C23" s="48">
        <f>IFERROR((s_TR/(s_RadSpec!I23*s_EF_ow*s_ED_out*s_IRS_ow*(1/1000)))*1,".")</f>
        <v>61.733730075438615</v>
      </c>
      <c r="D23" s="48">
        <f>IFERROR(IF(A23="H-3",(s_TR/(s_RadSpec!G23*s_EF_ow*s_ED_out*(s_ET_ow_o+s_ET_ow_i)*(1/24)*s_IRA_ow*(1/17)*1000))*1,(s_TR/(s_RadSpec!G23*s_EF_ow*s_ED_out*(s_ET_ow_o+s_ET_ow_i)*(1/24)*s_IRA_ow*(1/s_PEF_wind)*1000))*1),".")</f>
        <v>1602.6267160836946</v>
      </c>
      <c r="E23" s="48">
        <f>IFERROR((s_TR/(s_RadSpec!F23*s_EF_ow*(1/365)*s_ED_out*s_RadSpec!Q23*(s_ET_ow_o+s_ET_ow_i)*(1/24)*s_RadSpec!V23))*1,".")</f>
        <v>700.43407599423983</v>
      </c>
      <c r="F23" s="48">
        <f t="shared" si="0"/>
        <v>54.793734733909069</v>
      </c>
      <c r="G23" s="69">
        <f t="shared" si="1"/>
        <v>3055525</v>
      </c>
      <c r="H23" s="69">
        <f t="shared" si="2"/>
        <v>1231.1313567072434</v>
      </c>
      <c r="I23" s="69">
        <f>s_C*s_EF_ow*(1/365)*s_ED_out*(s_ET_ow_o+s_ET_ow_i)*(1/24)*s_RadSpec!V23*s_RadSpec!Q23*1</f>
        <v>3174.2155960239638</v>
      </c>
      <c r="J23" s="4"/>
      <c r="K23" s="4"/>
      <c r="L23" s="4"/>
      <c r="M23" s="4"/>
      <c r="N23" s="48">
        <f>IFERROR((s_TR/(s_RadSpec!F23*s_EF_ow*(1/365)*s_ED_out*s_RadSpec!Q23*(s_ET_ow_o+s_ET_ow_i)*(1/24)*s_RadSpec!V23))*1,".")</f>
        <v>700.43407599423983</v>
      </c>
      <c r="O23" s="48">
        <f>IFERROR((s_TR/(s_RadSpec!M23*s_EF_ow*(1/365)*s_ED_out*s_RadSpec!R23*(s_ET_ow_o+s_ET_ow_i)*(1/24)*s_RadSpec!W23))*1,".")</f>
        <v>4919.1033953105134</v>
      </c>
      <c r="P23" s="48">
        <f>IFERROR((s_TR/(s_RadSpec!N23*s_EF_ow*(1/365)*s_ED_out*s_RadSpec!S23*(s_ET_ow_o+s_ET_ow_i)*(1/24)*s_RadSpec!X23))*1,".")</f>
        <v>1272.2160963188746</v>
      </c>
      <c r="Q23" s="48">
        <f>IFERROR((s_TR/(s_RadSpec!O23*s_EF_ow*(1/365)*s_ED_out*s_RadSpec!T23*(s_ET_ow_o+s_ET_ow_i)*(1/24)*s_RadSpec!Y23))*1,".")</f>
        <v>742.28079282573026</v>
      </c>
      <c r="R23" s="48">
        <f>IFERROR((s_TR/(s_RadSpec!K23*s_EF_ow*(1/365)*s_ED_out*s_RadSpec!P23*(s_ET_ow_o+s_ET_ow_i)*(1/24)*s_RadSpec!U23))*1,".")</f>
        <v>7850.5422140040164</v>
      </c>
      <c r="S23" s="69">
        <f>s_C*s_EF_ow*(1/365)*s_ED_out*(s_ET_ow_o+s_ET_ow_i)*(1/24)*s_RadSpec!V23*s_RadSpec!Q23*1</f>
        <v>3174.2155960239638</v>
      </c>
      <c r="T23" s="69">
        <f>s_C*s_EF_ow*(1/365)*s_ED_out*(s_ET_ow_o+s_ET_ow_i)*(1/24)*s_RadSpec!W23*s_RadSpec!R23*1</f>
        <v>1783.2483414525807</v>
      </c>
      <c r="U23" s="69">
        <f>s_C*s_EF_ow*(1/365)*s_ED_out*(s_ET_ow_o+s_ET_ow_i)*(1/24)*s_RadSpec!X23*s_RadSpec!S23*1</f>
        <v>2521.8277751988235</v>
      </c>
      <c r="V23" s="69">
        <f>s_C*s_EF_ow*(1/365)*s_ED_out*(s_ET_ow_o+s_ET_ow_i)*(1/24)*s_RadSpec!Y23*s_RadSpec!T23*1</f>
        <v>3081.6683845369503</v>
      </c>
      <c r="W23" s="69">
        <f>s_C*s_EF_ow*(1/365)*s_ED_out*(s_ET_ow_o+s_ET_ow_i)*(1/24)*s_RadSpec!U23*s_RadSpec!P23*1</f>
        <v>1132.8281320704266</v>
      </c>
      <c r="X23" s="11"/>
      <c r="Y23" s="11"/>
      <c r="Z23" s="11"/>
      <c r="AA23" s="11"/>
      <c r="AB23" s="11"/>
      <c r="AC23" s="48">
        <f>IFERROR(s_TR/(s_RadSpec!G23*s_EF_ow*s_ED_out*(s_ET_ow_o+s_ET_ow_i)*(1/24)*s_IRA_ow),".")</f>
        <v>5.1658395942232992E-3</v>
      </c>
      <c r="AD23" s="48">
        <f>IFERROR(s_TR/(s_RadSpec!J23*s_EF_ow*(1/365)*s_ED_out*(s_ET_ow_o+s_ET_ow_i)*(1/24)*s_GSF_a),".")</f>
        <v>27952.194108318923</v>
      </c>
      <c r="AE23" s="48">
        <f t="shared" si="6"/>
        <v>5.165838639525658E-3</v>
      </c>
      <c r="AF23" s="69">
        <f t="shared" si="4"/>
        <v>381940625</v>
      </c>
      <c r="AG23" s="69">
        <f t="shared" si="5"/>
        <v>69760.844748858435</v>
      </c>
      <c r="AH23" s="10"/>
      <c r="AI23" s="10"/>
      <c r="AJ23" s="10"/>
    </row>
    <row r="24" spans="1:36" x14ac:dyDescent="0.25">
      <c r="A24" s="49" t="s">
        <v>34</v>
      </c>
      <c r="B24" s="50" t="s">
        <v>289</v>
      </c>
      <c r="C24" s="48" t="str">
        <f>IFERROR((s_TR/(s_RadSpec!I24*s_EF_ow*s_ED_out*s_IRS_ow*(1/1000)))*1,".")</f>
        <v>.</v>
      </c>
      <c r="D24" s="48" t="str">
        <f>IFERROR(IF(A24="H-3",(s_TR/(s_RadSpec!G24*s_EF_ow*s_ED_out*(s_ET_ow_o+s_ET_ow_i)*(1/24)*s_IRA_ow*(1/17)*1000))*1,(s_TR/(s_RadSpec!G24*s_EF_ow*s_ED_out*(s_ET_ow_o+s_ET_ow_i)*(1/24)*s_IRA_ow*(1/s_PEF_wind)*1000))*1),".")</f>
        <v>.</v>
      </c>
      <c r="E24" s="48">
        <f>IFERROR((s_TR/(s_RadSpec!F24*s_EF_ow*(1/365)*s_ED_out*s_RadSpec!Q24*(s_ET_ow_o+s_ET_ow_i)*(1/24)*s_RadSpec!V24))*1,".")</f>
        <v>6775.7817583539418</v>
      </c>
      <c r="F24" s="48">
        <f t="shared" si="0"/>
        <v>6775.7817583539427</v>
      </c>
      <c r="G24" s="69">
        <f t="shared" si="1"/>
        <v>3055525</v>
      </c>
      <c r="H24" s="69">
        <f t="shared" si="2"/>
        <v>1231.1313567072434</v>
      </c>
      <c r="I24" s="69">
        <f>s_C*s_EF_ow*(1/365)*s_ED_out*(s_ET_ow_o+s_ET_ow_i)*(1/24)*s_RadSpec!V24*s_RadSpec!Q24*1</f>
        <v>2421.3638459478061</v>
      </c>
      <c r="J24" s="4"/>
      <c r="K24" s="4"/>
      <c r="L24" s="4"/>
      <c r="M24" s="4"/>
      <c r="N24" s="48">
        <f>IFERROR((s_TR/(s_RadSpec!F24*s_EF_ow*(1/365)*s_ED_out*s_RadSpec!Q24*(s_ET_ow_o+s_ET_ow_i)*(1/24)*s_RadSpec!V24))*1,".")</f>
        <v>6775.7817583539418</v>
      </c>
      <c r="O24" s="48">
        <f>IFERROR((s_TR/(s_RadSpec!M24*s_EF_ow*(1/365)*s_ED_out*s_RadSpec!R24*(s_ET_ow_o+s_ET_ow_i)*(1/24)*s_RadSpec!W24))*1,".")</f>
        <v>59693.903773865546</v>
      </c>
      <c r="P24" s="48">
        <f>IFERROR((s_TR/(s_RadSpec!N24*s_EF_ow*(1/365)*s_ED_out*s_RadSpec!S24*(s_ET_ow_o+s_ET_ow_i)*(1/24)*s_RadSpec!X24))*1,".")</f>
        <v>14972.487624003021</v>
      </c>
      <c r="Q24" s="48">
        <f>IFERROR((s_TR/(s_RadSpec!O24*s_EF_ow*(1/365)*s_ED_out*s_RadSpec!T24*(s_ET_ow_o+s_ET_ow_i)*(1/24)*s_RadSpec!Y24))*1,".")</f>
        <v>8078.8602051951102</v>
      </c>
      <c r="R24" s="48">
        <f>IFERROR((s_TR/(s_RadSpec!K24*s_EF_ow*(1/365)*s_ED_out*s_RadSpec!P24*(s_ET_ow_o+s_ET_ow_i)*(1/24)*s_RadSpec!U24))*1,".")</f>
        <v>101560.04252953753</v>
      </c>
      <c r="S24" s="69">
        <f>s_C*s_EF_ow*(1/365)*s_ED_out*(s_ET_ow_o+s_ET_ow_i)*(1/24)*s_RadSpec!V24*s_RadSpec!Q24*1</f>
        <v>2421.3638459478061</v>
      </c>
      <c r="T24" s="69">
        <f>s_C*s_EF_ow*(1/365)*s_ED_out*(s_ET_ow_o+s_ET_ow_i)*(1/24)*s_RadSpec!W24*s_RadSpec!R24*1</f>
        <v>1335.5454286010788</v>
      </c>
      <c r="U24" s="69">
        <f>s_C*s_EF_ow*(1/365)*s_ED_out*(s_ET_ow_o+s_ET_ow_i)*(1/24)*s_RadSpec!X24*s_RadSpec!S24*1</f>
        <v>1891.5342796526729</v>
      </c>
      <c r="V24" s="69">
        <f>s_C*s_EF_ow*(1/365)*s_ED_out*(s_ET_ow_o+s_ET_ow_i)*(1/24)*s_RadSpec!Y24*s_RadSpec!T24*1</f>
        <v>2265.1346289954336</v>
      </c>
      <c r="W24" s="69">
        <f>s_C*s_EF_ow*(1/365)*s_ED_out*(s_ET_ow_o+s_ET_ow_i)*(1/24)*s_RadSpec!U24*s_RadSpec!P24*1</f>
        <v>803.57428761343294</v>
      </c>
      <c r="X24" s="11"/>
      <c r="Y24" s="11"/>
      <c r="Z24" s="11"/>
      <c r="AA24" s="11"/>
      <c r="AB24" s="11"/>
      <c r="AC24" s="48" t="str">
        <f>IFERROR(s_TR/(s_RadSpec!G24*s_EF_ow*s_ED_out*(s_ET_ow_o+s_ET_ow_i)*(1/24)*s_IRA_ow),".")</f>
        <v>.</v>
      </c>
      <c r="AD24" s="48">
        <f>IFERROR(s_TR/(s_RadSpec!J24*s_EF_ow*(1/365)*s_ED_out*(s_ET_ow_o+s_ET_ow_i)*(1/24)*s_GSF_a),".")</f>
        <v>249829.13415493842</v>
      </c>
      <c r="AE24" s="48">
        <f t="shared" si="6"/>
        <v>249829.13415493842</v>
      </c>
      <c r="AF24" s="69">
        <f t="shared" si="4"/>
        <v>381940625</v>
      </c>
      <c r="AG24" s="69">
        <f t="shared" si="5"/>
        <v>69760.844748858435</v>
      </c>
      <c r="AH24" s="10"/>
      <c r="AI24" s="10"/>
      <c r="AJ24" s="10"/>
    </row>
    <row r="25" spans="1:36" x14ac:dyDescent="0.25">
      <c r="A25" s="51" t="s">
        <v>35</v>
      </c>
      <c r="B25" s="50" t="s">
        <v>275</v>
      </c>
      <c r="C25" s="48" t="str">
        <f>IFERROR((s_TR/(s_RadSpec!I25*s_EF_ow*s_ED_out*s_IRS_ow*(1/1000)))*1,".")</f>
        <v>.</v>
      </c>
      <c r="D25" s="48">
        <f>IFERROR(IF(A25="H-3",(s_TR/(s_RadSpec!G25*s_EF_ow*s_ED_out*(s_ET_ow_o+s_ET_ow_i)*(1/24)*s_IRA_ow*(1/17)*1000))*1,(s_TR/(s_RadSpec!G25*s_EF_ow*s_ED_out*(s_ET_ow_o+s_ET_ow_i)*(1/24)*s_IRA_ow*(1/s_PEF_wind)*1000))*1),".")</f>
        <v>19791737.037179209</v>
      </c>
      <c r="E25" s="48">
        <f>IFERROR((s_TR/(s_RadSpec!F25*s_EF_ow*(1/365)*s_ED_out*s_RadSpec!Q25*(s_ET_ow_o+s_ET_ow_i)*(1/24)*s_RadSpec!V25))*1,".")</f>
        <v>15112.223486896148</v>
      </c>
      <c r="F25" s="48">
        <f t="shared" si="0"/>
        <v>15100.693167474199</v>
      </c>
      <c r="G25" s="69">
        <f t="shared" si="1"/>
        <v>3055525</v>
      </c>
      <c r="H25" s="69">
        <f t="shared" si="2"/>
        <v>1231.1313567072434</v>
      </c>
      <c r="I25" s="69">
        <f>s_C*s_EF_ow*(1/365)*s_ED_out*(s_ET_ow_o+s_ET_ow_i)*(1/24)*s_RadSpec!V25*s_RadSpec!Q25*1</f>
        <v>2171.3062928082186</v>
      </c>
      <c r="J25" s="4"/>
      <c r="K25" s="4"/>
      <c r="L25" s="4"/>
      <c r="M25" s="4"/>
      <c r="N25" s="48">
        <f>IFERROR((s_TR/(s_RadSpec!F25*s_EF_ow*(1/365)*s_ED_out*s_RadSpec!Q25*(s_ET_ow_o+s_ET_ow_i)*(1/24)*s_RadSpec!V25))*1,".")</f>
        <v>15112.223486896148</v>
      </c>
      <c r="O25" s="48">
        <f>IFERROR((s_TR/(s_RadSpec!M25*s_EF_ow*(1/365)*s_ED_out*s_RadSpec!R25*(s_ET_ow_o+s_ET_ow_i)*(1/24)*s_RadSpec!W25))*1,".")</f>
        <v>128406.87702228803</v>
      </c>
      <c r="P25" s="48">
        <f>IFERROR((s_TR/(s_RadSpec!N25*s_EF_ow*(1/365)*s_ED_out*s_RadSpec!S25*(s_ET_ow_o+s_ET_ow_i)*(1/24)*s_RadSpec!X25))*1,".")</f>
        <v>32639.011626016832</v>
      </c>
      <c r="Q25" s="48">
        <f>IFERROR((s_TR/(s_RadSpec!O25*s_EF_ow*(1/365)*s_ED_out*s_RadSpec!T25*(s_ET_ow_o+s_ET_ow_i)*(1/24)*s_RadSpec!Y25))*1,".")</f>
        <v>19041.93297821924</v>
      </c>
      <c r="R25" s="48">
        <f>IFERROR((s_TR/(s_RadSpec!K25*s_EF_ow*(1/365)*s_ED_out*s_RadSpec!P25*(s_ET_ow_o+s_ET_ow_i)*(1/24)*s_RadSpec!U25))*1,".")</f>
        <v>234516.85866387293</v>
      </c>
      <c r="S25" s="69">
        <f>s_C*s_EF_ow*(1/365)*s_ED_out*(s_ET_ow_o+s_ET_ow_i)*(1/24)*s_RadSpec!V25*s_RadSpec!Q25*1</f>
        <v>2171.3062928082186</v>
      </c>
      <c r="T25" s="69">
        <f>s_C*s_EF_ow*(1/365)*s_ED_out*(s_ET_ow_o+s_ET_ow_i)*(1/24)*s_RadSpec!W25*s_RadSpec!R25*1</f>
        <v>1212.4834720283282</v>
      </c>
      <c r="U25" s="69">
        <f>s_C*s_EF_ow*(1/365)*s_ED_out*(s_ET_ow_o+s_ET_ow_i)*(1/24)*s_RadSpec!X25*s_RadSpec!S25*1</f>
        <v>1690.33083506658</v>
      </c>
      <c r="V25" s="69">
        <f>s_C*s_EF_ow*(1/365)*s_ED_out*(s_ET_ow_o+s_ET_ow_i)*(1/24)*s_RadSpec!Y25*s_RadSpec!T25*1</f>
        <v>1892.9210349896609</v>
      </c>
      <c r="W25" s="69">
        <f>s_C*s_EF_ow*(1/365)*s_ED_out*(s_ET_ow_o+s_ET_ow_i)*(1/24)*s_RadSpec!U25*s_RadSpec!P25*1</f>
        <v>676.27313883299792</v>
      </c>
      <c r="X25" s="11"/>
      <c r="Y25" s="11"/>
      <c r="Z25" s="11"/>
      <c r="AA25" s="11"/>
      <c r="AB25" s="11"/>
      <c r="AC25" s="48">
        <f>IFERROR(s_TR/(s_RadSpec!G25*s_EF_ow*s_ED_out*(s_ET_ow_o+s_ET_ow_i)*(1/24)*s_IRA_ow),".")</f>
        <v>63.795853269537481</v>
      </c>
      <c r="AD25" s="48">
        <f>IFERROR(s_TR/(s_RadSpec!J25*s_EF_ow*(1/365)*s_ED_out*(s_ET_ow_o+s_ET_ow_i)*(1/24)*s_GSF_a),".")</f>
        <v>490671.60880790063</v>
      </c>
      <c r="AE25" s="48">
        <f t="shared" si="6"/>
        <v>63.78755977602605</v>
      </c>
      <c r="AF25" s="69">
        <f t="shared" si="4"/>
        <v>381940625</v>
      </c>
      <c r="AG25" s="69">
        <f t="shared" si="5"/>
        <v>69760.844748858435</v>
      </c>
      <c r="AH25" s="10"/>
      <c r="AI25" s="10"/>
      <c r="AJ25" s="10"/>
    </row>
    <row r="26" spans="1:36" x14ac:dyDescent="0.25">
      <c r="A26" s="49" t="s">
        <v>36</v>
      </c>
      <c r="B26" s="50" t="s">
        <v>289</v>
      </c>
      <c r="C26" s="48">
        <f>IFERROR((s_TR/(s_RadSpec!I26*s_EF_ow*s_ED_out*s_IRS_ow*(1/1000)))*1,".")</f>
        <v>92.368513421144996</v>
      </c>
      <c r="D26" s="48">
        <f>IFERROR(IF(A26="H-3",(s_TR/(s_RadSpec!G26*s_EF_ow*s_ED_out*(s_ET_ow_o+s_ET_ow_i)*(1/24)*s_IRA_ow*(1/17)*1000))*1,(s_TR/(s_RadSpec!G26*s_EF_ow*s_ED_out*(s_ET_ow_o+s_ET_ow_i)*(1/24)*s_IRA_ow*(1/s_PEF_wind)*1000))*1),".")</f>
        <v>258.38960401264654</v>
      </c>
      <c r="E26" s="48">
        <f>IFERROR((s_TR/(s_RadSpec!F26*s_EF_ow*(1/365)*s_ED_out*s_RadSpec!Q26*(s_ET_ow_o+s_ET_ow_i)*(1/24)*s_RadSpec!V26))*1,".")</f>
        <v>622.24927573188688</v>
      </c>
      <c r="F26" s="48">
        <f t="shared" si="0"/>
        <v>61.336907602744773</v>
      </c>
      <c r="G26" s="69">
        <f t="shared" si="1"/>
        <v>3055525</v>
      </c>
      <c r="H26" s="69">
        <f t="shared" si="2"/>
        <v>1231.1313567072434</v>
      </c>
      <c r="I26" s="69">
        <f>s_C*s_EF_ow*(1/365)*s_ED_out*(s_ET_ow_o+s_ET_ow_i)*(1/24)*s_RadSpec!V26*s_RadSpec!Q26*1</f>
        <v>398.24637584785222</v>
      </c>
      <c r="J26" s="4"/>
      <c r="K26" s="4"/>
      <c r="L26" s="4"/>
      <c r="M26" s="4"/>
      <c r="N26" s="48">
        <f>IFERROR((s_TR/(s_RadSpec!F26*s_EF_ow*(1/365)*s_ED_out*s_RadSpec!Q26*(s_ET_ow_o+s_ET_ow_i)*(1/24)*s_RadSpec!V26))*1,".")</f>
        <v>622.24927573188688</v>
      </c>
      <c r="O26" s="48">
        <f>IFERROR((s_TR/(s_RadSpec!M26*s_EF_ow*(1/365)*s_ED_out*s_RadSpec!R26*(s_ET_ow_o+s_ET_ow_i)*(1/24)*s_RadSpec!W26))*1,".")</f>
        <v>3765.9890904493986</v>
      </c>
      <c r="P26" s="48">
        <f>IFERROR((s_TR/(s_RadSpec!N26*s_EF_ow*(1/365)*s_ED_out*s_RadSpec!S26*(s_ET_ow_o+s_ET_ow_i)*(1/24)*s_RadSpec!X26))*1,".")</f>
        <v>1079.1063407108234</v>
      </c>
      <c r="Q26" s="48">
        <f>IFERROR((s_TR/(s_RadSpec!O26*s_EF_ow*(1/365)*s_ED_out*s_RadSpec!T26*(s_ET_ow_o+s_ET_ow_i)*(1/24)*s_RadSpec!Y26))*1,".")</f>
        <v>709.77174226243289</v>
      </c>
      <c r="R26" s="48">
        <f>IFERROR((s_TR/(s_RadSpec!K26*s_EF_ow*(1/365)*s_ED_out*s_RadSpec!P26*(s_ET_ow_o+s_ET_ow_i)*(1/24)*s_RadSpec!U26))*1,".")</f>
        <v>20979.470118523128</v>
      </c>
      <c r="S26" s="69">
        <f>s_C*s_EF_ow*(1/365)*s_ED_out*(s_ET_ow_o+s_ET_ow_i)*(1/24)*s_RadSpec!V26*s_RadSpec!Q26*1</f>
        <v>398.24637584785222</v>
      </c>
      <c r="T26" s="69">
        <f>s_C*s_EF_ow*(1/365)*s_ED_out*(s_ET_ow_o+s_ET_ow_i)*(1/24)*s_RadSpec!W26*s_RadSpec!R26*1</f>
        <v>218.12721277723409</v>
      </c>
      <c r="U26" s="69">
        <f>s_C*s_EF_ow*(1/365)*s_ED_out*(s_ET_ow_o+s_ET_ow_i)*(1/24)*s_RadSpec!X26*s_RadSpec!S26*1</f>
        <v>301.78871817584485</v>
      </c>
      <c r="V26" s="69">
        <f>s_C*s_EF_ow*(1/365)*s_ED_out*(s_ET_ow_o+s_ET_ow_i)*(1/24)*s_RadSpec!Y26*s_RadSpec!T26*1</f>
        <v>352.81346769537618</v>
      </c>
      <c r="W26" s="69">
        <f>s_C*s_EF_ow*(1/365)*s_ED_out*(s_ET_ow_o+s_ET_ow_i)*(1/24)*s_RadSpec!U26*s_RadSpec!P26*1</f>
        <v>37.424010098349122</v>
      </c>
      <c r="X26" s="11"/>
      <c r="Y26" s="11"/>
      <c r="Z26" s="11"/>
      <c r="AA26" s="11"/>
      <c r="AB26" s="11"/>
      <c r="AC26" s="48">
        <f>IFERROR(s_TR/(s_RadSpec!G26*s_EF_ow*s_ED_out*(s_ET_ow_o+s_ET_ow_i)*(1/24)*s_IRA_ow),".")</f>
        <v>8.3288218881439203E-4</v>
      </c>
      <c r="AD26" s="48">
        <f>IFERROR(s_TR/(s_RadSpec!J26*s_EF_ow*(1/365)*s_ED_out*(s_ET_ow_o+s_ET_ow_i)*(1/24)*s_GSF_a),".")</f>
        <v>2653.8269892723024</v>
      </c>
      <c r="AE26" s="48">
        <f t="shared" si="6"/>
        <v>8.3288192742111901E-4</v>
      </c>
      <c r="AF26" s="69">
        <f t="shared" si="4"/>
        <v>381940625</v>
      </c>
      <c r="AG26" s="69">
        <f t="shared" si="5"/>
        <v>69760.844748858435</v>
      </c>
      <c r="AH26" s="10"/>
      <c r="AI26" s="10"/>
      <c r="AJ26" s="10"/>
    </row>
    <row r="27" spans="1:36" x14ac:dyDescent="0.25">
      <c r="A27" s="49" t="s">
        <v>37</v>
      </c>
      <c r="B27" s="50" t="s">
        <v>289</v>
      </c>
      <c r="C27" s="48" t="str">
        <f>IFERROR((s_TR/(s_RadSpec!I27*s_EF_ow*s_ED_out*s_IRS_ow*(1/1000)))*1,".")</f>
        <v>.</v>
      </c>
      <c r="D27" s="48" t="str">
        <f>IFERROR(IF(A27="H-3",(s_TR/(s_RadSpec!G27*s_EF_ow*s_ED_out*(s_ET_ow_o+s_ET_ow_i)*(1/24)*s_IRA_ow*(1/17)*1000))*1,(s_TR/(s_RadSpec!G27*s_EF_ow*s_ED_out*(s_ET_ow_o+s_ET_ow_i)*(1/24)*s_IRA_ow*(1/s_PEF_wind)*1000))*1),".")</f>
        <v>.</v>
      </c>
      <c r="E27" s="48">
        <f>IFERROR((s_TR/(s_RadSpec!F27*s_EF_ow*(1/365)*s_ED_out*s_RadSpec!Q27*(s_ET_ow_o+s_ET_ow_i)*(1/24)*s_RadSpec!V27))*1,".")</f>
        <v>4813.0198099747549</v>
      </c>
      <c r="F27" s="48">
        <f t="shared" si="0"/>
        <v>4813.0198099747549</v>
      </c>
      <c r="G27" s="69">
        <f t="shared" si="1"/>
        <v>3055525</v>
      </c>
      <c r="H27" s="69">
        <f t="shared" si="2"/>
        <v>1231.1313567072434</v>
      </c>
      <c r="I27" s="69">
        <f>s_C*s_EF_ow*(1/365)*s_ED_out*(s_ET_ow_o+s_ET_ow_i)*(1/24)*s_RadSpec!V27*s_RadSpec!Q27*1</f>
        <v>1890.1580607384651</v>
      </c>
      <c r="J27" s="4"/>
      <c r="K27" s="4"/>
      <c r="L27" s="4"/>
      <c r="M27" s="4"/>
      <c r="N27" s="48">
        <f>IFERROR((s_TR/(s_RadSpec!F27*s_EF_ow*(1/365)*s_ED_out*s_RadSpec!Q27*(s_ET_ow_o+s_ET_ow_i)*(1/24)*s_RadSpec!V27))*1,".")</f>
        <v>4813.0198099747549</v>
      </c>
      <c r="O27" s="48">
        <f>IFERROR((s_TR/(s_RadSpec!M27*s_EF_ow*(1/365)*s_ED_out*s_RadSpec!R27*(s_ET_ow_o+s_ET_ow_i)*(1/24)*s_RadSpec!W27))*1,".")</f>
        <v>42040.948179984676</v>
      </c>
      <c r="P27" s="48">
        <f>IFERROR((s_TR/(s_RadSpec!N27*s_EF_ow*(1/365)*s_ED_out*s_RadSpec!S27*(s_ET_ow_o+s_ET_ow_i)*(1/24)*s_RadSpec!X27))*1,".")</f>
        <v>12122.640442599939</v>
      </c>
      <c r="Q27" s="48">
        <f>IFERROR((s_TR/(s_RadSpec!O27*s_EF_ow*(1/365)*s_ED_out*s_RadSpec!T27*(s_ET_ow_o+s_ET_ow_i)*(1/24)*s_RadSpec!Y27))*1,".")</f>
        <v>6633.3884061204526</v>
      </c>
      <c r="R27" s="48">
        <f>IFERROR((s_TR/(s_RadSpec!K27*s_EF_ow*(1/365)*s_ED_out*s_RadSpec!P27*(s_ET_ow_o+s_ET_ow_i)*(1/24)*s_RadSpec!U27))*1,".")</f>
        <v>31818.793653028551</v>
      </c>
      <c r="S27" s="69">
        <f>s_C*s_EF_ow*(1/365)*s_ED_out*(s_ET_ow_o+s_ET_ow_i)*(1/24)*s_RadSpec!V27*s_RadSpec!Q27*1</f>
        <v>1890.1580607384651</v>
      </c>
      <c r="T27" s="69">
        <f>s_C*s_EF_ow*(1/365)*s_ED_out*(s_ET_ow_o+s_ET_ow_i)*(1/24)*s_RadSpec!W27*s_RadSpec!R27*1</f>
        <v>637.23848568668734</v>
      </c>
      <c r="U27" s="69">
        <f>s_C*s_EF_ow*(1/365)*s_ED_out*(s_ET_ow_o+s_ET_ow_i)*(1/24)*s_RadSpec!X27*s_RadSpec!S27*1</f>
        <v>1039.413255371787</v>
      </c>
      <c r="V27" s="69">
        <f>s_C*s_EF_ow*(1/365)*s_ED_out*(s_ET_ow_o+s_ET_ow_i)*(1/24)*s_RadSpec!Y27*s_RadSpec!T27*1</f>
        <v>1428.8226175306052</v>
      </c>
      <c r="W27" s="69">
        <f>s_C*s_EF_ow*(1/365)*s_ED_out*(s_ET_ow_o+s_ET_ow_i)*(1/24)*s_RadSpec!U27*s_RadSpec!P27*1</f>
        <v>203.72188720137638</v>
      </c>
      <c r="X27" s="11"/>
      <c r="Y27" s="11"/>
      <c r="Z27" s="11"/>
      <c r="AA27" s="11"/>
      <c r="AB27" s="11"/>
      <c r="AC27" s="48" t="str">
        <f>IFERROR(s_TR/(s_RadSpec!G27*s_EF_ow*s_ED_out*(s_ET_ow_o+s_ET_ow_i)*(1/24)*s_IRA_ow),".")</f>
        <v>.</v>
      </c>
      <c r="AD27" s="48">
        <f>IFERROR(s_TR/(s_RadSpec!J27*s_EF_ow*(1/365)*s_ED_out*(s_ET_ow_o+s_ET_ow_i)*(1/24)*s_GSF_a),".")</f>
        <v>84724.662887326936</v>
      </c>
      <c r="AE27" s="48">
        <f t="shared" si="6"/>
        <v>84724.662887326936</v>
      </c>
      <c r="AF27" s="69">
        <f t="shared" si="4"/>
        <v>381940625</v>
      </c>
      <c r="AG27" s="69">
        <f t="shared" si="5"/>
        <v>69760.844748858435</v>
      </c>
      <c r="AH27" s="10"/>
      <c r="AI27" s="10"/>
      <c r="AJ27" s="10"/>
    </row>
    <row r="28" spans="1:36" x14ac:dyDescent="0.25">
      <c r="A28" s="49" t="s">
        <v>38</v>
      </c>
      <c r="B28" s="50" t="s">
        <v>289</v>
      </c>
      <c r="C28" s="48" t="str">
        <f>IFERROR((s_TR/(s_RadSpec!I28*s_EF_ow*s_ED_out*s_IRS_ow*(1/1000)))*1,".")</f>
        <v>.</v>
      </c>
      <c r="D28" s="48" t="str">
        <f>IFERROR(IF(A28="H-3",(s_TR/(s_RadSpec!G28*s_EF_ow*s_ED_out*(s_ET_ow_o+s_ET_ow_i)*(1/24)*s_IRA_ow*(1/17)*1000))*1,(s_TR/(s_RadSpec!G28*s_EF_ow*s_ED_out*(s_ET_ow_o+s_ET_ow_i)*(1/24)*s_IRA_ow*(1/s_PEF_wind)*1000))*1),".")</f>
        <v>.</v>
      </c>
      <c r="E28" s="48">
        <f>IFERROR((s_TR/(s_RadSpec!F28*s_EF_ow*(1/365)*s_ED_out*s_RadSpec!Q28*(s_ET_ow_o+s_ET_ow_i)*(1/24)*s_RadSpec!V28))*1,".")</f>
        <v>1.2600541394677989</v>
      </c>
      <c r="F28" s="48">
        <f t="shared" si="0"/>
        <v>1.2600541394677989</v>
      </c>
      <c r="G28" s="69">
        <f t="shared" si="1"/>
        <v>3055525</v>
      </c>
      <c r="H28" s="69">
        <f t="shared" si="2"/>
        <v>1231.1313567072434</v>
      </c>
      <c r="I28" s="69">
        <f>s_C*s_EF_ow*(1/365)*s_ED_out*(s_ET_ow_o+s_ET_ow_i)*(1/24)*s_RadSpec!V28*s_RadSpec!Q28*1</f>
        <v>4271.4565239726026</v>
      </c>
      <c r="J28" s="4"/>
      <c r="K28" s="4"/>
      <c r="L28" s="4"/>
      <c r="M28" s="4"/>
      <c r="N28" s="48">
        <f>IFERROR((s_TR/(s_RadSpec!F28*s_EF_ow*(1/365)*s_ED_out*s_RadSpec!Q28*(s_ET_ow_o+s_ET_ow_i)*(1/24)*s_RadSpec!V28))*1,".")</f>
        <v>1.2600541394677989</v>
      </c>
      <c r="O28" s="48">
        <f>IFERROR((s_TR/(s_RadSpec!M28*s_EF_ow*(1/365)*s_ED_out*s_RadSpec!R28*(s_ET_ow_o+s_ET_ow_i)*(1/24)*s_RadSpec!W28))*1,".")</f>
        <v>15.219450357069858</v>
      </c>
      <c r="P28" s="48">
        <f>IFERROR((s_TR/(s_RadSpec!N28*s_EF_ow*(1/365)*s_ED_out*s_RadSpec!S28*(s_ET_ow_o+s_ET_ow_i)*(1/24)*s_RadSpec!X28))*1,".")</f>
        <v>3.678507442101314</v>
      </c>
      <c r="Q28" s="48">
        <f>IFERROR((s_TR/(s_RadSpec!O28*s_EF_ow*(1/365)*s_ED_out*s_RadSpec!T28*(s_ET_ow_o+s_ET_ow_i)*(1/24)*s_RadSpec!Y28))*1,".")</f>
        <v>2.0014254088400749</v>
      </c>
      <c r="R28" s="48">
        <f>IFERROR((s_TR/(s_RadSpec!K28*s_EF_ow*(1/365)*s_ED_out*s_RadSpec!P28*(s_ET_ow_o+s_ET_ow_i)*(1/24)*s_RadSpec!U28))*1,".")</f>
        <v>27.462000560846835</v>
      </c>
      <c r="S28" s="69">
        <f>s_C*s_EF_ow*(1/365)*s_ED_out*(s_ET_ow_o+s_ET_ow_i)*(1/24)*s_RadSpec!V28*s_RadSpec!Q28*1</f>
        <v>4271.4565239726026</v>
      </c>
      <c r="T28" s="69">
        <f>s_C*s_EF_ow*(1/365)*s_ED_out*(s_ET_ow_o+s_ET_ow_i)*(1/24)*s_RadSpec!W28*s_RadSpec!R28*1</f>
        <v>1915.571372160477</v>
      </c>
      <c r="U28" s="69">
        <f>s_C*s_EF_ow*(1/365)*s_ED_out*(s_ET_ow_o+s_ET_ow_i)*(1/24)*s_RadSpec!X28*s_RadSpec!S28*1</f>
        <v>2759.0414098173524</v>
      </c>
      <c r="V28" s="69">
        <f>s_C*s_EF_ow*(1/365)*s_ED_out*(s_ET_ow_o+s_ET_ow_i)*(1/24)*s_RadSpec!Y28*s_RadSpec!T28*1</f>
        <v>3186.685647075612</v>
      </c>
      <c r="W28" s="69">
        <f>s_C*s_EF_ow*(1/365)*s_ED_out*(s_ET_ow_o+s_ET_ow_i)*(1/24)*s_RadSpec!U28*s_RadSpec!P28*1</f>
        <v>1089.6528642590279</v>
      </c>
      <c r="X28" s="11"/>
      <c r="Y28" s="11"/>
      <c r="Z28" s="11"/>
      <c r="AA28" s="11"/>
      <c r="AB28" s="11"/>
      <c r="AC28" s="48" t="str">
        <f>IFERROR(s_TR/(s_RadSpec!G28*s_EF_ow*s_ED_out*(s_ET_ow_o+s_ET_ow_i)*(1/24)*s_IRA_ow),".")</f>
        <v>.</v>
      </c>
      <c r="AD28" s="48">
        <f>IFERROR(s_TR/(s_RadSpec!J28*s_EF_ow*(1/365)*s_ED_out*(s_ET_ow_o+s_ET_ow_i)*(1/24)*s_GSF_a),".")</f>
        <v>83.174821493046579</v>
      </c>
      <c r="AE28" s="48">
        <f t="shared" si="6"/>
        <v>83.174821493046579</v>
      </c>
      <c r="AF28" s="69">
        <f t="shared" si="4"/>
        <v>381940625</v>
      </c>
      <c r="AG28" s="69">
        <f t="shared" si="5"/>
        <v>69760.844748858435</v>
      </c>
      <c r="AH28" s="10"/>
      <c r="AI28" s="10"/>
      <c r="AJ28" s="10"/>
    </row>
    <row r="29" spans="1:36" x14ac:dyDescent="0.25">
      <c r="A29" s="49" t="s">
        <v>39</v>
      </c>
      <c r="B29" s="50" t="s">
        <v>289</v>
      </c>
      <c r="C29" s="48" t="str">
        <f>IFERROR((s_TR/(s_RadSpec!I29*s_EF_ow*s_ED_out*s_IRS_ow*(1/1000)))*1,".")</f>
        <v>.</v>
      </c>
      <c r="D29" s="48" t="str">
        <f>IFERROR(IF(A29="H-3",(s_TR/(s_RadSpec!G29*s_EF_ow*s_ED_out*(s_ET_ow_o+s_ET_ow_i)*(1/24)*s_IRA_ow*(1/17)*1000))*1,(s_TR/(s_RadSpec!G29*s_EF_ow*s_ED_out*(s_ET_ow_o+s_ET_ow_i)*(1/24)*s_IRA_ow*(1/s_PEF_wind)*1000))*1),".")</f>
        <v>.</v>
      </c>
      <c r="E29" s="48">
        <f>IFERROR((s_TR/(s_RadSpec!F29*s_EF_ow*(1/365)*s_ED_out*s_RadSpec!Q29*(s_ET_ow_o+s_ET_ow_i)*(1/24)*s_RadSpec!V29))*1,".")</f>
        <v>1.0532710823424531</v>
      </c>
      <c r="F29" s="48">
        <f t="shared" si="0"/>
        <v>1.0532710823424531</v>
      </c>
      <c r="G29" s="69">
        <f t="shared" si="1"/>
        <v>3055525</v>
      </c>
      <c r="H29" s="69">
        <f t="shared" si="2"/>
        <v>1231.1313567072434</v>
      </c>
      <c r="I29" s="69">
        <f>s_C*s_EF_ow*(1/365)*s_ED_out*(s_ET_ow_o+s_ET_ow_i)*(1/24)*s_RadSpec!V29*s_RadSpec!Q29*1</f>
        <v>3928.0721812434113</v>
      </c>
      <c r="J29" s="4"/>
      <c r="K29" s="4"/>
      <c r="L29" s="4"/>
      <c r="M29" s="4"/>
      <c r="N29" s="48">
        <f>IFERROR((s_TR/(s_RadSpec!F29*s_EF_ow*(1/365)*s_ED_out*s_RadSpec!Q29*(s_ET_ow_o+s_ET_ow_i)*(1/24)*s_RadSpec!V29))*1,".")</f>
        <v>1.0532710823424531</v>
      </c>
      <c r="O29" s="48">
        <f>IFERROR((s_TR/(s_RadSpec!M29*s_EF_ow*(1/365)*s_ED_out*s_RadSpec!R29*(s_ET_ow_o+s_ET_ow_i)*(1/24)*s_RadSpec!W29))*1,".")</f>
        <v>11.358228987030262</v>
      </c>
      <c r="P29" s="48">
        <f>IFERROR((s_TR/(s_RadSpec!N29*s_EF_ow*(1/365)*s_ED_out*s_RadSpec!S29*(s_ET_ow_o+s_ET_ow_i)*(1/24)*s_RadSpec!X29))*1,".")</f>
        <v>2.824610722079957</v>
      </c>
      <c r="Q29" s="48">
        <f>IFERROR((s_TR/(s_RadSpec!O29*s_EF_ow*(1/365)*s_ED_out*s_RadSpec!T29*(s_ET_ow_o+s_ET_ow_i)*(1/24)*s_RadSpec!Y29))*1,".")</f>
        <v>1.5011316032101039</v>
      </c>
      <c r="R29" s="48">
        <f>IFERROR((s_TR/(s_RadSpec!K29*s_EF_ow*(1/365)*s_ED_out*s_RadSpec!P29*(s_ET_ow_o+s_ET_ow_i)*(1/24)*s_RadSpec!U29))*1,".")</f>
        <v>21.068997147841454</v>
      </c>
      <c r="S29" s="69">
        <f>s_C*s_EF_ow*(1/365)*s_ED_out*(s_ET_ow_o+s_ET_ow_i)*(1/24)*s_RadSpec!V29*s_RadSpec!Q29*1</f>
        <v>3928.0721812434113</v>
      </c>
      <c r="T29" s="69">
        <f>s_C*s_EF_ow*(1/365)*s_ED_out*(s_ET_ow_o+s_ET_ow_i)*(1/24)*s_RadSpec!W29*s_RadSpec!R29*1</f>
        <v>1968.4990844974911</v>
      </c>
      <c r="U29" s="69">
        <f>s_C*s_EF_ow*(1/365)*s_ED_out*(s_ET_ow_o+s_ET_ow_i)*(1/24)*s_RadSpec!X29*s_RadSpec!S29*1</f>
        <v>2763.2100456621001</v>
      </c>
      <c r="V29" s="69">
        <f>s_C*s_EF_ow*(1/365)*s_ED_out*(s_ET_ow_o+s_ET_ow_i)*(1/24)*s_RadSpec!Y29*s_RadSpec!T29*1</f>
        <v>3257.510710255604</v>
      </c>
      <c r="W29" s="69">
        <f>s_C*s_EF_ow*(1/365)*s_ED_out*(s_ET_ow_o+s_ET_ow_i)*(1/24)*s_RadSpec!U29*s_RadSpec!P29*1</f>
        <v>1096.2418460534896</v>
      </c>
      <c r="X29" s="11"/>
      <c r="Y29" s="11"/>
      <c r="Z29" s="11"/>
      <c r="AA29" s="11"/>
      <c r="AB29" s="11"/>
      <c r="AC29" s="48" t="str">
        <f>IFERROR(s_TR/(s_RadSpec!G29*s_EF_ow*s_ED_out*(s_ET_ow_o+s_ET_ow_i)*(1/24)*s_IRA_ow),".")</f>
        <v>.</v>
      </c>
      <c r="AD29" s="48">
        <f>IFERROR(s_TR/(s_RadSpec!J29*s_EF_ow*(1/365)*s_ED_out*(s_ET_ow_o+s_ET_ow_i)*(1/24)*s_GSF_a),".")</f>
        <v>64.342786438017129</v>
      </c>
      <c r="AE29" s="48">
        <f t="shared" si="6"/>
        <v>64.342786438017129</v>
      </c>
      <c r="AF29" s="69">
        <f t="shared" si="4"/>
        <v>381940625</v>
      </c>
      <c r="AG29" s="69">
        <f t="shared" si="5"/>
        <v>69760.844748858435</v>
      </c>
      <c r="AH29" s="10"/>
      <c r="AI29" s="10"/>
      <c r="AJ29" s="10"/>
    </row>
    <row r="30" spans="1:36" x14ac:dyDescent="0.25">
      <c r="A30" s="49" t="s">
        <v>40</v>
      </c>
      <c r="B30" s="50" t="s">
        <v>289</v>
      </c>
      <c r="C30" s="48">
        <f>IFERROR((s_TR/(s_RadSpec!I30*s_EF_ow*s_ED_out*s_IRS_ow*(1/1000)))*1,".")</f>
        <v>348.51098680885917</v>
      </c>
      <c r="D30" s="48">
        <f>IFERROR(IF(A30="H-3",(s_TR/(s_RadSpec!G30*s_EF_ow*s_ED_out*(s_ET_ow_o+s_ET_ow_i)*(1/24)*s_IRA_ow*(1/17)*1000))*1,(s_TR/(s_RadSpec!G30*s_EF_ow*s_ED_out*(s_ET_ow_o+s_ET_ow_i)*(1/24)*s_IRA_ow*(1/s_PEF_wind)*1000))*1),".")</f>
        <v>1594.2469685486162</v>
      </c>
      <c r="E30" s="48">
        <f>IFERROR((s_TR/(s_RadSpec!F30*s_EF_ow*(1/365)*s_ED_out*s_RadSpec!Q30*(s_ET_ow_o+s_ET_ow_i)*(1/24)*s_RadSpec!V30))*1,".")</f>
        <v>186653.95080541371</v>
      </c>
      <c r="F30" s="48">
        <f t="shared" si="0"/>
        <v>285.55413917805674</v>
      </c>
      <c r="G30" s="69">
        <f t="shared" si="1"/>
        <v>3055525</v>
      </c>
      <c r="H30" s="69">
        <f t="shared" si="2"/>
        <v>1231.1313567072434</v>
      </c>
      <c r="I30" s="69">
        <f>s_C*s_EF_ow*(1/365)*s_ED_out*(s_ET_ow_o+s_ET_ow_i)*(1/24)*s_RadSpec!V30*s_RadSpec!Q30*1</f>
        <v>418.56506849315065</v>
      </c>
      <c r="J30" s="4"/>
      <c r="K30" s="4"/>
      <c r="L30" s="4"/>
      <c r="M30" s="4"/>
      <c r="N30" s="48">
        <f>IFERROR((s_TR/(s_RadSpec!F30*s_EF_ow*(1/365)*s_ED_out*s_RadSpec!Q30*(s_ET_ow_o+s_ET_ow_i)*(1/24)*s_RadSpec!V30))*1,".")</f>
        <v>186653.95080541371</v>
      </c>
      <c r="O30" s="48">
        <f>IFERROR((s_TR/(s_RadSpec!M30*s_EF_ow*(1/365)*s_ED_out*s_RadSpec!R30*(s_ET_ow_o+s_ET_ow_i)*(1/24)*s_RadSpec!W30))*1,".")</f>
        <v>3135567.9431622177</v>
      </c>
      <c r="P30" s="48">
        <f>IFERROR((s_TR/(s_RadSpec!N30*s_EF_ow*(1/365)*s_ED_out*s_RadSpec!S30*(s_ET_ow_o+s_ET_ow_i)*(1/24)*s_RadSpec!X30))*1,".")</f>
        <v>462821.7492184146</v>
      </c>
      <c r="Q30" s="48">
        <f>IFERROR((s_TR/(s_RadSpec!O30*s_EF_ow*(1/365)*s_ED_out*s_RadSpec!T30*(s_ET_ow_o+s_ET_ow_i)*(1/24)*s_RadSpec!Y30))*1,".")</f>
        <v>253609.11036041263</v>
      </c>
      <c r="R30" s="48">
        <f>IFERROR((s_TR/(s_RadSpec!K30*s_EF_ow*(1/365)*s_ED_out*s_RadSpec!P30*(s_ET_ow_o+s_ET_ow_i)*(1/24)*s_RadSpec!U30))*1,".")</f>
        <v>44577355.309998818</v>
      </c>
      <c r="S30" s="69">
        <f>s_C*s_EF_ow*(1/365)*s_ED_out*(s_ET_ow_o+s_ET_ow_i)*(1/24)*s_RadSpec!V30*s_RadSpec!Q30*1</f>
        <v>418.56506849315065</v>
      </c>
      <c r="T30" s="69">
        <f>s_C*s_EF_ow*(1/365)*s_ED_out*(s_ET_ow_o+s_ET_ow_i)*(1/24)*s_RadSpec!W30*s_RadSpec!R30*1</f>
        <v>85.439418442415018</v>
      </c>
      <c r="U30" s="69">
        <f>s_C*s_EF_ow*(1/365)*s_ED_out*(s_ET_ow_o+s_ET_ow_i)*(1/24)*s_RadSpec!X30*s_RadSpec!S30*1</f>
        <v>237.09065029129275</v>
      </c>
      <c r="V30" s="69">
        <f>s_C*s_EF_ow*(1/365)*s_ED_out*(s_ET_ow_o+s_ET_ow_i)*(1/24)*s_RadSpec!Y30*s_RadSpec!T30*1</f>
        <v>318.52044617889612</v>
      </c>
      <c r="W30" s="69">
        <f>s_C*s_EF_ow*(1/365)*s_ED_out*(s_ET_ow_o+s_ET_ow_i)*(1/24)*s_RadSpec!U30*s_RadSpec!P30*1</f>
        <v>3.4880422374429219</v>
      </c>
      <c r="X30" s="11"/>
      <c r="Y30" s="11"/>
      <c r="Z30" s="11"/>
      <c r="AA30" s="11"/>
      <c r="AB30" s="11"/>
      <c r="AC30" s="48">
        <f>IFERROR(s_TR/(s_RadSpec!G30*s_EF_ow*s_ED_out*(s_ET_ow_o+s_ET_ow_i)*(1/24)*s_IRA_ow),".")</f>
        <v>5.1388286682404315E-3</v>
      </c>
      <c r="AD30" s="48">
        <f>IFERROR(s_TR/(s_RadSpec!J30*s_EF_ow*(1/365)*s_ED_out*(s_ET_ow_o+s_ET_ow_i)*(1/24)*s_GSF_a),".")</f>
        <v>849356.83218304091</v>
      </c>
      <c r="AE30" s="48">
        <f t="shared" si="6"/>
        <v>5.1388286371491882E-3</v>
      </c>
      <c r="AF30" s="69">
        <f t="shared" si="4"/>
        <v>381940625</v>
      </c>
      <c r="AG30" s="69">
        <f t="shared" si="5"/>
        <v>69760.844748858435</v>
      </c>
      <c r="AH30" s="10"/>
      <c r="AI30" s="10"/>
      <c r="AJ30" s="10"/>
    </row>
    <row r="31" spans="1:36" x14ac:dyDescent="0.25">
      <c r="A31" s="52" t="s">
        <v>13</v>
      </c>
      <c r="B31" s="52" t="s">
        <v>289</v>
      </c>
      <c r="C31" s="53">
        <f>1/SUM(1/C32,1/C33,1/C34,1/C35,1/C36,1/C37,1/C38,1/C41,1/C44)</f>
        <v>32.778238721224156</v>
      </c>
      <c r="D31" s="53">
        <f>1/SUM(1/D32,1/D33,1/D34,1/D35,1/D36,1/D37,1/D38,1/D41,1/D44)</f>
        <v>139.20108344758316</v>
      </c>
      <c r="E31" s="53">
        <f>1/SUM(1/E32,1/E33,1/E34,1/E35,1/E36,1/E37,1/E38,1/E39,1/E40,1/E41,1/E42,1/E43)</f>
        <v>16.551933405504506</v>
      </c>
      <c r="F31" s="54">
        <f>1/SUM(1/F32,1/F33,1/F34,1/F35,1/F36,1/F37,1/F38,1/F39,1/F40,1/F41,1/F42,1/F43,1/F44)</f>
        <v>10.192869424701049</v>
      </c>
      <c r="G31" s="71"/>
      <c r="H31" s="71"/>
      <c r="I31" s="71"/>
      <c r="J31" s="72">
        <f>IFERROR(IF(SUM(G32:G44)&gt;0.01,1-EXP(-SUM(G32:G44)),SUM(G32:G44)),".")</f>
        <v>1.6948744706050268E-3</v>
      </c>
      <c r="K31" s="72">
        <f>IFERROR(IF(SUM(H32:H44)&gt;0.01,1-EXP(-SUM(H32:H44)),SUM(H32:H44)),".")</f>
        <v>3.990989051526994E-4</v>
      </c>
      <c r="L31" s="72">
        <f>IFERROR(IF(SUM(I32:I44)&gt;0.01,1-EXP(-SUM(I32:I44)),SUM(I32:I44)),".")</f>
        <v>3.3564054807956531E-3</v>
      </c>
      <c r="M31" s="72">
        <f>IFERROR(IF(SUM(G32:I44)&gt;0.01,1-EXP(-SUM(G32:I44)),SUM(G32:I44)),".")</f>
        <v>5.45037885655338E-3</v>
      </c>
      <c r="N31" s="53">
        <f t="shared" ref="N31:R31" si="7">1/SUM(1/N32,1/N33,1/N34,1/N35,1/N36,1/N37,1/N38,1/N39,1/N40,1/N41,1/N42,1/N43)</f>
        <v>16.551933405504506</v>
      </c>
      <c r="O31" s="53">
        <f t="shared" si="7"/>
        <v>143.01407306117707</v>
      </c>
      <c r="P31" s="53">
        <f t="shared" si="7"/>
        <v>37.402257157518413</v>
      </c>
      <c r="Q31" s="53">
        <f t="shared" si="7"/>
        <v>22.235736455997209</v>
      </c>
      <c r="R31" s="53">
        <f t="shared" si="7"/>
        <v>311.5806132343057</v>
      </c>
      <c r="S31" s="71"/>
      <c r="T31" s="63"/>
      <c r="U31" s="63"/>
      <c r="V31" s="63"/>
      <c r="W31" s="63"/>
      <c r="X31" s="72">
        <f>IFERROR(IF(SUM(S32:S44)&gt;0.01,1-EXP(-SUM(S32:S44)),SUM(S32:S44)),".")</f>
        <v>3.3564054807956531E-3</v>
      </c>
      <c r="Y31" s="72">
        <f t="shared" ref="Y31:AB31" si="8">IFERROR(IF(SUM(T32:T44)&gt;0.01,1-EXP(-SUM(T32:T44)),SUM(T32:T44)),".")</f>
        <v>3.8845827414645581E-4</v>
      </c>
      <c r="Z31" s="72">
        <f t="shared" si="8"/>
        <v>1.4853381646469058E-3</v>
      </c>
      <c r="AA31" s="72">
        <f t="shared" si="8"/>
        <v>2.4984555879198791E-3</v>
      </c>
      <c r="AB31" s="72">
        <f t="shared" si="8"/>
        <v>1.7830056698111429E-4</v>
      </c>
      <c r="AC31" s="53">
        <f>1/SUM(1/AC32,1/AC33,1/AC34,1/AC35,1/AC36,1/AC37,1/AC38,1/AC41,1/AC44)</f>
        <v>4.4869492141596954E-4</v>
      </c>
      <c r="AD31" s="53">
        <f t="shared" ref="AD31:AE31" si="9">1/SUM(1/AD32,1/AD33,1/AD34,1/AD35,1/AD36,1/AD37,1/AD38,1/AD39,1/AD40,1/AD41,1/AD42,1/AD43,1/AD44)</f>
        <v>360.38024390373653</v>
      </c>
      <c r="AE31" s="54">
        <f t="shared" si="9"/>
        <v>4.48694362764697E-4</v>
      </c>
      <c r="AF31" s="71"/>
      <c r="AG31" s="71"/>
      <c r="AH31" s="72">
        <f>IFERROR(IF(SUM(AF32:AF44)&gt;0.01,1-EXP(-SUM(AF32:AF44)),SUM(AF32:AF44)),".")</f>
        <v>1</v>
      </c>
      <c r="AI31" s="72">
        <f>IFERROR(IF(SUM(AG32:AG44)&gt;0.01,1-EXP(-SUM(AG32:AG44)),SUM(AG32:AG44)),".")</f>
        <v>1.5415661912599081E-4</v>
      </c>
      <c r="AJ31" s="72">
        <f>IFERROR(IF(SUM(AF32:AG44)&gt;0.01,1-EXP(-SUM(AF32:AG44)),SUM(AF32:AG44)),".")</f>
        <v>1</v>
      </c>
    </row>
    <row r="32" spans="1:36" x14ac:dyDescent="0.25">
      <c r="A32" s="55" t="s">
        <v>290</v>
      </c>
      <c r="B32" s="50">
        <v>1</v>
      </c>
      <c r="C32" s="56">
        <f>IFERROR(C3/$B32,0)</f>
        <v>199.7562973172729</v>
      </c>
      <c r="D32" s="56">
        <f>IFERROR(D3/$B32,0)</f>
        <v>1195.685226411463</v>
      </c>
      <c r="E32" s="56">
        <f>IFERROR(E3/$B32,0)</f>
        <v>400833.45258403098</v>
      </c>
      <c r="F32" s="56">
        <f>IF(AND(C32&lt;&gt;0,D32&lt;&gt;0,E32&lt;&gt;0),1/((1/C32)+(1/D32)+(1/E32)),IF(AND(C32&lt;&gt;0,D32&lt;&gt;0,E32=0), 1/((1/C32)+(1/D32)),IF(AND(C32&lt;&gt;0,D32=0,E32&lt;&gt;0),1/((1/C32)+(1/E32)),IF(AND(C32=0,D32&lt;&gt;0,E32&lt;&gt;0),1/((1/D32)+(1/E32)),IF(AND(C32&lt;&gt;0,D32=0,E32=0),1/((1/C32)),IF(AND(C32=0,D32&lt;&gt;0,E32=0),1/((1/D32)),IF(AND(C32=0,D32=0,E32&lt;&gt;0),1/((1/E32)),IF(AND(C32=0,D32=0,E32=0),0))))))))</f>
        <v>171.08829191875577</v>
      </c>
      <c r="G32" s="64">
        <f>IFERROR(s_RadSpec!$I$3*G3,".")*$B$32</f>
        <v>2.7811388550000001E-4</v>
      </c>
      <c r="H32" s="64">
        <f>IFERROR(s_RadSpec!$G$3*H3,".")*$B$32</f>
        <v>4.6462897402131362E-5</v>
      </c>
      <c r="I32" s="64">
        <f>IFERROR(s_RadSpec!$F$3*I3,".")*$B$32</f>
        <v>1.3859871136467433E-7</v>
      </c>
      <c r="J32" s="73">
        <f t="shared" ref="J32:L44" si="10">IFERROR(IF(G32&gt;0.01,1-EXP(-G32),G32),".")</f>
        <v>2.7811388550000001E-4</v>
      </c>
      <c r="K32" s="73">
        <f t="shared" si="10"/>
        <v>4.6462897402131362E-5</v>
      </c>
      <c r="L32" s="73">
        <f t="shared" si="10"/>
        <v>1.3859871136467433E-7</v>
      </c>
      <c r="M32" s="73">
        <f>IFERROR(IF(SUM(G32:I32)&gt;0.01,1-EXP(-SUM(G32:I32)),SUM(G32:I32)),".")</f>
        <v>3.2471538161349606E-4</v>
      </c>
      <c r="N32" s="56">
        <f t="shared" ref="N32:AD32" si="11">IFERROR(N3/$B32,0)</f>
        <v>400833.45258403098</v>
      </c>
      <c r="O32" s="56">
        <f t="shared" si="11"/>
        <v>1130747.4982238049</v>
      </c>
      <c r="P32" s="56">
        <f t="shared" si="11"/>
        <v>457364.95043918426</v>
      </c>
      <c r="Q32" s="56">
        <f t="shared" si="11"/>
        <v>439233.3143148825</v>
      </c>
      <c r="R32" s="56">
        <f t="shared" si="11"/>
        <v>1290759.2694386942</v>
      </c>
      <c r="S32" s="64">
        <f>IFERROR(s_RadSpec!$F$3*S3,".")*$B$32</f>
        <v>1.3859871136467433E-7</v>
      </c>
      <c r="T32" s="64">
        <f>IFERROR(s_RadSpec!$M$3*T3,".")*$B$32</f>
        <v>4.9131216374359996E-8</v>
      </c>
      <c r="U32" s="64">
        <f>IFERROR(s_RadSpec!$N$3*U3,".")*$B$32</f>
        <v>1.214675500312242E-7</v>
      </c>
      <c r="V32" s="64">
        <f>IFERROR(s_RadSpec!$O$3*V3,".")*$B$32</f>
        <v>1.264817539777347E-7</v>
      </c>
      <c r="W32" s="64">
        <f>IFERROR(s_RadSpec!$K$3*W3,".")*$B$32</f>
        <v>4.3040558619547161E-8</v>
      </c>
      <c r="X32" s="73">
        <f>IFERROR(IF(S32&gt;0.01,1-EXP(-S32),S32),".")</f>
        <v>1.3859871136467433E-7</v>
      </c>
      <c r="Y32" s="73">
        <f t="shared" ref="Y32:AB44" si="12">IFERROR(IF(T32&gt;0.01,1-EXP(-T32),T32),".")</f>
        <v>4.9131216374359996E-8</v>
      </c>
      <c r="Z32" s="73">
        <f t="shared" si="12"/>
        <v>1.214675500312242E-7</v>
      </c>
      <c r="AA32" s="73">
        <f t="shared" si="12"/>
        <v>1.264817539777347E-7</v>
      </c>
      <c r="AB32" s="73">
        <f t="shared" si="12"/>
        <v>4.3040558619547161E-8</v>
      </c>
      <c r="AC32" s="56">
        <f t="shared" si="11"/>
        <v>3.8541215011803258E-3</v>
      </c>
      <c r="AD32" s="56">
        <f t="shared" si="11"/>
        <v>13723.008777524785</v>
      </c>
      <c r="AE32" s="56">
        <f>IFERROR(IF(AND(AC32&lt;&gt;0,AD32&lt;&gt;0),1/((1/AC32)+(1/AD32)),IF(AND(AC32&lt;&gt;0,AD32=0),1/((1/AC32)),IF(AND(AC32=0,AD32&lt;&gt;0),1/((1/AD32)),IF(AND(AC32=0,AD32=0),0)))),0)</f>
        <v>3.8541204187465378E-3</v>
      </c>
      <c r="AF32" s="64">
        <f>IFERROR(s_RadSpec!$G$3*AF3,".")*$B$32</f>
        <v>14.414439187499999</v>
      </c>
      <c r="AG32" s="64">
        <f>IFERROR(s_RadSpec!$J$3*AG3,".")*$B$32</f>
        <v>4.0483104616960269E-6</v>
      </c>
      <c r="AH32" s="73">
        <f>IFERROR(IF(AF32&gt;0.01,1-EXP(-AF32),AF32),".")</f>
        <v>0.99999945060006823</v>
      </c>
      <c r="AI32" s="73">
        <f>IFERROR(IF(AG32&gt;0.01,1-EXP(-AG32),AG32),".")</f>
        <v>4.0483104616960269E-6</v>
      </c>
      <c r="AJ32" s="73">
        <f>IFERROR(IF(SUM(AF32:AG32)&gt;0.01,1-EXP(-SUM(AF32:AG32)),SUM(AF32:AG32)),".")</f>
        <v>0.99999945060229234</v>
      </c>
    </row>
    <row r="33" spans="1:36" x14ac:dyDescent="0.25">
      <c r="A33" s="55" t="s">
        <v>291</v>
      </c>
      <c r="B33" s="50">
        <v>1</v>
      </c>
      <c r="C33" s="56">
        <f t="shared" ref="C33:E34" si="13">IFERROR(C13/$B33,0)</f>
        <v>386.92952078778848</v>
      </c>
      <c r="D33" s="56">
        <f t="shared" si="13"/>
        <v>1573.676039922183</v>
      </c>
      <c r="E33" s="56">
        <f t="shared" si="13"/>
        <v>5296.2293819483139</v>
      </c>
      <c r="F33" s="56">
        <f>IF(AND(C33&lt;&gt;0,D33&lt;&gt;0,E33&lt;&gt;0),1/((1/C33)+(1/D33)+(1/E33)),IF(AND(C33&lt;&gt;0,D33&lt;&gt;0,E33=0), 1/((1/C33)+(1/D33)),IF(AND(C33&lt;&gt;0,D33=0,E33&lt;&gt;0),1/((1/C33)+(1/E33)),IF(AND(C33=0,D33&lt;&gt;0,E33&lt;&gt;0),1/((1/D33)+(1/E33)),IF(AND(C33&lt;&gt;0,D33=0,E33=0),1/((1/C33)),IF(AND(C33=0,D33&lt;&gt;0,E33=0),1/((1/D33)),IF(AND(C33=0,D33=0,E33&lt;&gt;0),1/((1/E33)),IF(AND(C33=0,D33=0,E33=0),0))))))))</f>
        <v>293.36539101318334</v>
      </c>
      <c r="G33" s="64">
        <f>IFERROR(s_RadSpec!$I$13*G13,".")*$B$33</f>
        <v>1.4357911975E-4</v>
      </c>
      <c r="H33" s="64">
        <f>IFERROR(s_RadSpec!$G$13*H13,".")*$B$33</f>
        <v>3.5302691653580202E-5</v>
      </c>
      <c r="I33" s="64">
        <f>IFERROR(s_RadSpec!$F$13*I13,".")*$B$33</f>
        <v>1.0489538121093064E-5</v>
      </c>
      <c r="J33" s="73">
        <f t="shared" si="10"/>
        <v>1.4357911975E-4</v>
      </c>
      <c r="K33" s="73">
        <f t="shared" si="10"/>
        <v>3.5302691653580202E-5</v>
      </c>
      <c r="L33" s="73">
        <f t="shared" si="10"/>
        <v>1.0489538121093064E-5</v>
      </c>
      <c r="M33" s="73">
        <f t="shared" ref="M33:M44" si="14">IFERROR(IF(SUM(G33:I33)&gt;0.01,1-EXP(-SUM(G33:I33)),SUM(G33:I33)),".")</f>
        <v>1.8937134952467328E-4</v>
      </c>
      <c r="N33" s="56">
        <f t="shared" ref="N33:AD34" si="15">IFERROR(N13/$B33,0)</f>
        <v>5296.2293819483139</v>
      </c>
      <c r="O33" s="56">
        <f t="shared" si="15"/>
        <v>34432.115228614341</v>
      </c>
      <c r="P33" s="56">
        <f t="shared" si="15"/>
        <v>8596.5587252885889</v>
      </c>
      <c r="Q33" s="56">
        <f t="shared" si="15"/>
        <v>5690.1724804873502</v>
      </c>
      <c r="R33" s="56">
        <f t="shared" si="15"/>
        <v>273467.48104980658</v>
      </c>
      <c r="S33" s="64">
        <f>IFERROR(s_RadSpec!$F$13*S13,".")*$B$33</f>
        <v>1.0489538121093064E-5</v>
      </c>
      <c r="T33" s="64">
        <f>IFERROR(s_RadSpec!$M$13*T13,".")*$B$33</f>
        <v>1.6134646283313945E-6</v>
      </c>
      <c r="U33" s="64">
        <f>IFERROR(s_RadSpec!$N$13*U13,".")*$B$33</f>
        <v>6.4624696666787438E-6</v>
      </c>
      <c r="V33" s="64">
        <f>IFERROR(s_RadSpec!$O$13*V13,".")*$B$33</f>
        <v>9.7633244318178971E-6</v>
      </c>
      <c r="W33" s="64">
        <f>IFERROR(s_RadSpec!$K$13*W13,".")*$B$33</f>
        <v>2.0315029701788114E-7</v>
      </c>
      <c r="X33" s="73">
        <f t="shared" ref="X33:X44" si="16">IFERROR(IF(S33&gt;0.01,1-EXP(-S33),S33),".")</f>
        <v>1.0489538121093064E-5</v>
      </c>
      <c r="Y33" s="73">
        <f t="shared" si="12"/>
        <v>1.6134646283313945E-6</v>
      </c>
      <c r="Z33" s="73">
        <f t="shared" si="12"/>
        <v>6.4624696666787438E-6</v>
      </c>
      <c r="AA33" s="73">
        <f t="shared" si="12"/>
        <v>9.7633244318178971E-6</v>
      </c>
      <c r="AB33" s="73">
        <f t="shared" si="12"/>
        <v>2.0315029701788114E-7</v>
      </c>
      <c r="AC33" s="56">
        <f t="shared" si="15"/>
        <v>5.0725212015534605E-3</v>
      </c>
      <c r="AD33" s="56">
        <f t="shared" si="15"/>
        <v>10381.027948903833</v>
      </c>
      <c r="AE33" s="56">
        <f t="shared" ref="AE33:AE44" si="17">IFERROR(IF(AND(AC33&lt;&gt;0,AD33&lt;&gt;0),1/((1/AC33)+(1/AD33)),IF(AND(AC33&lt;&gt;0,AD33=0),1/((1/AC33)),IF(AND(AC33=0,AD33&lt;&gt;0),1/((1/AD33)),IF(AND(AC33=0,AD33=0),0)))),0)</f>
        <v>5.0725187229493287E-3</v>
      </c>
      <c r="AF33" s="64">
        <f>IFERROR(s_RadSpec!$G$13*AF13,".")*$B$33</f>
        <v>10.952147421875001</v>
      </c>
      <c r="AG33" s="64">
        <f>IFERROR(s_RadSpec!$J$13*AG13,".")*$B$33</f>
        <v>5.3515894835699988E-6</v>
      </c>
      <c r="AH33" s="73">
        <f t="shared" ref="AH33:AI44" si="18">IFERROR(IF(AF33&gt;0.01,1-EXP(-AF33),AF33),".")</f>
        <v>0.99998247964871034</v>
      </c>
      <c r="AI33" s="73">
        <f t="shared" si="18"/>
        <v>5.3515894835699988E-6</v>
      </c>
      <c r="AJ33" s="73">
        <f t="shared" ref="AJ33:AJ44" si="19">IFERROR(IF(SUM(AF33:AG33)&gt;0.01,1-EXP(-SUM(AF33:AG33)),SUM(AF33:AG33)),".")</f>
        <v>0.99998247974247179</v>
      </c>
    </row>
    <row r="34" spans="1:36" x14ac:dyDescent="0.25">
      <c r="A34" s="55" t="s">
        <v>292</v>
      </c>
      <c r="B34" s="50">
        <v>1</v>
      </c>
      <c r="C34" s="56">
        <f t="shared" si="13"/>
        <v>7040.1216533021679</v>
      </c>
      <c r="D34" s="56">
        <f t="shared" si="13"/>
        <v>2953024.0458588176</v>
      </c>
      <c r="E34" s="56">
        <f t="shared" si="13"/>
        <v>51.193253233970175</v>
      </c>
      <c r="F34" s="56">
        <f>IF(AND(C34&lt;&gt;0,D34&lt;&gt;0,E34&lt;&gt;0),1/((1/C34)+(1/D34)+(1/E34)),IF(AND(C34&lt;&gt;0,D34&lt;&gt;0,E34=0), 1/((1/C34)+(1/D34)),IF(AND(C34&lt;&gt;0,D34=0,E34&lt;&gt;0),1/((1/C34)+(1/E34)),IF(AND(C34=0,D34&lt;&gt;0,E34&lt;&gt;0),1/((1/D34)+(1/E34)),IF(AND(C34&lt;&gt;0,D34=0,E34=0),1/((1/C34)),IF(AND(C34=0,D34&lt;&gt;0,E34=0),1/((1/D34)),IF(AND(C34=0,D34=0,E34&lt;&gt;0),1/((1/E34)),IF(AND(C34=0,D34=0,E34=0),0))))))))</f>
        <v>50.822806854803218</v>
      </c>
      <c r="G34" s="64">
        <f>IFERROR(s_RadSpec!$I$14*G14,".")*$B$34</f>
        <v>7.8911988649999995E-6</v>
      </c>
      <c r="H34" s="64">
        <f>IFERROR(s_RadSpec!$G$14*H14,".")*$B$33</f>
        <v>1.8812918261843386E-8</v>
      </c>
      <c r="I34" s="64">
        <f>IFERROR(s_RadSpec!$F$14*I14,".")*$B$33</f>
        <v>1.0852015937743824E-3</v>
      </c>
      <c r="J34" s="73">
        <f t="shared" si="10"/>
        <v>7.8911988649999995E-6</v>
      </c>
      <c r="K34" s="73">
        <f t="shared" si="10"/>
        <v>1.8812918261843386E-8</v>
      </c>
      <c r="L34" s="73">
        <f t="shared" si="10"/>
        <v>1.0852015937743824E-3</v>
      </c>
      <c r="M34" s="73">
        <f t="shared" si="14"/>
        <v>1.0931116055576443E-3</v>
      </c>
      <c r="N34" s="56">
        <f t="shared" si="15"/>
        <v>51.193253233970175</v>
      </c>
      <c r="O34" s="56">
        <f t="shared" si="15"/>
        <v>391.94180488247326</v>
      </c>
      <c r="P34" s="56">
        <f t="shared" si="15"/>
        <v>105.56260049413056</v>
      </c>
      <c r="Q34" s="56">
        <f t="shared" si="15"/>
        <v>63.658769357939534</v>
      </c>
      <c r="R34" s="56">
        <f t="shared" si="15"/>
        <v>1108.5671084088765</v>
      </c>
      <c r="S34" s="64">
        <f>IFERROR(s_RadSpec!$F$14*S14,".")*$B$33</f>
        <v>1.0852015937743824E-3</v>
      </c>
      <c r="T34" s="64">
        <f>IFERROR(s_RadSpec!$M$14*T14,".")*$B$33</f>
        <v>1.4174298150374282E-4</v>
      </c>
      <c r="U34" s="64">
        <f>IFERROR(s_RadSpec!$N$14*U14,".")*$B$33</f>
        <v>5.2627540189376955E-4</v>
      </c>
      <c r="V34" s="64">
        <f>IFERROR(s_RadSpec!$O$14*V14,".")*$B$33</f>
        <v>8.7269987403661869E-4</v>
      </c>
      <c r="W34" s="64">
        <f>IFERROR(s_RadSpec!$K$14*W14,".")*$B$33</f>
        <v>5.0114241689651015E-5</v>
      </c>
      <c r="X34" s="73">
        <f t="shared" si="16"/>
        <v>1.0852015937743824E-3</v>
      </c>
      <c r="Y34" s="73">
        <f t="shared" si="12"/>
        <v>1.4174298150374282E-4</v>
      </c>
      <c r="Z34" s="73">
        <f t="shared" si="12"/>
        <v>5.2627540189376955E-4</v>
      </c>
      <c r="AA34" s="73">
        <f t="shared" si="12"/>
        <v>8.7269987403661869E-4</v>
      </c>
      <c r="AB34" s="73">
        <f t="shared" si="12"/>
        <v>5.0114241689651015E-5</v>
      </c>
      <c r="AC34" s="56">
        <f t="shared" si="15"/>
        <v>9.5186535864501973</v>
      </c>
      <c r="AD34" s="56">
        <f t="shared" si="15"/>
        <v>933.01441346509137</v>
      </c>
      <c r="AE34" s="56">
        <f t="shared" si="17"/>
        <v>9.4225245812554252</v>
      </c>
      <c r="AF34" s="64">
        <f>IFERROR(s_RadSpec!$G$14*AF14,".")*$B$33</f>
        <v>5.8364346906249996E-3</v>
      </c>
      <c r="AG34" s="64">
        <f>IFERROR(s_RadSpec!$J$14*AG14,".")*$B$33</f>
        <v>5.9543560311867117E-5</v>
      </c>
      <c r="AH34" s="73">
        <f t="shared" si="18"/>
        <v>5.8364346906249996E-3</v>
      </c>
      <c r="AI34" s="73">
        <f t="shared" si="18"/>
        <v>5.9543560311867117E-5</v>
      </c>
      <c r="AJ34" s="73">
        <f t="shared" si="19"/>
        <v>5.8959782509368664E-3</v>
      </c>
    </row>
    <row r="35" spans="1:36" x14ac:dyDescent="0.25">
      <c r="A35" s="55" t="s">
        <v>293</v>
      </c>
      <c r="B35" s="50">
        <v>1</v>
      </c>
      <c r="C35" s="56">
        <f>IFERROR(C30/$B35,0)</f>
        <v>348.51098680885917</v>
      </c>
      <c r="D35" s="56">
        <f>IFERROR(D30/$B35,0)</f>
        <v>1594.2469685486162</v>
      </c>
      <c r="E35" s="56">
        <f>IFERROR(E30/$B35,0)</f>
        <v>186653.95080541371</v>
      </c>
      <c r="F35" s="56">
        <f t="shared" ref="F35:F61" si="20">IF(AND(C35&lt;&gt;0,D35&lt;&gt;0,E35&lt;&gt;0),1/((1/C35)+(1/D35)+(1/E35)),IF(AND(C35&lt;&gt;0,D35&lt;&gt;0,E35=0), 1/((1/C35)+(1/D35)),IF(AND(C35&lt;&gt;0,D35=0,E35&lt;&gt;0),1/((1/C35)+(1/E35)),IF(AND(C35=0,D35&lt;&gt;0,E35&lt;&gt;0),1/((1/D35)+(1/E35)),IF(AND(C35&lt;&gt;0,D35=0,E35=0),1/((1/C35)),IF(AND(C35=0,D35&lt;&gt;0,E35=0),1/((1/D35)),IF(AND(C35=0,D35=0,E35&lt;&gt;0),1/((1/E35)),IF(AND(C35=0,D35=0,E35=0),0))))))))</f>
        <v>285.55413917805674</v>
      </c>
      <c r="G35" s="64">
        <f>IFERROR(s_RadSpec!$I$30*G30,".")*$B$35</f>
        <v>1.5940673924999999E-4</v>
      </c>
      <c r="H35" s="64">
        <f>IFERROR(s_RadSpec!$G$30*H30,".")*$B$35</f>
        <v>3.4847173051598523E-5</v>
      </c>
      <c r="I35" s="64">
        <f>IFERROR(s_RadSpec!$F$30*I30,".")*$B$35</f>
        <v>2.9763634662046851E-7</v>
      </c>
      <c r="J35" s="73">
        <f t="shared" si="10"/>
        <v>1.5940673924999999E-4</v>
      </c>
      <c r="K35" s="73">
        <f t="shared" si="10"/>
        <v>3.4847173051598523E-5</v>
      </c>
      <c r="L35" s="73">
        <f t="shared" si="10"/>
        <v>2.9763634662046851E-7</v>
      </c>
      <c r="M35" s="73">
        <f t="shared" si="14"/>
        <v>1.9455154864821895E-4</v>
      </c>
      <c r="N35" s="56">
        <f t="shared" ref="N35:AD35" si="21">IFERROR(N30/$B35,0)</f>
        <v>186653.95080541371</v>
      </c>
      <c r="O35" s="56">
        <f t="shared" si="21"/>
        <v>3135567.9431622177</v>
      </c>
      <c r="P35" s="56">
        <f t="shared" si="21"/>
        <v>462821.7492184146</v>
      </c>
      <c r="Q35" s="56">
        <f t="shared" si="21"/>
        <v>253609.11036041263</v>
      </c>
      <c r="R35" s="56">
        <f t="shared" si="21"/>
        <v>44577355.309998818</v>
      </c>
      <c r="S35" s="64">
        <f>IFERROR(s_RadSpec!$F$30*S30,".")*$B$35</f>
        <v>2.9763634662046851E-7</v>
      </c>
      <c r="T35" s="64">
        <f>IFERROR(s_RadSpec!$M$30*T30,".")*$B$35</f>
        <v>1.7717683369339725E-8</v>
      </c>
      <c r="U35" s="64">
        <f>IFERROR(s_RadSpec!$N$30*U30,".")*$B$35</f>
        <v>1.2003541340444332E-7</v>
      </c>
      <c r="V35" s="64">
        <f>IFERROR(s_RadSpec!$O$30*V30,".")*$B$35</f>
        <v>2.1905758795907951E-7</v>
      </c>
      <c r="W35" s="64">
        <f>IFERROR(s_RadSpec!$K$30*W30,".")*$B$35</f>
        <v>1.2462605646669861E-9</v>
      </c>
      <c r="X35" s="73">
        <f t="shared" si="16"/>
        <v>2.9763634662046851E-7</v>
      </c>
      <c r="Y35" s="73">
        <f t="shared" si="12"/>
        <v>1.7717683369339725E-8</v>
      </c>
      <c r="Z35" s="73">
        <f t="shared" si="12"/>
        <v>1.2003541340444332E-7</v>
      </c>
      <c r="AA35" s="73">
        <f t="shared" si="12"/>
        <v>2.1905758795907951E-7</v>
      </c>
      <c r="AB35" s="73">
        <f t="shared" si="12"/>
        <v>1.2462605646669861E-9</v>
      </c>
      <c r="AC35" s="56">
        <f t="shared" si="21"/>
        <v>5.1388286682404315E-3</v>
      </c>
      <c r="AD35" s="56">
        <f t="shared" si="21"/>
        <v>849356.83218304091</v>
      </c>
      <c r="AE35" s="56">
        <f t="shared" si="17"/>
        <v>5.1388286371491882E-3</v>
      </c>
      <c r="AF35" s="64">
        <f>IFERROR(s_RadSpec!$G$30*AF30,".")*$B$35</f>
        <v>10.810829390625001</v>
      </c>
      <c r="AG35" s="64">
        <f>IFERROR(s_RadSpec!$J$30*AG30,".")*$B$35</f>
        <v>6.5408315910299986E-8</v>
      </c>
      <c r="AH35" s="73">
        <f t="shared" si="18"/>
        <v>0.99997982021890308</v>
      </c>
      <c r="AI35" s="73">
        <f t="shared" si="18"/>
        <v>6.5408315910299986E-8</v>
      </c>
      <c r="AJ35" s="73">
        <f t="shared" si="19"/>
        <v>0.99997982022022303</v>
      </c>
    </row>
    <row r="36" spans="1:36" x14ac:dyDescent="0.25">
      <c r="A36" s="55" t="s">
        <v>294</v>
      </c>
      <c r="B36" s="50">
        <v>1</v>
      </c>
      <c r="C36" s="56">
        <f>IFERROR(C26/$B36,0)</f>
        <v>92.368513421144996</v>
      </c>
      <c r="D36" s="56">
        <f>IFERROR(D26/$B36,0)</f>
        <v>258.38960401264654</v>
      </c>
      <c r="E36" s="56">
        <f>IFERROR(E26/$B36,0)</f>
        <v>622.24927573188688</v>
      </c>
      <c r="F36" s="56">
        <f t="shared" si="20"/>
        <v>61.336907602744773</v>
      </c>
      <c r="G36" s="64">
        <f>IFERROR(s_RadSpec!$I$26*G26,".")*$B$37</f>
        <v>6.01449541E-4</v>
      </c>
      <c r="H36" s="64">
        <f>IFERROR(s_RadSpec!$G$26*H26,".")*$B$37</f>
        <v>2.15004780135353E-4</v>
      </c>
      <c r="I36" s="64">
        <f>IFERROR(s_RadSpec!$F$26*I26,".")*$B$37</f>
        <v>8.9280939595560711E-5</v>
      </c>
      <c r="J36" s="73">
        <f t="shared" si="10"/>
        <v>6.01449541E-4</v>
      </c>
      <c r="K36" s="73">
        <f t="shared" si="10"/>
        <v>2.15004780135353E-4</v>
      </c>
      <c r="L36" s="73">
        <f t="shared" si="10"/>
        <v>8.9280939595560711E-5</v>
      </c>
      <c r="M36" s="73">
        <f t="shared" si="14"/>
        <v>9.0573526073091371E-4</v>
      </c>
      <c r="N36" s="56">
        <f t="shared" ref="N36:AD36" si="22">IFERROR(N26/$B36,0)</f>
        <v>622.24927573188688</v>
      </c>
      <c r="O36" s="56">
        <f t="shared" si="22"/>
        <v>3765.9890904493986</v>
      </c>
      <c r="P36" s="56">
        <f t="shared" si="22"/>
        <v>1079.1063407108234</v>
      </c>
      <c r="Q36" s="56">
        <f t="shared" si="22"/>
        <v>709.77174226243289</v>
      </c>
      <c r="R36" s="56">
        <f t="shared" si="22"/>
        <v>20979.470118523128</v>
      </c>
      <c r="S36" s="64">
        <f>IFERROR(s_RadSpec!$F$26*S26,".")*$B$37</f>
        <v>8.9280939595560711E-5</v>
      </c>
      <c r="T36" s="64">
        <f>IFERROR(s_RadSpec!$M$26*T26,".")*$B$37</f>
        <v>1.4751768702912137E-5</v>
      </c>
      <c r="U36" s="64">
        <f>IFERROR(s_RadSpec!$N$26*U26,".")*$B$37</f>
        <v>5.1482414572233049E-5</v>
      </c>
      <c r="V36" s="64">
        <f>IFERROR(s_RadSpec!$O$26*V26,".")*$B$37</f>
        <v>7.8271642405649533E-5</v>
      </c>
      <c r="W36" s="64">
        <f>IFERROR(s_RadSpec!$K$26*W26,".")*$B$37</f>
        <v>2.6480649742888186E-6</v>
      </c>
      <c r="X36" s="73">
        <f t="shared" si="16"/>
        <v>8.9280939595560711E-5</v>
      </c>
      <c r="Y36" s="73">
        <f t="shared" si="12"/>
        <v>1.4751768702912137E-5</v>
      </c>
      <c r="Z36" s="73">
        <f t="shared" si="12"/>
        <v>5.1482414572233049E-5</v>
      </c>
      <c r="AA36" s="73">
        <f t="shared" si="12"/>
        <v>7.8271642405649533E-5</v>
      </c>
      <c r="AB36" s="73">
        <f t="shared" si="12"/>
        <v>2.6480649742888186E-6</v>
      </c>
      <c r="AC36" s="56">
        <f t="shared" si="22"/>
        <v>8.3288218881439203E-4</v>
      </c>
      <c r="AD36" s="56">
        <f t="shared" si="22"/>
        <v>2653.8269892723024</v>
      </c>
      <c r="AE36" s="56">
        <f t="shared" si="17"/>
        <v>8.3288192742111901E-4</v>
      </c>
      <c r="AF36" s="64">
        <f>IFERROR(s_RadSpec!$G$26*AF26,".")*$B$37</f>
        <v>66.702110750000003</v>
      </c>
      <c r="AG36" s="64">
        <f>IFERROR(s_RadSpec!$J$26*AG26,".")*$B$37</f>
        <v>2.0933919288850681E-5</v>
      </c>
      <c r="AH36" s="73">
        <f t="shared" si="18"/>
        <v>1</v>
      </c>
      <c r="AI36" s="73">
        <f t="shared" si="18"/>
        <v>2.0933919288850681E-5</v>
      </c>
      <c r="AJ36" s="73">
        <f t="shared" si="19"/>
        <v>1</v>
      </c>
    </row>
    <row r="37" spans="1:36" x14ac:dyDescent="0.25">
      <c r="A37" s="55" t="s">
        <v>295</v>
      </c>
      <c r="B37" s="50">
        <v>1</v>
      </c>
      <c r="C37" s="56">
        <f>IFERROR(C22/$B37,0)</f>
        <v>244.477856418155</v>
      </c>
      <c r="D37" s="56">
        <f>IFERROR(D22/$B37,0)</f>
        <v>1725.0338485709926</v>
      </c>
      <c r="E37" s="56">
        <f>IFERROR(E22/$B37,0)</f>
        <v>12514955716.541487</v>
      </c>
      <c r="F37" s="56">
        <f t="shared" si="20"/>
        <v>214.1305224351984</v>
      </c>
      <c r="G37" s="64">
        <f>IFERROR(s_RadSpec!$I$22*G22,".")*$B$37</f>
        <v>2.2723939424999998E-4</v>
      </c>
      <c r="H37" s="64">
        <f>IFERROR(s_RadSpec!$G$22*H22,".")*$B$37</f>
        <v>3.2205165160104777E-5</v>
      </c>
      <c r="I37" s="64">
        <f>IFERROR(s_RadSpec!$F$22*I22,".")*$B$37</f>
        <v>4.4390888196728385E-12</v>
      </c>
      <c r="J37" s="73">
        <f t="shared" si="10"/>
        <v>2.2723939424999998E-4</v>
      </c>
      <c r="K37" s="73">
        <f t="shared" si="10"/>
        <v>3.2205165160104777E-5</v>
      </c>
      <c r="L37" s="73">
        <f t="shared" si="10"/>
        <v>4.4390888196728385E-12</v>
      </c>
      <c r="M37" s="73">
        <f t="shared" si="14"/>
        <v>2.5944456384919358E-4</v>
      </c>
      <c r="N37" s="56">
        <f t="shared" ref="N37:AD37" si="23">IFERROR(N22/$B37,0)</f>
        <v>12514955716.541487</v>
      </c>
      <c r="O37" s="56">
        <f t="shared" si="23"/>
        <v>15750037536.412928</v>
      </c>
      <c r="P37" s="56">
        <f t="shared" si="23"/>
        <v>8861103343.2008705</v>
      </c>
      <c r="Q37" s="56">
        <f t="shared" si="23"/>
        <v>9096139581.7846565</v>
      </c>
      <c r="R37" s="56">
        <f t="shared" si="23"/>
        <v>44506816494.688438</v>
      </c>
      <c r="S37" s="64">
        <f>IFERROR(s_RadSpec!$F$22*S22,".")*$B$37</f>
        <v>4.4390888196728385E-12</v>
      </c>
      <c r="T37" s="64">
        <f>IFERROR(s_RadSpec!$M$22*T22,".")*$B$37</f>
        <v>3.5272931808296283E-12</v>
      </c>
      <c r="U37" s="64">
        <f>IFERROR(s_RadSpec!$N$22*U22,".")*$B$37</f>
        <v>6.2695352766230136E-12</v>
      </c>
      <c r="V37" s="64">
        <f>IFERROR(s_RadSpec!$O$22*V22,".")*$B$37</f>
        <v>6.1075360047520449E-12</v>
      </c>
      <c r="W37" s="64">
        <f>IFERROR(s_RadSpec!$K$22*W22,".")*$B$37</f>
        <v>1.2482357619676094E-12</v>
      </c>
      <c r="X37" s="73">
        <f t="shared" si="16"/>
        <v>4.4390888196728385E-12</v>
      </c>
      <c r="Y37" s="73">
        <f t="shared" si="12"/>
        <v>3.5272931808296283E-12</v>
      </c>
      <c r="Z37" s="73">
        <f t="shared" si="12"/>
        <v>6.2695352766230136E-12</v>
      </c>
      <c r="AA37" s="73">
        <f t="shared" si="12"/>
        <v>6.1075360047520449E-12</v>
      </c>
      <c r="AB37" s="73">
        <f t="shared" si="12"/>
        <v>1.2482357619676094E-12</v>
      </c>
      <c r="AC37" s="56">
        <f t="shared" si="23"/>
        <v>5.5604016000055604E-3</v>
      </c>
      <c r="AD37" s="56">
        <f t="shared" si="23"/>
        <v>43166.679509049485</v>
      </c>
      <c r="AE37" s="56">
        <f t="shared" si="17"/>
        <v>5.5604008837572341E-3</v>
      </c>
      <c r="AF37" s="64">
        <f>IFERROR(s_RadSpec!$G$22*AF22,".")*$B$37</f>
        <v>9.9911848093749995</v>
      </c>
      <c r="AG37" s="64">
        <f>IFERROR(s_RadSpec!$J$22*AG22,".")*$B$37</f>
        <v>1.2869880341005476E-6</v>
      </c>
      <c r="AH37" s="73">
        <f t="shared" si="18"/>
        <v>0.99995419809204822</v>
      </c>
      <c r="AI37" s="73">
        <f t="shared" si="18"/>
        <v>1.2869880341005476E-6</v>
      </c>
      <c r="AJ37" s="73">
        <f t="shared" si="19"/>
        <v>0.99995419815099462</v>
      </c>
    </row>
    <row r="38" spans="1:36" x14ac:dyDescent="0.25">
      <c r="A38" s="55" t="s">
        <v>296</v>
      </c>
      <c r="B38" s="50">
        <v>1</v>
      </c>
      <c r="C38" s="56">
        <f>IFERROR(C2/$B38,0)</f>
        <v>201.39364401659481</v>
      </c>
      <c r="D38" s="56">
        <f>IFERROR(D2/$B38,0)</f>
        <v>1579.7913613208443</v>
      </c>
      <c r="E38" s="56">
        <f>IFERROR(E2/$B38,0)</f>
        <v>2051.2286804300215</v>
      </c>
      <c r="F38" s="56">
        <f t="shared" si="20"/>
        <v>164.31402763400447</v>
      </c>
      <c r="G38" s="64">
        <f>IFERROR(s_RadSpec!$I$2*G2,".")*$B$38</f>
        <v>2.75852797E-4</v>
      </c>
      <c r="H38" s="64">
        <f>IFERROR(s_RadSpec!$G$2*H2,".")*$B$38</f>
        <v>3.5166036072985699E-5</v>
      </c>
      <c r="I38" s="64">
        <f>IFERROR(s_RadSpec!$F$2*I2,".")*$B$38</f>
        <v>2.7083767173318482E-5</v>
      </c>
      <c r="J38" s="73">
        <f t="shared" si="10"/>
        <v>2.75852797E-4</v>
      </c>
      <c r="K38" s="73">
        <f t="shared" si="10"/>
        <v>3.5166036072985699E-5</v>
      </c>
      <c r="L38" s="73">
        <f t="shared" si="10"/>
        <v>2.7083767173318482E-5</v>
      </c>
      <c r="M38" s="73">
        <f t="shared" si="14"/>
        <v>3.3810260024630417E-4</v>
      </c>
      <c r="N38" s="56">
        <f t="shared" ref="N38:AD38" si="24">IFERROR(N2/$B38,0)</f>
        <v>2051.2286804300215</v>
      </c>
      <c r="O38" s="56">
        <f t="shared" si="24"/>
        <v>14806.341488526072</v>
      </c>
      <c r="P38" s="56">
        <f t="shared" si="24"/>
        <v>3884.2447303557651</v>
      </c>
      <c r="Q38" s="56">
        <f t="shared" si="24"/>
        <v>2402.7280902312823</v>
      </c>
      <c r="R38" s="56">
        <f t="shared" si="24"/>
        <v>112480.61359788748</v>
      </c>
      <c r="S38" s="64">
        <f>IFERROR(s_RadSpec!$F$2*S2,".")*$B$38</f>
        <v>2.7083767173318482E-5</v>
      </c>
      <c r="T38" s="64">
        <f>IFERROR(s_RadSpec!$M$2*T2,".")*$B$38</f>
        <v>3.7521085166819517E-6</v>
      </c>
      <c r="U38" s="64">
        <f>IFERROR(s_RadSpec!$N$2*U2,".")*$B$38</f>
        <v>1.430265182979642E-5</v>
      </c>
      <c r="V38" s="64">
        <f>IFERROR(s_RadSpec!$O$2*V2,".")*$B$38</f>
        <v>2.312163420649582E-5</v>
      </c>
      <c r="W38" s="64">
        <f>IFERROR(s_RadSpec!$K$2*W2,".")*$B$38</f>
        <v>4.9390733409942364E-7</v>
      </c>
      <c r="X38" s="73">
        <f t="shared" si="16"/>
        <v>2.7083767173318482E-5</v>
      </c>
      <c r="Y38" s="73">
        <f t="shared" si="12"/>
        <v>3.7521085166819517E-6</v>
      </c>
      <c r="Z38" s="73">
        <f t="shared" si="12"/>
        <v>1.430265182979642E-5</v>
      </c>
      <c r="AA38" s="73">
        <f t="shared" si="12"/>
        <v>2.312163420649582E-5</v>
      </c>
      <c r="AB38" s="73">
        <f t="shared" si="12"/>
        <v>4.9390733409942364E-7</v>
      </c>
      <c r="AC38" s="56">
        <f t="shared" si="24"/>
        <v>5.0922330715076833E-3</v>
      </c>
      <c r="AD38" s="56">
        <f t="shared" si="24"/>
        <v>15465.613066734286</v>
      </c>
      <c r="AE38" s="56">
        <f t="shared" si="17"/>
        <v>5.0922313948312389E-3</v>
      </c>
      <c r="AF38" s="64">
        <f>IFERROR(s_RadSpec!$G$2*AF2,".")*$B$38</f>
        <v>10.9097520125</v>
      </c>
      <c r="AG38" s="64">
        <f>IFERROR(s_RadSpec!$J$2*AG2,".")*$B$38</f>
        <v>3.5921628040401365E-6</v>
      </c>
      <c r="AH38" s="73">
        <f t="shared" si="18"/>
        <v>0.99998172089607396</v>
      </c>
      <c r="AI38" s="73">
        <f t="shared" si="18"/>
        <v>3.5921628040401365E-6</v>
      </c>
      <c r="AJ38" s="73">
        <f t="shared" si="19"/>
        <v>0.99998172096173532</v>
      </c>
    </row>
    <row r="39" spans="1:36" x14ac:dyDescent="0.25">
      <c r="A39" s="55" t="s">
        <v>297</v>
      </c>
      <c r="B39" s="50">
        <v>1</v>
      </c>
      <c r="C39" s="56">
        <f>IFERROR(C11/$B39,0)</f>
        <v>0</v>
      </c>
      <c r="D39" s="56">
        <f>IFERROR(D11/$B39,0)</f>
        <v>0</v>
      </c>
      <c r="E39" s="56">
        <f>IFERROR(E11/$B39,0)</f>
        <v>709.42571502794306</v>
      </c>
      <c r="F39" s="56">
        <f t="shared" si="20"/>
        <v>709.42571502794306</v>
      </c>
      <c r="G39" s="64">
        <f>IFERROR(s_RadSpec!$I$11*G11,".")*$B$39</f>
        <v>0</v>
      </c>
      <c r="H39" s="64">
        <f>IFERROR(s_RadSpec!$G$11*H11,".")*$B$39</f>
        <v>0</v>
      </c>
      <c r="I39" s="64">
        <f>IFERROR(s_RadSpec!$F$11*I11,".")*$B$39</f>
        <v>7.8309819933453881E-5</v>
      </c>
      <c r="J39" s="73">
        <f t="shared" si="10"/>
        <v>0</v>
      </c>
      <c r="K39" s="73">
        <f t="shared" si="10"/>
        <v>0</v>
      </c>
      <c r="L39" s="73">
        <f t="shared" si="10"/>
        <v>7.8309819933453881E-5</v>
      </c>
      <c r="M39" s="73">
        <f t="shared" si="14"/>
        <v>7.8309819933453881E-5</v>
      </c>
      <c r="N39" s="56">
        <f t="shared" ref="N39:AD39" si="25">IFERROR(N11/$B39,0)</f>
        <v>709.42571502794306</v>
      </c>
      <c r="O39" s="56">
        <f t="shared" si="25"/>
        <v>3677.4492926136886</v>
      </c>
      <c r="P39" s="56">
        <f t="shared" si="25"/>
        <v>1034.4019530920518</v>
      </c>
      <c r="Q39" s="56">
        <f t="shared" si="25"/>
        <v>688.92942310004071</v>
      </c>
      <c r="R39" s="56">
        <f t="shared" si="25"/>
        <v>6947.44336982204</v>
      </c>
      <c r="S39" s="64">
        <f>IFERROR(s_RadSpec!$F$11*S11,".")*$B$39</f>
        <v>7.8309819933453881E-5</v>
      </c>
      <c r="T39" s="64">
        <f>IFERROR(s_RadSpec!$M$11*T11,".")*$B$39</f>
        <v>1.5106938418317433E-5</v>
      </c>
      <c r="U39" s="64">
        <f>IFERROR(s_RadSpec!$N$11*U11,".")*$B$39</f>
        <v>5.370736185670767E-5</v>
      </c>
      <c r="V39" s="64">
        <f>IFERROR(s_RadSpec!$O$11*V11,".")*$B$39</f>
        <v>8.0639610005352815E-5</v>
      </c>
      <c r="W39" s="64">
        <f>IFERROR(s_RadSpec!$K$11*W11,".")*$B$39</f>
        <v>7.9964667637763043E-6</v>
      </c>
      <c r="X39" s="73">
        <f t="shared" si="16"/>
        <v>7.8309819933453881E-5</v>
      </c>
      <c r="Y39" s="73">
        <f t="shared" si="12"/>
        <v>1.5106938418317433E-5</v>
      </c>
      <c r="Z39" s="73">
        <f t="shared" si="12"/>
        <v>5.370736185670767E-5</v>
      </c>
      <c r="AA39" s="73">
        <f t="shared" si="12"/>
        <v>8.0639610005352815E-5</v>
      </c>
      <c r="AB39" s="73">
        <f t="shared" si="12"/>
        <v>7.9964667637763043E-6</v>
      </c>
      <c r="AC39" s="56">
        <f t="shared" si="25"/>
        <v>0</v>
      </c>
      <c r="AD39" s="56">
        <f t="shared" si="25"/>
        <v>6910.1675404557436</v>
      </c>
      <c r="AE39" s="56">
        <f t="shared" si="17"/>
        <v>6910.1675404557436</v>
      </c>
      <c r="AF39" s="64">
        <f>IFERROR(s_RadSpec!$G$11*AF11,".")*$B$39</f>
        <v>0</v>
      </c>
      <c r="AG39" s="64">
        <f>IFERROR(s_RadSpec!$J$11*AG11,".")*$B$39</f>
        <v>8.0396024661850677E-6</v>
      </c>
      <c r="AH39" s="73">
        <f t="shared" si="18"/>
        <v>0</v>
      </c>
      <c r="AI39" s="73">
        <f t="shared" si="18"/>
        <v>8.0396024661850677E-6</v>
      </c>
      <c r="AJ39" s="73">
        <f t="shared" si="19"/>
        <v>8.0396024661850677E-6</v>
      </c>
    </row>
    <row r="40" spans="1:36" x14ac:dyDescent="0.25">
      <c r="A40" s="55" t="s">
        <v>298</v>
      </c>
      <c r="B40" s="50">
        <v>1</v>
      </c>
      <c r="C40" s="56">
        <f>IFERROR(C4/$B40,0)</f>
        <v>0</v>
      </c>
      <c r="D40" s="56">
        <f>IFERROR(D4/$B40,0)</f>
        <v>0</v>
      </c>
      <c r="E40" s="56">
        <f>IFERROR(E4/$B40,0)</f>
        <v>44095.638253448538</v>
      </c>
      <c r="F40" s="56">
        <f t="shared" si="20"/>
        <v>44095.638253448538</v>
      </c>
      <c r="G40" s="64">
        <f>IFERROR(s_RadSpec!$I$4*G4,".")*$B$40</f>
        <v>0</v>
      </c>
      <c r="H40" s="64">
        <f>IFERROR(s_RadSpec!$G$4*H4,".")*$B$40</f>
        <v>0</v>
      </c>
      <c r="I40" s="64">
        <f>IFERROR(s_RadSpec!$F$4*I4,".")*$B$40</f>
        <v>1.2598751758776335E-6</v>
      </c>
      <c r="J40" s="73">
        <f t="shared" si="10"/>
        <v>0</v>
      </c>
      <c r="K40" s="73">
        <f t="shared" si="10"/>
        <v>0</v>
      </c>
      <c r="L40" s="73">
        <f t="shared" si="10"/>
        <v>1.2598751758776335E-6</v>
      </c>
      <c r="M40" s="73">
        <f t="shared" si="14"/>
        <v>1.2598751758776335E-6</v>
      </c>
      <c r="N40" s="56">
        <f t="shared" ref="N40:AD40" si="26">IFERROR(N4/$B40,0)</f>
        <v>44095.638253448538</v>
      </c>
      <c r="O40" s="56">
        <f t="shared" si="26"/>
        <v>310940.3555484417</v>
      </c>
      <c r="P40" s="56">
        <f t="shared" si="26"/>
        <v>81084.150028887088</v>
      </c>
      <c r="Q40" s="56">
        <f t="shared" si="26"/>
        <v>48056.821361261245</v>
      </c>
      <c r="R40" s="56">
        <f t="shared" si="26"/>
        <v>585591.17437149212</v>
      </c>
      <c r="S40" s="64">
        <f>IFERROR(s_RadSpec!$F$4*S4,".")*$B$40</f>
        <v>1.2598751758776335E-6</v>
      </c>
      <c r="T40" s="64">
        <f>IFERROR(s_RadSpec!$M$4*T4,".")*$B$40</f>
        <v>1.7866770590781361E-7</v>
      </c>
      <c r="U40" s="64">
        <f>IFERROR(s_RadSpec!$N$4*U4,".")*$B$40</f>
        <v>6.8515240007088855E-7</v>
      </c>
      <c r="V40" s="64">
        <f>IFERROR(s_RadSpec!$O$4*V4,".")*$B$40</f>
        <v>1.1560273531695345E-6</v>
      </c>
      <c r="W40" s="64">
        <f>IFERROR(s_RadSpec!$K$4*W4,".")*$B$40</f>
        <v>9.4869940722085697E-8</v>
      </c>
      <c r="X40" s="73">
        <f t="shared" si="16"/>
        <v>1.2598751758776335E-6</v>
      </c>
      <c r="Y40" s="73">
        <f t="shared" si="12"/>
        <v>1.7866770590781361E-7</v>
      </c>
      <c r="Z40" s="73">
        <f t="shared" si="12"/>
        <v>6.8515240007088855E-7</v>
      </c>
      <c r="AA40" s="73">
        <f t="shared" si="12"/>
        <v>1.1560273531695345E-6</v>
      </c>
      <c r="AB40" s="73">
        <f t="shared" si="12"/>
        <v>9.4869940722085697E-8</v>
      </c>
      <c r="AC40" s="56">
        <f t="shared" si="26"/>
        <v>0</v>
      </c>
      <c r="AD40" s="56">
        <f t="shared" si="26"/>
        <v>815829.5888073945</v>
      </c>
      <c r="AE40" s="56">
        <f t="shared" si="17"/>
        <v>815829.5888073945</v>
      </c>
      <c r="AF40" s="64">
        <f>IFERROR(s_RadSpec!$G$4*AF4,".")*$B$40</f>
        <v>0</v>
      </c>
      <c r="AG40" s="64">
        <f>IFERROR(s_RadSpec!$J$4*AG4,".")*$B$40</f>
        <v>6.8096328892915056E-8</v>
      </c>
      <c r="AH40" s="73">
        <f t="shared" si="18"/>
        <v>0</v>
      </c>
      <c r="AI40" s="73">
        <f t="shared" si="18"/>
        <v>6.8096328892915056E-8</v>
      </c>
      <c r="AJ40" s="73">
        <f t="shared" si="19"/>
        <v>6.8096328892915056E-8</v>
      </c>
    </row>
    <row r="41" spans="1:36" x14ac:dyDescent="0.25">
      <c r="A41" s="55" t="s">
        <v>299</v>
      </c>
      <c r="B41" s="57">
        <v>0.99987999999999999</v>
      </c>
      <c r="C41" s="56">
        <f>IFERROR(C8/$B41,0)</f>
        <v>57346.495511840811</v>
      </c>
      <c r="D41" s="56">
        <f>IFERROR(D8/$B41,0)</f>
        <v>609872.65018786862</v>
      </c>
      <c r="E41" s="56">
        <f>IFERROR(E8/$B41,0)</f>
        <v>48.627010521460903</v>
      </c>
      <c r="F41" s="56">
        <f t="shared" si="20"/>
        <v>48.581941835101333</v>
      </c>
      <c r="G41" s="64">
        <f>IFERROR(s_RadSpec!$I$8*G8,".")*$B$41</f>
        <v>9.6876015707933008E-7</v>
      </c>
      <c r="H41" s="64">
        <f>IFERROR(s_RadSpec!$G$8*H8,".")*$B$41</f>
        <v>9.1092787949888451E-8</v>
      </c>
      <c r="I41" s="64">
        <f>IFERROR(s_RadSpec!$F$8*I8,".")*$B$41</f>
        <v>1.1424720418599763E-3</v>
      </c>
      <c r="J41" s="73">
        <f t="shared" si="10"/>
        <v>9.6876015707933008E-7</v>
      </c>
      <c r="K41" s="73">
        <f t="shared" si="10"/>
        <v>9.1092787949888451E-8</v>
      </c>
      <c r="L41" s="73">
        <f t="shared" si="10"/>
        <v>1.1424720418599763E-3</v>
      </c>
      <c r="M41" s="73">
        <f t="shared" si="14"/>
        <v>1.1435318948050054E-3</v>
      </c>
      <c r="N41" s="56">
        <f t="shared" ref="N41:AD41" si="27">IFERROR(N8/$B41,0)</f>
        <v>48.627010521460903</v>
      </c>
      <c r="O41" s="56">
        <f t="shared" si="27"/>
        <v>411.78607051687459</v>
      </c>
      <c r="P41" s="56">
        <f t="shared" si="27"/>
        <v>107.58879036552706</v>
      </c>
      <c r="Q41" s="56">
        <f t="shared" si="27"/>
        <v>65.205562574303855</v>
      </c>
      <c r="R41" s="56">
        <f t="shared" si="27"/>
        <v>746.69567690809401</v>
      </c>
      <c r="S41" s="64">
        <f>IFERROR(s_RadSpec!$F$8*S8,".")*$B$41</f>
        <v>1.1424720418599763E-3</v>
      </c>
      <c r="T41" s="64">
        <f>IFERROR(s_RadSpec!$M$8*T8,".")*$B$41</f>
        <v>1.3491228571735624E-4</v>
      </c>
      <c r="U41" s="64">
        <f>IFERROR(s_RadSpec!$N$8*U8,".")*$B$41</f>
        <v>5.1636420310382635E-4</v>
      </c>
      <c r="V41" s="64">
        <f>IFERROR(s_RadSpec!$O$8*V8,".")*$B$41</f>
        <v>8.5199786347511786E-4</v>
      </c>
      <c r="W41" s="64">
        <f>IFERROR(s_RadSpec!$K$8*W8,".")*$B$41</f>
        <v>7.4401127150007491E-5</v>
      </c>
      <c r="X41" s="73">
        <f t="shared" si="16"/>
        <v>1.1424720418599763E-3</v>
      </c>
      <c r="Y41" s="73">
        <f t="shared" si="12"/>
        <v>1.3491228571735624E-4</v>
      </c>
      <c r="Z41" s="73">
        <f t="shared" si="12"/>
        <v>5.1636420310382635E-4</v>
      </c>
      <c r="AA41" s="73">
        <f t="shared" si="12"/>
        <v>8.5199786347511786E-4</v>
      </c>
      <c r="AB41" s="73">
        <f t="shared" si="12"/>
        <v>7.4401127150007491E-5</v>
      </c>
      <c r="AC41" s="56">
        <f t="shared" si="27"/>
        <v>1.9658378661459035</v>
      </c>
      <c r="AD41" s="56">
        <f t="shared" si="27"/>
        <v>1495.8670835302471</v>
      </c>
      <c r="AE41" s="56">
        <f t="shared" si="17"/>
        <v>1.9632577929876969</v>
      </c>
      <c r="AF41" s="64">
        <f>IFERROR(s_RadSpec!$G$8*AF8,".")*$B$41</f>
        <v>2.826021461725E-2</v>
      </c>
      <c r="AG41" s="64">
        <f>IFERROR(s_RadSpec!$J$8*AG8,".")*$B$41</f>
        <v>3.7138994909153403E-5</v>
      </c>
      <c r="AH41" s="73">
        <f t="shared" si="18"/>
        <v>2.7864629947285002E-2</v>
      </c>
      <c r="AI41" s="73">
        <f t="shared" si="18"/>
        <v>3.7138994909153403E-5</v>
      </c>
      <c r="AJ41" s="73">
        <f t="shared" si="19"/>
        <v>2.7900733407417166E-2</v>
      </c>
    </row>
    <row r="42" spans="1:36" x14ac:dyDescent="0.25">
      <c r="A42" s="55" t="s">
        <v>300</v>
      </c>
      <c r="B42" s="50">
        <v>0.97898250799999997</v>
      </c>
      <c r="C42" s="56">
        <f>IFERROR(C19/$B42,0)</f>
        <v>0</v>
      </c>
      <c r="D42" s="56">
        <f>IFERROR(D19/$B42,0)</f>
        <v>0</v>
      </c>
      <c r="E42" s="56">
        <f>IFERROR(E19/$B42,0)</f>
        <v>108021.53145287668</v>
      </c>
      <c r="F42" s="56">
        <f t="shared" si="20"/>
        <v>108021.53145287668</v>
      </c>
      <c r="G42" s="74">
        <f>IFERROR(s_RadSpec!$I$19*G19,".")*$B$42</f>
        <v>0</v>
      </c>
      <c r="H42" s="74">
        <f>IFERROR(s_RadSpec!$G$19*H19,".")*$B$42</f>
        <v>0</v>
      </c>
      <c r="I42" s="74">
        <f>IFERROR(s_RadSpec!$F$19*I19,".")*$B$42</f>
        <v>5.1429561544621608E-7</v>
      </c>
      <c r="J42" s="73">
        <f t="shared" si="10"/>
        <v>0</v>
      </c>
      <c r="K42" s="73">
        <f t="shared" si="10"/>
        <v>0</v>
      </c>
      <c r="L42" s="73">
        <f t="shared" si="10"/>
        <v>5.1429561544621608E-7</v>
      </c>
      <c r="M42" s="73">
        <f t="shared" si="14"/>
        <v>5.1429561544621608E-7</v>
      </c>
      <c r="N42" s="56">
        <f t="shared" ref="N42:AD42" si="28">IFERROR(N19/$B42,0)</f>
        <v>108021.53145287668</v>
      </c>
      <c r="O42" s="56">
        <f t="shared" si="28"/>
        <v>1071251.464943225</v>
      </c>
      <c r="P42" s="56">
        <f t="shared" si="28"/>
        <v>263683.82922753727</v>
      </c>
      <c r="Q42" s="56">
        <f t="shared" si="28"/>
        <v>141218.09123308066</v>
      </c>
      <c r="R42" s="56">
        <f t="shared" si="28"/>
        <v>1895966.8498678387</v>
      </c>
      <c r="S42" s="74">
        <f>IFERROR(s_RadSpec!$F$19*S19,".")*$B$42</f>
        <v>5.1429561544621608E-7</v>
      </c>
      <c r="T42" s="74">
        <f>IFERROR(s_RadSpec!$M$19*T19,".")*$B$42</f>
        <v>5.1859905743927566E-8</v>
      </c>
      <c r="U42" s="74">
        <f>IFERROR(s_RadSpec!$N$19*U19,".")*$B$42</f>
        <v>2.1068792941436174E-7</v>
      </c>
      <c r="V42" s="74">
        <f>IFERROR(s_RadSpec!$O$19*V19,".")*$B$42</f>
        <v>3.9339860434954036E-7</v>
      </c>
      <c r="W42" s="74">
        <f>IFERROR(s_RadSpec!$K$19*W19,".")*$B$42</f>
        <v>2.9301672655232621E-8</v>
      </c>
      <c r="X42" s="73">
        <f t="shared" si="16"/>
        <v>5.1429561544621608E-7</v>
      </c>
      <c r="Y42" s="73">
        <f t="shared" si="12"/>
        <v>5.1859905743927566E-8</v>
      </c>
      <c r="Z42" s="73">
        <f t="shared" si="12"/>
        <v>2.1068792941436174E-7</v>
      </c>
      <c r="AA42" s="73">
        <f t="shared" si="12"/>
        <v>3.9339860434954036E-7</v>
      </c>
      <c r="AB42" s="73">
        <f t="shared" si="12"/>
        <v>2.9301672655232621E-8</v>
      </c>
      <c r="AC42" s="56">
        <f t="shared" si="28"/>
        <v>0</v>
      </c>
      <c r="AD42" s="56">
        <f t="shared" si="28"/>
        <v>5048376.2083323523</v>
      </c>
      <c r="AE42" s="56">
        <f t="shared" si="17"/>
        <v>5048376.2083323523</v>
      </c>
      <c r="AF42" s="74">
        <f>IFERROR(s_RadSpec!$G$19*AF19,".")*$B$42</f>
        <v>0</v>
      </c>
      <c r="AG42" s="74">
        <f>IFERROR(s_RadSpec!$J$19*AG19,".")*$B$42</f>
        <v>1.1004528527074977E-8</v>
      </c>
      <c r="AH42" s="73">
        <f t="shared" si="18"/>
        <v>0</v>
      </c>
      <c r="AI42" s="73">
        <f t="shared" si="18"/>
        <v>1.1004528527074977E-8</v>
      </c>
      <c r="AJ42" s="73">
        <f t="shared" si="19"/>
        <v>1.1004528527074977E-8</v>
      </c>
    </row>
    <row r="43" spans="1:36" x14ac:dyDescent="0.25">
      <c r="A43" s="55" t="s">
        <v>301</v>
      </c>
      <c r="B43" s="50">
        <v>2.0897492E-2</v>
      </c>
      <c r="C43" s="56">
        <f>IFERROR(C28/$B43,0)</f>
        <v>0</v>
      </c>
      <c r="D43" s="56">
        <f>IFERROR(D28/$B43,0)</f>
        <v>0</v>
      </c>
      <c r="E43" s="56">
        <f>IFERROR(E28/$B43,0)</f>
        <v>60.296907373755609</v>
      </c>
      <c r="F43" s="56">
        <f t="shared" si="20"/>
        <v>60.296907373755609</v>
      </c>
      <c r="G43" s="74">
        <f>IFERROR(s_RadSpec!$I$28*G28,".")*$B$43</f>
        <v>0</v>
      </c>
      <c r="H43" s="74">
        <f>IFERROR(s_RadSpec!$G$28*H28,".")*$B$43</f>
        <v>0</v>
      </c>
      <c r="I43" s="74">
        <f>IFERROR(s_RadSpec!$F$28*I28,".")*$B$43</f>
        <v>9.2135737004947059E-4</v>
      </c>
      <c r="J43" s="73">
        <f t="shared" si="10"/>
        <v>0</v>
      </c>
      <c r="K43" s="73">
        <f t="shared" si="10"/>
        <v>0</v>
      </c>
      <c r="L43" s="73">
        <f t="shared" si="10"/>
        <v>9.2135737004947059E-4</v>
      </c>
      <c r="M43" s="73">
        <f t="shared" si="14"/>
        <v>9.2135737004947059E-4</v>
      </c>
      <c r="N43" s="56">
        <f t="shared" ref="N43:AD43" si="29">IFERROR(N28/$B43,0)</f>
        <v>60.296907373755609</v>
      </c>
      <c r="O43" s="56">
        <f t="shared" si="29"/>
        <v>728.29076125832989</v>
      </c>
      <c r="P43" s="56">
        <f t="shared" si="29"/>
        <v>176.02626392206844</v>
      </c>
      <c r="Q43" s="56">
        <f t="shared" si="29"/>
        <v>95.773474101106245</v>
      </c>
      <c r="R43" s="56">
        <f t="shared" si="29"/>
        <v>1314.1290141825075</v>
      </c>
      <c r="S43" s="74">
        <f>IFERROR(s_RadSpec!$F$28*S28,".")*$B$43</f>
        <v>9.2135737004947059E-4</v>
      </c>
      <c r="T43" s="74">
        <f>IFERROR(s_RadSpec!$M$28*T28,".")*$B$43</f>
        <v>7.6281346620425203E-5</v>
      </c>
      <c r="U43" s="74">
        <f>IFERROR(s_RadSpec!$N$28*U28,".")*$B$43</f>
        <v>3.1560631216143788E-4</v>
      </c>
      <c r="V43" s="74">
        <f>IFERROR(s_RadSpec!$O$28*V28,".")*$B$43</f>
        <v>5.8006666795183421E-4</v>
      </c>
      <c r="W43" s="74">
        <f>IFERROR(s_RadSpec!$K$28*W28,".")*$B$43</f>
        <v>4.2275149091476074E-5</v>
      </c>
      <c r="X43" s="73">
        <f t="shared" si="16"/>
        <v>9.2135737004947059E-4</v>
      </c>
      <c r="Y43" s="73">
        <f t="shared" si="12"/>
        <v>7.6281346620425203E-5</v>
      </c>
      <c r="Z43" s="73">
        <f t="shared" si="12"/>
        <v>3.1560631216143788E-4</v>
      </c>
      <c r="AA43" s="73">
        <f t="shared" si="12"/>
        <v>5.8006666795183421E-4</v>
      </c>
      <c r="AB43" s="73">
        <f t="shared" si="12"/>
        <v>4.2275149091476074E-5</v>
      </c>
      <c r="AC43" s="56">
        <f t="shared" si="29"/>
        <v>0</v>
      </c>
      <c r="AD43" s="56">
        <f t="shared" si="29"/>
        <v>3980.1341468654027</v>
      </c>
      <c r="AE43" s="56">
        <f t="shared" si="17"/>
        <v>3980.1341468654027</v>
      </c>
      <c r="AF43" s="74">
        <f>IFERROR(s_RadSpec!$G$28*AF28,".")*$B$43</f>
        <v>0</v>
      </c>
      <c r="AG43" s="74">
        <f>IFERROR(s_RadSpec!$J$28*AG28,".")*$B$43</f>
        <v>1.3958072253356821E-5</v>
      </c>
      <c r="AH43" s="73">
        <f t="shared" si="18"/>
        <v>0</v>
      </c>
      <c r="AI43" s="73">
        <f t="shared" si="18"/>
        <v>1.3958072253356821E-5</v>
      </c>
      <c r="AJ43" s="73">
        <f t="shared" si="19"/>
        <v>1.3958072253356821E-5</v>
      </c>
    </row>
    <row r="44" spans="1:36" x14ac:dyDescent="0.25">
      <c r="A44" s="55" t="s">
        <v>302</v>
      </c>
      <c r="B44" s="50">
        <v>0.99987999999999999</v>
      </c>
      <c r="C44" s="56">
        <f>IFERROR(C15/$B44,0)</f>
        <v>148927.11107165928</v>
      </c>
      <c r="D44" s="56">
        <f>IFERROR(D15/$B44,0)</f>
        <v>217036530.31596744</v>
      </c>
      <c r="E44" s="56">
        <f>IFERROR(E15/$B44,0)</f>
        <v>0</v>
      </c>
      <c r="F44" s="56">
        <f t="shared" si="20"/>
        <v>148824.9896650287</v>
      </c>
      <c r="G44" s="64">
        <f>IFERROR(s_RadSpec!$I$15*G15,".")*$B$44</f>
        <v>3.7303483294770001E-7</v>
      </c>
      <c r="H44" s="64">
        <f>IFERROR(s_RadSpec!$G$15*H15,".")*$B$44</f>
        <v>2.5597073413918655E-10</v>
      </c>
      <c r="I44" s="64">
        <f>IFERROR(s_RadSpec!$F$15*I15,".")*$B$44</f>
        <v>0</v>
      </c>
      <c r="J44" s="73">
        <f t="shared" si="10"/>
        <v>3.7303483294770001E-7</v>
      </c>
      <c r="K44" s="73">
        <f t="shared" si="10"/>
        <v>2.5597073413918655E-10</v>
      </c>
      <c r="L44" s="73">
        <f t="shared" si="10"/>
        <v>0</v>
      </c>
      <c r="M44" s="73">
        <f t="shared" si="14"/>
        <v>3.7329080368183921E-7</v>
      </c>
      <c r="N44" s="56">
        <f t="shared" ref="N44:AD44" si="30">IFERROR(N15/$B44,0)</f>
        <v>0</v>
      </c>
      <c r="O44" s="56">
        <f t="shared" si="30"/>
        <v>0</v>
      </c>
      <c r="P44" s="56">
        <f t="shared" si="30"/>
        <v>0</v>
      </c>
      <c r="Q44" s="56">
        <f t="shared" si="30"/>
        <v>0</v>
      </c>
      <c r="R44" s="56">
        <f t="shared" si="30"/>
        <v>0</v>
      </c>
      <c r="S44" s="64">
        <f>IFERROR(s_RadSpec!$F$15*S15,".")*$B$44</f>
        <v>0</v>
      </c>
      <c r="T44" s="64">
        <f>IFERROR(s_RadSpec!$M$15*T15,".")*$B$44</f>
        <v>0</v>
      </c>
      <c r="U44" s="64">
        <f>IFERROR(s_RadSpec!$N$15*U15,".")*$B$44</f>
        <v>0</v>
      </c>
      <c r="V44" s="64">
        <f>IFERROR(s_RadSpec!$O$15*V15,".")*$B$44</f>
        <v>0</v>
      </c>
      <c r="W44" s="64">
        <f>IFERROR(s_RadSpec!$K$15*W15,".")*$B$44</f>
        <v>0</v>
      </c>
      <c r="X44" s="73">
        <f t="shared" si="16"/>
        <v>0</v>
      </c>
      <c r="Y44" s="73">
        <f t="shared" si="12"/>
        <v>0</v>
      </c>
      <c r="Z44" s="73">
        <f t="shared" si="12"/>
        <v>0</v>
      </c>
      <c r="AA44" s="73">
        <f t="shared" si="12"/>
        <v>0</v>
      </c>
      <c r="AB44" s="73">
        <f t="shared" si="12"/>
        <v>0</v>
      </c>
      <c r="AC44" s="56">
        <f t="shared" si="30"/>
        <v>699.58642923341756</v>
      </c>
      <c r="AD44" s="56">
        <f t="shared" si="30"/>
        <v>467202.3219793099</v>
      </c>
      <c r="AE44" s="56">
        <f t="shared" si="17"/>
        <v>698.54043826143766</v>
      </c>
      <c r="AF44" s="64">
        <f>IFERROR(s_RadSpec!$G$15*AF15,".")*$B$44</f>
        <v>7.941120307447251E-5</v>
      </c>
      <c r="AG44" s="64">
        <f>IFERROR(s_RadSpec!$J$15*AG15,".")*$B$44</f>
        <v>1.1890993984071047E-7</v>
      </c>
      <c r="AH44" s="73">
        <f t="shared" si="18"/>
        <v>7.941120307447251E-5</v>
      </c>
      <c r="AI44" s="73">
        <f t="shared" si="18"/>
        <v>1.1890993984071047E-7</v>
      </c>
      <c r="AJ44" s="73">
        <f t="shared" si="19"/>
        <v>7.9530113014313219E-5</v>
      </c>
    </row>
    <row r="45" spans="1:36" x14ac:dyDescent="0.25">
      <c r="A45" s="52" t="s">
        <v>20</v>
      </c>
      <c r="B45" s="52" t="s">
        <v>289</v>
      </c>
      <c r="C45" s="53">
        <f>IFERROR(IF(AND(C46&lt;&gt;0,C47&lt;&gt;0),1/SUM(1/C46,1/C47),IF(AND(C46&lt;&gt;0,C47=0),1/(1/C46),IF(AND(C46=0,C47&lt;&gt;0),1/(1/C47),IF(AND(C46=0,C47=0),".")))),".")</f>
        <v>572.06110756751025</v>
      </c>
      <c r="D45" s="53">
        <f t="shared" ref="D45:F45" si="31">IFERROR(IF(AND(D46&lt;&gt;0,D47&lt;&gt;0),1/SUM(1/D46,1/D47),IF(AND(D46&lt;&gt;0,D47=0),1/(1/D46),IF(AND(D46=0,D47&lt;&gt;0),1/(1/D47),IF(AND(D46=0,D47=0),".")))),".")</f>
        <v>401183.85886174074</v>
      </c>
      <c r="E45" s="53">
        <f t="shared" si="31"/>
        <v>8.3701377374066155</v>
      </c>
      <c r="F45" s="54">
        <f t="shared" si="31"/>
        <v>8.2492661210407867</v>
      </c>
      <c r="G45" s="71"/>
      <c r="H45" s="71"/>
      <c r="I45" s="71"/>
      <c r="J45" s="72">
        <f>IFERROR(IF(SUM(G46:G47)&gt;0.01,1-EXP(-SUM(G46:G47)),SUM(G46:G47)),".")</f>
        <v>9.7113751074999995E-5</v>
      </c>
      <c r="K45" s="72">
        <f>IFERROR(IF(SUM(H46:H47)&gt;0.01,1-EXP(-SUM(H46:H47)),SUM(H46:H47)),".")</f>
        <v>1.3847765500243074E-7</v>
      </c>
      <c r="L45" s="72">
        <f>IFERROR(IF(SUM(I46:I47)&gt;0.01,1-EXP(-SUM(I46:I47)),SUM(I46:I47)),".")</f>
        <v>6.6372862362493266E-3</v>
      </c>
      <c r="M45" s="72">
        <f>IFERROR(IF(SUM(G46:I47)&gt;0.01,1-EXP(-SUM(G46:I47)),SUM(G46:I47)),".")</f>
        <v>6.7345384649793293E-3</v>
      </c>
      <c r="N45" s="53">
        <f t="shared" ref="N45:AE45" si="32">IFERROR(IF(AND(N46&lt;&gt;0,N47&lt;&gt;0),1/SUM(1/N46,1/N47),IF(AND(N46&lt;&gt;0,N47=0),1/(1/N46),IF(AND(N46=0,N47&lt;&gt;0),1/(1/N47),IF(AND(N46=0,N47=0),".")))),".")</f>
        <v>8.3701377374066155</v>
      </c>
      <c r="O45" s="53">
        <f t="shared" si="32"/>
        <v>76.646785899179548</v>
      </c>
      <c r="P45" s="53">
        <f t="shared" si="32"/>
        <v>19.208749778479916</v>
      </c>
      <c r="Q45" s="53">
        <f t="shared" si="32"/>
        <v>10.244603505825365</v>
      </c>
      <c r="R45" s="53">
        <f t="shared" si="32"/>
        <v>131.39989602473489</v>
      </c>
      <c r="S45" s="71"/>
      <c r="T45" s="71"/>
      <c r="U45" s="71"/>
      <c r="V45" s="71"/>
      <c r="W45" s="71"/>
      <c r="X45" s="72">
        <f>IFERROR(IF(SUM(S46:S47)&gt;0.01,1-EXP(-SUM(S46:S47)),SUM(S46:S47)),".")</f>
        <v>6.6372862362493266E-3</v>
      </c>
      <c r="Y45" s="72">
        <f t="shared" ref="Y45:AB45" si="33">IFERROR(IF(SUM(T46:T47)&gt;0.01,1-EXP(-SUM(T46:T47)),SUM(T46:T47)),".")</f>
        <v>7.2481839059861553E-4</v>
      </c>
      <c r="Z45" s="72">
        <f t="shared" si="33"/>
        <v>2.8921715697624297E-3</v>
      </c>
      <c r="AA45" s="72">
        <f t="shared" si="33"/>
        <v>5.422855063976841E-3</v>
      </c>
      <c r="AB45" s="72">
        <f t="shared" si="33"/>
        <v>4.2279333302929151E-4</v>
      </c>
      <c r="AC45" s="53">
        <f t="shared" si="32"/>
        <v>1.29315918789603</v>
      </c>
      <c r="AD45" s="53">
        <f t="shared" si="32"/>
        <v>334.26324663385128</v>
      </c>
      <c r="AE45" s="54">
        <f t="shared" si="32"/>
        <v>1.2881756421903692</v>
      </c>
      <c r="AF45" s="71"/>
      <c r="AG45" s="71"/>
      <c r="AH45" s="72">
        <f>IFERROR(IF(SUM(AF46:AF47)&gt;0.01,1-EXP(-SUM(AF46:AF47)),SUM(AF46:AF47)),".")</f>
        <v>4.2050945553530394E-2</v>
      </c>
      <c r="AI45" s="72">
        <f>IFERROR(IF(SUM(AG46:AG47)&gt;0.01,1-EXP(-SUM(AG46:AG47)),SUM(AG46:AG47)),".")</f>
        <v>1.6620134148596482E-4</v>
      </c>
      <c r="AJ45" s="72">
        <f>IFERROR(IF(SUM(AF46:AG47)&gt;0.01,1-EXP(-SUM(AF46:AG47)),SUM(AF46:AG47)),".")</f>
        <v>4.2210144741528843E-2</v>
      </c>
    </row>
    <row r="46" spans="1:36" x14ac:dyDescent="0.25">
      <c r="A46" s="55" t="s">
        <v>303</v>
      </c>
      <c r="B46" s="50">
        <v>1</v>
      </c>
      <c r="C46" s="56">
        <f>IFERROR(C10/$B46,0)</f>
        <v>572.06110756751025</v>
      </c>
      <c r="D46" s="56">
        <f>IFERROR(D10/$B46,0)</f>
        <v>401183.85886174068</v>
      </c>
      <c r="E46" s="56">
        <f>IFERROR(E10/$B46,0)</f>
        <v>45043.189346158862</v>
      </c>
      <c r="F46" s="56">
        <f t="shared" si="20"/>
        <v>564.09261551981729</v>
      </c>
      <c r="G46" s="64">
        <f>IFERROR(s_RadSpec!$I$10*G10,".")*$B$46</f>
        <v>9.7113751074999995E-5</v>
      </c>
      <c r="H46" s="64">
        <f>IFERROR(s_RadSpec!$G$10*H10,".")*$B$46</f>
        <v>1.3847765500243074E-7</v>
      </c>
      <c r="I46" s="64">
        <f>IFERROR(s_RadSpec!$F$10*I10,".")*$B$46</f>
        <v>1.2333718106206335E-6</v>
      </c>
      <c r="J46" s="73">
        <f t="shared" ref="J46:L47" si="34">IFERROR(IF(G46&gt;0.01,1-EXP(-G46),G46),".")</f>
        <v>9.7113751074999995E-5</v>
      </c>
      <c r="K46" s="73">
        <f t="shared" si="34"/>
        <v>1.3847765500243074E-7</v>
      </c>
      <c r="L46" s="73">
        <f t="shared" si="34"/>
        <v>1.2333718106206335E-6</v>
      </c>
      <c r="M46" s="73">
        <f t="shared" ref="M46:M47" si="35">IFERROR(IF(SUM(G46:I46)&gt;0.01,1-EXP(-SUM(G46:I46)),SUM(G46:I46)),".")</f>
        <v>9.8485600540623052E-5</v>
      </c>
      <c r="N46" s="56">
        <f t="shared" ref="N46:AD46" si="36">IFERROR(N10/$B46,0)</f>
        <v>45043.189346158862</v>
      </c>
      <c r="O46" s="56">
        <f t="shared" si="36"/>
        <v>201453.37408933809</v>
      </c>
      <c r="P46" s="56">
        <f t="shared" si="36"/>
        <v>65277.528591987262</v>
      </c>
      <c r="Q46" s="56">
        <f t="shared" si="36"/>
        <v>46733.764038253066</v>
      </c>
      <c r="R46" s="56">
        <f t="shared" si="36"/>
        <v>117745.0633625421</v>
      </c>
      <c r="S46" s="64">
        <f>IFERROR(s_RadSpec!$F$10*S10,".")*$B46</f>
        <v>1.2333718106206335E-6</v>
      </c>
      <c r="T46" s="64">
        <f>IFERROR(s_RadSpec!$M$10*T10,".")*$B46</f>
        <v>2.7577100781326771E-7</v>
      </c>
      <c r="U46" s="64">
        <f>IFERROR(s_RadSpec!$N$10*U10,".")*$B46</f>
        <v>8.5105856790692447E-7</v>
      </c>
      <c r="V46" s="64">
        <f>IFERROR(s_RadSpec!$O$10*V10,".")*$B46</f>
        <v>1.1887550926676154E-6</v>
      </c>
      <c r="W46" s="64">
        <f>IFERROR(s_RadSpec!$K$10*W10,".")*$B46</f>
        <v>4.7182445202771492E-7</v>
      </c>
      <c r="X46" s="73">
        <f t="shared" ref="X46:AB47" si="37">IFERROR(IF(S46&gt;0.01,1-EXP(-S46),S46),".")</f>
        <v>1.2333718106206335E-6</v>
      </c>
      <c r="Y46" s="73">
        <f t="shared" si="37"/>
        <v>2.7577100781326771E-7</v>
      </c>
      <c r="Z46" s="73">
        <f t="shared" si="37"/>
        <v>8.5105856790692447E-7</v>
      </c>
      <c r="AA46" s="73">
        <f t="shared" si="37"/>
        <v>1.1887550926676154E-6</v>
      </c>
      <c r="AB46" s="73">
        <f t="shared" si="37"/>
        <v>4.7182445202771492E-7</v>
      </c>
      <c r="AC46" s="56">
        <f t="shared" si="36"/>
        <v>1.29315918789603</v>
      </c>
      <c r="AD46" s="56">
        <f t="shared" si="36"/>
        <v>490671.60880790063</v>
      </c>
      <c r="AE46" s="56">
        <f t="shared" ref="AE46:AE47" si="38">IFERROR(IF(AND(AC46&lt;&gt;0,AD46&lt;&gt;0),1/((1/AC46)+(1/AD46)),IF(AND(AC46&lt;&gt;0,AD46=0),1/((1/AC46)),IF(AND(AC46=0,AD46&lt;&gt;0),1/((1/AD46)),IF(AND(AC46=0,AD46=0),0)))),0)</f>
        <v>1.2931557797993558</v>
      </c>
      <c r="AF46" s="64">
        <f>IFERROR(s_RadSpec!$G$10*AF10,".")*$B$46</f>
        <v>4.29606815E-2</v>
      </c>
      <c r="AG46" s="64">
        <f>IFERROR(s_RadSpec!$J$10*AG10,".")*$B$46</f>
        <v>1.1322236502530136E-7</v>
      </c>
      <c r="AH46" s="73">
        <f>IFERROR(IF(AF46&gt;0.01,1-EXP(-AF46),AF46),".")</f>
        <v>4.2050945553530394E-2</v>
      </c>
      <c r="AI46" s="73">
        <f>IFERROR(IF(AG46&gt;0.01,1-EXP(-AG46),AG46),".")</f>
        <v>1.1322236502530136E-7</v>
      </c>
      <c r="AJ46" s="73">
        <f>IFERROR(IF(SUM(AF46:AG46)&gt;0.01,1-EXP(-SUM(AF46:AG46)),SUM(AF46:AG46)),".")</f>
        <v>4.2051054014781708E-2</v>
      </c>
    </row>
    <row r="47" spans="1:36" x14ac:dyDescent="0.25">
      <c r="A47" s="55" t="s">
        <v>304</v>
      </c>
      <c r="B47" s="58">
        <v>0.94399</v>
      </c>
      <c r="C47" s="56">
        <f>IFERROR(C6/$B$47,0)</f>
        <v>0</v>
      </c>
      <c r="D47" s="56">
        <f>IFERROR(D6/$B$47,0)</f>
        <v>0</v>
      </c>
      <c r="E47" s="56">
        <f>IFERROR(E6/$B$47,0)</f>
        <v>8.3716934049317562</v>
      </c>
      <c r="F47" s="56">
        <f t="shared" si="20"/>
        <v>8.3716934049317562</v>
      </c>
      <c r="G47" s="64">
        <f>IFERROR(s_RadSpec!$I$6*G6,".")*$B$47</f>
        <v>0</v>
      </c>
      <c r="H47" s="64">
        <f>IFERROR(s_RadSpec!$G$6*H6,".")*$B$47</f>
        <v>0</v>
      </c>
      <c r="I47" s="64">
        <f>IFERROR(s_RadSpec!$F$6*I6,".")*$B$47</f>
        <v>6.6360528644387063E-3</v>
      </c>
      <c r="J47" s="73">
        <f t="shared" si="34"/>
        <v>0</v>
      </c>
      <c r="K47" s="73">
        <f t="shared" si="34"/>
        <v>0</v>
      </c>
      <c r="L47" s="73">
        <f t="shared" si="34"/>
        <v>6.6360528644387063E-3</v>
      </c>
      <c r="M47" s="73">
        <f t="shared" si="35"/>
        <v>6.6360528644387063E-3</v>
      </c>
      <c r="N47" s="56">
        <f t="shared" ref="N47:AD47" si="39">IFERROR(N6/$B$47,0)</f>
        <v>8.3716934049317562</v>
      </c>
      <c r="O47" s="56">
        <f t="shared" si="39"/>
        <v>76.675958732939151</v>
      </c>
      <c r="P47" s="56">
        <f t="shared" si="39"/>
        <v>19.21440386318428</v>
      </c>
      <c r="Q47" s="56">
        <f t="shared" si="39"/>
        <v>10.246849738606228</v>
      </c>
      <c r="R47" s="56">
        <f t="shared" si="39"/>
        <v>131.54669812379734</v>
      </c>
      <c r="S47" s="64">
        <f>IFERROR(s_RadSpec!$F$6*S6,".")*$B47</f>
        <v>6.6360528644387063E-3</v>
      </c>
      <c r="T47" s="64">
        <f>IFERROR(s_RadSpec!$M$6*T6,".")*$B47</f>
        <v>7.2454261959080228E-4</v>
      </c>
      <c r="U47" s="64">
        <f>IFERROR(s_RadSpec!$N$6*U6,".")*$B47</f>
        <v>2.8913205111945227E-3</v>
      </c>
      <c r="V47" s="64">
        <f>IFERROR(s_RadSpec!$O$6*V6,".")*$B47</f>
        <v>5.4216663088841738E-3</v>
      </c>
      <c r="W47" s="64">
        <f>IFERROR(s_RadSpec!$K$6*W6,".")*$B47</f>
        <v>4.2232150857726377E-4</v>
      </c>
      <c r="X47" s="73">
        <f t="shared" si="37"/>
        <v>6.6360528644387063E-3</v>
      </c>
      <c r="Y47" s="73">
        <f t="shared" si="37"/>
        <v>7.2454261959080228E-4</v>
      </c>
      <c r="Z47" s="73">
        <f t="shared" si="37"/>
        <v>2.8913205111945227E-3</v>
      </c>
      <c r="AA47" s="73">
        <f t="shared" si="37"/>
        <v>5.4216663088841738E-3</v>
      </c>
      <c r="AB47" s="73">
        <f t="shared" si="37"/>
        <v>4.2232150857726377E-4</v>
      </c>
      <c r="AC47" s="56">
        <f t="shared" si="39"/>
        <v>0</v>
      </c>
      <c r="AD47" s="56">
        <f t="shared" si="39"/>
        <v>334.49111407870663</v>
      </c>
      <c r="AE47" s="56">
        <f t="shared" si="38"/>
        <v>334.49111407870663</v>
      </c>
      <c r="AF47" s="64">
        <f>IFERROR(s_RadSpec!$G$6*AF6,".")*$B$47</f>
        <v>0</v>
      </c>
      <c r="AG47" s="64">
        <f>IFERROR(s_RadSpec!$J$6*AG6,".")*$B$47</f>
        <v>1.6608811912093951E-4</v>
      </c>
      <c r="AH47" s="73">
        <f>IFERROR(IF(AF47&gt;0.01,1-EXP(-AF47),AF47),".")</f>
        <v>0</v>
      </c>
      <c r="AI47" s="73">
        <f>IFERROR(IF(AG47&gt;0.01,1-EXP(-AG47),AG47),".")</f>
        <v>1.6608811912093951E-4</v>
      </c>
      <c r="AJ47" s="73">
        <f>IFERROR(IF(SUM(AF47:AG47)&gt;0.01,1-EXP(-SUM(AF47:AG47)),SUM(AF47:AG47)),".")</f>
        <v>1.6608811912093951E-4</v>
      </c>
    </row>
    <row r="48" spans="1:36" x14ac:dyDescent="0.25">
      <c r="A48" s="52" t="s">
        <v>33</v>
      </c>
      <c r="B48" s="52" t="s">
        <v>289</v>
      </c>
      <c r="C48" s="53">
        <f>1/SUM(1/C49,1/C52,1/C54,1/C58,1/C59,1/C61)</f>
        <v>7.7912347698297344</v>
      </c>
      <c r="D48" s="53">
        <f>1/SUM(1/D49,1/D50,1/D51,1/D52,1/D54,1/D58,1/D59,1/D61)</f>
        <v>762.96119979845787</v>
      </c>
      <c r="E48" s="53">
        <f>1/SUM(1/E49,1/E50,1/E52,1/E54,1/E55,1/E56,1/E57,1/E58,1/E59,1/E60,1/E61,1/E62)</f>
        <v>1.6808536667240068</v>
      </c>
      <c r="F48" s="54">
        <f>1/SUM(1/F49,1/F50,1/F51,1/F52,1/F54,1/F55,1/F56,1/F57,1/F58,1/F59,1/F60,1/F61,1/F62)</f>
        <v>1.3800797046527871</v>
      </c>
      <c r="G48" s="71"/>
      <c r="H48" s="71"/>
      <c r="I48" s="71"/>
      <c r="J48" s="72">
        <f>IFERROR(IF(SUM(G49:G62)&gt;0.01,1-EXP(-SUM(G49:G62)),SUM(G49:G62)),".")</f>
        <v>7.130448721058634E-3</v>
      </c>
      <c r="K48" s="72">
        <f>IFERROR(IF(SUM(H49:H62)&gt;0.01,1-EXP(-SUM(H49:H62)),SUM(H49:H62)),".")</f>
        <v>7.2814974096553362E-5</v>
      </c>
      <c r="L48" s="72">
        <f>IFERROR(IF(SUM(I49:I62)&gt;0.01,1-EXP(-SUM(I49:I62)),SUM(I49:I62)),".")</f>
        <v>3.2511419915769113E-2</v>
      </c>
      <c r="M48" s="72">
        <f>IFERROR(IF(SUM(G49:I62)&gt;0.01,1-EXP(-SUM(G49:I62)),SUM(G49:I62)),".")</f>
        <v>3.94554553954235E-2</v>
      </c>
      <c r="N48" s="53">
        <f t="shared" ref="N48:R48" si="40">1/SUM(1/N49,1/N50,1/N52,1/N54,1/N55,1/N56,1/N57,1/N58,1/N59,1/N60,1/N61,1/N62)</f>
        <v>1.6808536667240068</v>
      </c>
      <c r="O48" s="53">
        <f t="shared" si="40"/>
        <v>18.60980865951835</v>
      </c>
      <c r="P48" s="53">
        <f t="shared" si="40"/>
        <v>4.5883379951485592</v>
      </c>
      <c r="Q48" s="53">
        <f t="shared" si="40"/>
        <v>2.3703896715339843</v>
      </c>
      <c r="R48" s="53">
        <f t="shared" si="40"/>
        <v>34.122506303306892</v>
      </c>
      <c r="S48" s="71"/>
      <c r="T48" s="71"/>
      <c r="U48" s="71"/>
      <c r="V48" s="71"/>
      <c r="W48" s="71"/>
      <c r="X48" s="72">
        <f>IFERROR(IF(SUM(S49:S62)&gt;0.01,1-EXP(-SUM(S49:S62)),SUM(S49:S62)),".")</f>
        <v>3.2511419915769113E-2</v>
      </c>
      <c r="Y48" s="72">
        <f t="shared" ref="Y48:AB48" si="41">IFERROR(IF(SUM(T49:T62)&gt;0.01,1-EXP(-SUM(T49:T62)),SUM(T49:T62)),".")</f>
        <v>2.9852536915571837E-3</v>
      </c>
      <c r="Z48" s="72">
        <f t="shared" si="41"/>
        <v>1.2034864693701297E-2</v>
      </c>
      <c r="AA48" s="72">
        <f t="shared" si="41"/>
        <v>2.3164559684394903E-2</v>
      </c>
      <c r="AB48" s="72">
        <f t="shared" si="41"/>
        <v>1.6281043222963964E-3</v>
      </c>
      <c r="AC48" s="53">
        <f>1/SUM(1/AC49,1/AC50,1/AC51,1/AC52,1/AC54,1/AC58,1/AC59,1/AC61)</f>
        <v>2.4592970622668428E-3</v>
      </c>
      <c r="AD48" s="53">
        <f t="shared" ref="AD48:AE48" si="42">1/SUM(1/AD49,1/AD50,1/AD51,1/AD52,1/AD53,1/AD54,1/AD55,1/AD56,1/AD57,1/AD58,1/AD59,1/AD60,1/AD61,1/AD62)</f>
        <v>102.7300960185574</v>
      </c>
      <c r="AE48" s="54">
        <f t="shared" si="42"/>
        <v>2.4592381895753002E-3</v>
      </c>
      <c r="AF48" s="71"/>
      <c r="AG48" s="71"/>
      <c r="AH48" s="72">
        <f>IFERROR(IF(SUM(AF49:AF62)&gt;0.01,1-EXP(-SUM(AF49:AF62)),SUM(AF49:AF62)),".")</f>
        <v>0.99999999984533938</v>
      </c>
      <c r="AI48" s="72">
        <f>IFERROR(IF(SUM(AG49:AG62)&gt;0.01,1-EXP(-SUM(AG49:AG62)),SUM(AG49:AG62)),".")</f>
        <v>5.4078602233530886E-4</v>
      </c>
      <c r="AJ48" s="72">
        <f>IFERROR(IF(SUM(AF49:AG62)&gt;0.01,1-EXP(-SUM(AF49:AG62)),SUM(AF49:AG62)),".")</f>
        <v>0.99999999984542309</v>
      </c>
    </row>
    <row r="49" spans="1:36" x14ac:dyDescent="0.25">
      <c r="A49" s="55" t="s">
        <v>305</v>
      </c>
      <c r="B49" s="50">
        <v>1</v>
      </c>
      <c r="C49" s="56">
        <f>IFERROR(C23/$B49,0)</f>
        <v>61.733730075438615</v>
      </c>
      <c r="D49" s="56">
        <f>IFERROR(D23/$B49,0)</f>
        <v>1602.6267160836946</v>
      </c>
      <c r="E49" s="56">
        <f>IFERROR(E23/$B49,0)</f>
        <v>700.43407599423983</v>
      </c>
      <c r="F49" s="56">
        <f t="shared" si="20"/>
        <v>54.793734733909069</v>
      </c>
      <c r="G49" s="64">
        <f>IFERROR(s_RadSpec!$I$23*G23,".")*$B$49</f>
        <v>8.9991322299999999E-4</v>
      </c>
      <c r="H49" s="64">
        <f>IFERROR(s_RadSpec!$G$23*H23,".")*$B$49</f>
        <v>3.4664965610805852E-5</v>
      </c>
      <c r="I49" s="64">
        <f>IFERROR(s_RadSpec!$F$23*I23,".")*$B$49</f>
        <v>7.9315101740505379E-5</v>
      </c>
      <c r="J49" s="73">
        <f t="shared" ref="J49:L62" si="43">IFERROR(IF(G49&gt;0.01,1-EXP(-G49),G49),".")</f>
        <v>8.9991322299999999E-4</v>
      </c>
      <c r="K49" s="73">
        <f t="shared" si="43"/>
        <v>3.4664965610805852E-5</v>
      </c>
      <c r="L49" s="73">
        <f t="shared" si="43"/>
        <v>7.9315101740505379E-5</v>
      </c>
      <c r="M49" s="73">
        <f t="shared" ref="M49:M62" si="44">IFERROR(IF(SUM(G49:I49)&gt;0.01,1-EXP(-SUM(G49:I49)),SUM(G49:I49)),".")</f>
        <v>1.0138932903513112E-3</v>
      </c>
      <c r="N49" s="56">
        <f t="shared" ref="N49:AD49" si="45">IFERROR(N23/$B49,0)</f>
        <v>700.43407599423983</v>
      </c>
      <c r="O49" s="56">
        <f t="shared" si="45"/>
        <v>4919.1033953105134</v>
      </c>
      <c r="P49" s="56">
        <f t="shared" si="45"/>
        <v>1272.2160963188746</v>
      </c>
      <c r="Q49" s="56">
        <f t="shared" si="45"/>
        <v>742.28079282573026</v>
      </c>
      <c r="R49" s="56">
        <f t="shared" si="45"/>
        <v>7850.5422140040164</v>
      </c>
      <c r="S49" s="64">
        <f>IFERROR(s_RadSpec!$F$23*S23,".")*$B$49</f>
        <v>7.9315101740505379E-5</v>
      </c>
      <c r="T49" s="64">
        <f>IFERROR(s_RadSpec!$M$23*T23,".")*$B$49</f>
        <v>1.1293724798092626E-5</v>
      </c>
      <c r="U49" s="64">
        <f>IFERROR(s_RadSpec!$N$23*U23,".")*$B$49</f>
        <v>4.3667895855701701E-5</v>
      </c>
      <c r="V49" s="64">
        <f>IFERROR(s_RadSpec!$O$23*V23,".")*$B$49</f>
        <v>7.4843644799849976E-5</v>
      </c>
      <c r="W49" s="64">
        <f>IFERROR(s_RadSpec!$K$23*W23,".")*$B$49</f>
        <v>7.0765812711508562E-6</v>
      </c>
      <c r="X49" s="73">
        <f t="shared" ref="X49:AB62" si="46">IFERROR(IF(S49&gt;0.01,1-EXP(-S49),S49),".")</f>
        <v>7.9315101740505379E-5</v>
      </c>
      <c r="Y49" s="73">
        <f t="shared" si="46"/>
        <v>1.1293724798092626E-5</v>
      </c>
      <c r="Z49" s="73">
        <f t="shared" si="46"/>
        <v>4.3667895855701701E-5</v>
      </c>
      <c r="AA49" s="73">
        <f t="shared" si="46"/>
        <v>7.4843644799849976E-5</v>
      </c>
      <c r="AB49" s="73">
        <f t="shared" si="46"/>
        <v>7.0765812711508562E-6</v>
      </c>
      <c r="AC49" s="56">
        <f t="shared" si="45"/>
        <v>5.1658395942232992E-3</v>
      </c>
      <c r="AD49" s="56">
        <f t="shared" si="45"/>
        <v>27952.194108318923</v>
      </c>
      <c r="AE49" s="56">
        <f t="shared" ref="AE49:AE62" si="47">IFERROR(IF(AND(AC49&lt;&gt;0,AD49&lt;&gt;0),1/((1/AC49)+(1/AD49)),IF(AND(AC49&lt;&gt;0,AD49=0),1/((1/AC49)),IF(AND(AC49=0,AD49&lt;&gt;0),1/((1/AD49)),IF(AND(AC49=0,AD49=0),0)))),0)</f>
        <v>5.165838639525658E-3</v>
      </c>
      <c r="AF49" s="64">
        <f>IFERROR(s_RadSpec!$G$23*AF23,".")*$B$49</f>
        <v>10.754302178125</v>
      </c>
      <c r="AG49" s="64">
        <f>IFERROR(s_RadSpec!$J$23*AG23,".")*$B$49</f>
        <v>1.9875005083578081E-6</v>
      </c>
      <c r="AH49" s="73">
        <f t="shared" ref="AH49:AI62" si="48">IFERROR(IF(AF49&gt;0.01,1-EXP(-AF49),AF49),".")</f>
        <v>0.99997864665547054</v>
      </c>
      <c r="AI49" s="73">
        <f t="shared" si="48"/>
        <v>1.9875005083578081E-6</v>
      </c>
      <c r="AJ49" s="73">
        <f t="shared" ref="AJ49:AJ62" si="49">IFERROR(IF(SUM(AF49:AG49)&gt;0.01,1-EXP(-SUM(AF49:AG49)),SUM(AF49:AG49)),".")</f>
        <v>0.99997864669791026</v>
      </c>
    </row>
    <row r="50" spans="1:36" x14ac:dyDescent="0.25">
      <c r="A50" s="55" t="s">
        <v>306</v>
      </c>
      <c r="B50" s="50">
        <v>1</v>
      </c>
      <c r="C50" s="56">
        <f>IFERROR(C25/$B50,0)</f>
        <v>0</v>
      </c>
      <c r="D50" s="56">
        <f>IFERROR(D25/$B50,0)</f>
        <v>19791737.037179209</v>
      </c>
      <c r="E50" s="56">
        <f>IFERROR(E25/$B50,0)</f>
        <v>15112.223486896148</v>
      </c>
      <c r="F50" s="56">
        <f t="shared" si="20"/>
        <v>15100.693167474199</v>
      </c>
      <c r="G50" s="64">
        <f>IFERROR(s_RadSpec!$I$25*G25,".")*$B$50</f>
        <v>0</v>
      </c>
      <c r="H50" s="64">
        <f>IFERROR(s_RadSpec!$G$25*H25,".")*$B$50</f>
        <v>2.8069794932925148E-9</v>
      </c>
      <c r="I50" s="64">
        <f>IFERROR(s_RadSpec!$F$25*I25,".")*$B$50</f>
        <v>3.6761632097468568E-6</v>
      </c>
      <c r="J50" s="73">
        <f t="shared" si="43"/>
        <v>0</v>
      </c>
      <c r="K50" s="73">
        <f t="shared" si="43"/>
        <v>2.8069794932925148E-9</v>
      </c>
      <c r="L50" s="73">
        <f t="shared" si="43"/>
        <v>3.6761632097468568E-6</v>
      </c>
      <c r="M50" s="73">
        <f t="shared" si="44"/>
        <v>3.6789701892401491E-6</v>
      </c>
      <c r="N50" s="56">
        <f t="shared" ref="N50:AD50" si="50">IFERROR(N25/$B50,0)</f>
        <v>15112.223486896148</v>
      </c>
      <c r="O50" s="56">
        <f t="shared" si="50"/>
        <v>128406.87702228803</v>
      </c>
      <c r="P50" s="56">
        <f t="shared" si="50"/>
        <v>32639.011626016832</v>
      </c>
      <c r="Q50" s="56">
        <f t="shared" si="50"/>
        <v>19041.93297821924</v>
      </c>
      <c r="R50" s="56">
        <f t="shared" si="50"/>
        <v>234516.85866387293</v>
      </c>
      <c r="S50" s="64">
        <f>IFERROR(s_RadSpec!$F$25*S25,".")*$B$50</f>
        <v>3.6761632097468568E-6</v>
      </c>
      <c r="T50" s="64">
        <f>IFERROR(s_RadSpec!$M$25*T25,".")*$B$50</f>
        <v>4.3264816720335876E-7</v>
      </c>
      <c r="U50" s="64">
        <f>IFERROR(s_RadSpec!$N$25*U25,".")*$B$50</f>
        <v>1.7021042376086118E-6</v>
      </c>
      <c r="V50" s="64">
        <f>IFERROR(s_RadSpec!$O$25*V25,".")*$B$50</f>
        <v>2.9175084306590902E-6</v>
      </c>
      <c r="W50" s="64">
        <f>IFERROR(s_RadSpec!$K$25*W25,".")*$B$50</f>
        <v>2.3689128498700196E-7</v>
      </c>
      <c r="X50" s="73">
        <f t="shared" si="46"/>
        <v>3.6761632097468568E-6</v>
      </c>
      <c r="Y50" s="73">
        <f t="shared" si="46"/>
        <v>4.3264816720335876E-7</v>
      </c>
      <c r="Z50" s="73">
        <f t="shared" si="46"/>
        <v>1.7021042376086118E-6</v>
      </c>
      <c r="AA50" s="73">
        <f t="shared" si="46"/>
        <v>2.9175084306590902E-6</v>
      </c>
      <c r="AB50" s="73">
        <f t="shared" si="46"/>
        <v>2.3689128498700196E-7</v>
      </c>
      <c r="AC50" s="56">
        <f t="shared" si="50"/>
        <v>63.795853269537481</v>
      </c>
      <c r="AD50" s="56">
        <f t="shared" si="50"/>
        <v>490671.60880790063</v>
      </c>
      <c r="AE50" s="56">
        <f t="shared" si="47"/>
        <v>63.78755977602605</v>
      </c>
      <c r="AF50" s="64">
        <f>IFERROR(s_RadSpec!$G$25*AF$25,".")*$B$50</f>
        <v>8.7082462499999997E-4</v>
      </c>
      <c r="AG50" s="64">
        <f>IFERROR(s_RadSpec!$J$25*AG25,".")*$B$50</f>
        <v>1.1322236502530136E-7</v>
      </c>
      <c r="AH50" s="73">
        <f t="shared" si="48"/>
        <v>8.7082462499999997E-4</v>
      </c>
      <c r="AI50" s="73">
        <f t="shared" si="48"/>
        <v>1.1322236502530136E-7</v>
      </c>
      <c r="AJ50" s="73">
        <f t="shared" si="49"/>
        <v>8.7093784736502527E-4</v>
      </c>
    </row>
    <row r="51" spans="1:36" x14ac:dyDescent="0.25">
      <c r="A51" s="55" t="s">
        <v>307</v>
      </c>
      <c r="B51" s="50">
        <v>1</v>
      </c>
      <c r="C51" s="56">
        <f>IFERROR(C21/$B51,0)</f>
        <v>0</v>
      </c>
      <c r="D51" s="56">
        <f>IFERROR(D21/$B51,0)</f>
        <v>3246414.4204869489</v>
      </c>
      <c r="E51" s="56">
        <f>IFERROR(E21/$B51,0)</f>
        <v>0</v>
      </c>
      <c r="F51" s="56">
        <f t="shared" si="20"/>
        <v>3246414.4204869489</v>
      </c>
      <c r="G51" s="64">
        <f>IFERROR(s_RadSpec!$I$21*G21,".")*$B$51</f>
        <v>0</v>
      </c>
      <c r="H51" s="64">
        <f>IFERROR(s_RadSpec!$G$21*H21,".")*$B$51</f>
        <v>1.7112725858230684E-8</v>
      </c>
      <c r="I51" s="64">
        <f>IFERROR(s_RadSpec!$F$21*I21,".")*$B$51</f>
        <v>0</v>
      </c>
      <c r="J51" s="73">
        <f t="shared" si="43"/>
        <v>0</v>
      </c>
      <c r="K51" s="73">
        <f t="shared" si="43"/>
        <v>1.7112725858230684E-8</v>
      </c>
      <c r="L51" s="73">
        <f t="shared" si="43"/>
        <v>0</v>
      </c>
      <c r="M51" s="73">
        <f t="shared" si="44"/>
        <v>1.7112725858230684E-8</v>
      </c>
      <c r="N51" s="56">
        <f t="shared" ref="N51:AD51" si="51">IFERROR(N21/$B51,0)</f>
        <v>0</v>
      </c>
      <c r="O51" s="56">
        <f t="shared" si="51"/>
        <v>0</v>
      </c>
      <c r="P51" s="56">
        <f t="shared" si="51"/>
        <v>0</v>
      </c>
      <c r="Q51" s="56">
        <f t="shared" si="51"/>
        <v>0</v>
      </c>
      <c r="R51" s="56">
        <f t="shared" si="51"/>
        <v>0</v>
      </c>
      <c r="S51" s="64">
        <f>IFERROR(s_RadSpec!$F$21*S21,".")*$B$51</f>
        <v>0</v>
      </c>
      <c r="T51" s="64">
        <f>IFERROR(s_RadSpec!$M$21*T21,".")*$B$51</f>
        <v>0</v>
      </c>
      <c r="U51" s="64">
        <f>IFERROR(s_RadSpec!$N$21*U21,".")*$B$51</f>
        <v>0</v>
      </c>
      <c r="V51" s="64">
        <f>IFERROR(s_RadSpec!$O$21*V21,".")*$B$51</f>
        <v>0</v>
      </c>
      <c r="W51" s="64">
        <f>IFERROR(s_RadSpec!$K$21*W21,".")*$B$51</f>
        <v>0</v>
      </c>
      <c r="X51" s="73">
        <f t="shared" si="46"/>
        <v>0</v>
      </c>
      <c r="Y51" s="73">
        <f t="shared" si="46"/>
        <v>0</v>
      </c>
      <c r="Z51" s="73">
        <f t="shared" si="46"/>
        <v>0</v>
      </c>
      <c r="AA51" s="73">
        <f t="shared" si="46"/>
        <v>0</v>
      </c>
      <c r="AB51" s="73">
        <f t="shared" si="46"/>
        <v>0</v>
      </c>
      <c r="AC51" s="56">
        <f t="shared" si="51"/>
        <v>10.464355788096794</v>
      </c>
      <c r="AD51" s="56">
        <f t="shared" si="51"/>
        <v>20178506989.437328</v>
      </c>
      <c r="AE51" s="56">
        <f t="shared" si="47"/>
        <v>10.464355782670093</v>
      </c>
      <c r="AF51" s="64">
        <f>IFERROR(s_RadSpec!$G$21*AF21,".")*$B$51</f>
        <v>5.3089746874999998E-3</v>
      </c>
      <c r="AG51" s="64">
        <f>IFERROR(s_RadSpec!$J$21*AG21,".")*$B$51</f>
        <v>2.7531769337087667E-12</v>
      </c>
      <c r="AH51" s="73">
        <f t="shared" si="48"/>
        <v>5.3089746874999998E-3</v>
      </c>
      <c r="AI51" s="73">
        <f t="shared" si="48"/>
        <v>2.7531769337087667E-12</v>
      </c>
      <c r="AJ51" s="73">
        <f t="shared" si="49"/>
        <v>5.3089746902531768E-3</v>
      </c>
    </row>
    <row r="52" spans="1:36" x14ac:dyDescent="0.25">
      <c r="A52" s="55" t="s">
        <v>308</v>
      </c>
      <c r="B52" s="58">
        <v>0.99980000000000002</v>
      </c>
      <c r="C52" s="56">
        <f>IFERROR(C17/$B52,0)</f>
        <v>82466.240127302532</v>
      </c>
      <c r="D52" s="56">
        <f>IFERROR(D17/$B52,0)</f>
        <v>580877.57119980734</v>
      </c>
      <c r="E52" s="56">
        <f>IFERROR(E17/$B52,0)</f>
        <v>35.39575898188378</v>
      </c>
      <c r="F52" s="56">
        <f t="shared" si="20"/>
        <v>35.378418246113561</v>
      </c>
      <c r="G52" s="64">
        <f>IFERROR(s_RadSpec!$I$17*G17,".")*$B$52</f>
        <v>6.7366961212540004E-7</v>
      </c>
      <c r="H52" s="64">
        <f>IFERROR(s_RadSpec!$G$17*H17,".")*$B$52</f>
        <v>9.5639774634869593E-8</v>
      </c>
      <c r="I52" s="64">
        <f>IFERROR(s_RadSpec!$F$17*I17,".")*$B$52</f>
        <v>1.569538317526518E-3</v>
      </c>
      <c r="J52" s="73">
        <f t="shared" si="43"/>
        <v>6.7366961212540004E-7</v>
      </c>
      <c r="K52" s="73">
        <f t="shared" si="43"/>
        <v>9.5639774634869593E-8</v>
      </c>
      <c r="L52" s="73">
        <f t="shared" si="43"/>
        <v>1.569538317526518E-3</v>
      </c>
      <c r="M52" s="73">
        <f t="shared" si="44"/>
        <v>1.5703076269132782E-3</v>
      </c>
      <c r="N52" s="56">
        <f t="shared" ref="N52:AD52" si="52">IFERROR(N17/$B52,0)</f>
        <v>35.39575898188378</v>
      </c>
      <c r="O52" s="56">
        <f t="shared" si="52"/>
        <v>271.92215430932947</v>
      </c>
      <c r="P52" s="56">
        <f t="shared" si="52"/>
        <v>73.558691260493887</v>
      </c>
      <c r="Q52" s="56">
        <f t="shared" si="52"/>
        <v>44.252761961428746</v>
      </c>
      <c r="R52" s="56">
        <f t="shared" si="52"/>
        <v>528.13254696956483</v>
      </c>
      <c r="S52" s="64">
        <f>IFERROR(s_RadSpec!$F$17*S17,".")*$B$52</f>
        <v>1.569538317526518E-3</v>
      </c>
      <c r="T52" s="64">
        <f>IFERROR(s_RadSpec!$M$17*T17,".")*$B$52</f>
        <v>2.0430479502895707E-4</v>
      </c>
      <c r="U52" s="64">
        <f>IFERROR(s_RadSpec!$N$17*U17,".")*$B$52</f>
        <v>7.5524725967816245E-4</v>
      </c>
      <c r="V52" s="64">
        <f>IFERROR(s_RadSpec!$O$17*V17,".")*$B$52</f>
        <v>1.2554018673099413E-3</v>
      </c>
      <c r="W52" s="64">
        <f>IFERROR(s_RadSpec!$K$17*W17,".")*$B$52</f>
        <v>1.0519139621062117E-4</v>
      </c>
      <c r="X52" s="73">
        <f t="shared" si="46"/>
        <v>1.569538317526518E-3</v>
      </c>
      <c r="Y52" s="73">
        <f t="shared" si="46"/>
        <v>2.0430479502895707E-4</v>
      </c>
      <c r="Z52" s="73">
        <f t="shared" si="46"/>
        <v>7.5524725967816245E-4</v>
      </c>
      <c r="AA52" s="73">
        <f t="shared" si="46"/>
        <v>1.2554018673099413E-3</v>
      </c>
      <c r="AB52" s="73">
        <f t="shared" si="46"/>
        <v>1.0519139621062117E-4</v>
      </c>
      <c r="AC52" s="56">
        <f t="shared" si="52"/>
        <v>1.872376347271326</v>
      </c>
      <c r="AD52" s="56">
        <f t="shared" si="52"/>
        <v>781.40890061515358</v>
      </c>
      <c r="AE52" s="56">
        <f t="shared" si="47"/>
        <v>1.8679005691710033</v>
      </c>
      <c r="AF52" s="64">
        <f>IFERROR(s_RadSpec!$G$17*AF17,".")*$B$52</f>
        <v>2.9670851205187504E-2</v>
      </c>
      <c r="AG52" s="64">
        <f>IFERROR(s_RadSpec!$J$17*AG17,".")*$B$52</f>
        <v>7.1095939598672423E-5</v>
      </c>
      <c r="AH52" s="73">
        <f t="shared" si="48"/>
        <v>2.9234992899410117E-2</v>
      </c>
      <c r="AI52" s="73">
        <f t="shared" si="48"/>
        <v>7.1095939598672423E-5</v>
      </c>
      <c r="AJ52" s="73">
        <f t="shared" si="49"/>
        <v>2.930400789634735E-2</v>
      </c>
    </row>
    <row r="53" spans="1:36" x14ac:dyDescent="0.25">
      <c r="A53" s="55" t="s">
        <v>309</v>
      </c>
      <c r="B53" s="50">
        <v>2.0000000000000001E-4</v>
      </c>
      <c r="C53" s="56">
        <f>IFERROR(C5/$B53,0)</f>
        <v>0</v>
      </c>
      <c r="D53" s="56">
        <f>IFERROR(D5/$B53,0)</f>
        <v>0</v>
      </c>
      <c r="E53" s="56">
        <f>IFERROR(E5/$B53,0)</f>
        <v>0</v>
      </c>
      <c r="F53" s="56">
        <f t="shared" si="20"/>
        <v>0</v>
      </c>
      <c r="G53" s="64">
        <f>IFERROR(s_RadSpec!$I$5*G5,".")*$B$53</f>
        <v>0</v>
      </c>
      <c r="H53" s="64">
        <f>IFERROR(s_RadSpec!$G$5*H5,".")*$B$53</f>
        <v>0</v>
      </c>
      <c r="I53" s="64">
        <f>IFERROR(s_RadSpec!$F$5*I5,".")*$B$53</f>
        <v>0</v>
      </c>
      <c r="J53" s="73">
        <f t="shared" si="43"/>
        <v>0</v>
      </c>
      <c r="K53" s="73">
        <f t="shared" si="43"/>
        <v>0</v>
      </c>
      <c r="L53" s="73">
        <f t="shared" si="43"/>
        <v>0</v>
      </c>
      <c r="M53" s="73">
        <f t="shared" si="44"/>
        <v>0</v>
      </c>
      <c r="N53" s="56">
        <f t="shared" ref="N53:AD53" si="53">IFERROR(N5/$B53,0)</f>
        <v>0</v>
      </c>
      <c r="O53" s="56">
        <f t="shared" si="53"/>
        <v>0</v>
      </c>
      <c r="P53" s="56">
        <f t="shared" si="53"/>
        <v>0</v>
      </c>
      <c r="Q53" s="56">
        <f t="shared" si="53"/>
        <v>0</v>
      </c>
      <c r="R53" s="56">
        <f t="shared" si="53"/>
        <v>0</v>
      </c>
      <c r="S53" s="64">
        <f>IFERROR(s_RadSpec!$F$5*S5,".")*$B$53</f>
        <v>0</v>
      </c>
      <c r="T53" s="64">
        <f>IFERROR(s_RadSpec!$M$5*T5,".")*$B$53</f>
        <v>0</v>
      </c>
      <c r="U53" s="64">
        <f>IFERROR(s_RadSpec!$N$5*U5,".")*$B$53</f>
        <v>0</v>
      </c>
      <c r="V53" s="64">
        <f>IFERROR(s_RadSpec!$O$5*V5,".")*$B$53</f>
        <v>0</v>
      </c>
      <c r="W53" s="64">
        <f>IFERROR(s_RadSpec!$K$5*W5,".")*$B$53</f>
        <v>0</v>
      </c>
      <c r="X53" s="73">
        <f t="shared" si="46"/>
        <v>0</v>
      </c>
      <c r="Y53" s="73">
        <f t="shared" si="46"/>
        <v>0</v>
      </c>
      <c r="Z53" s="73">
        <f t="shared" si="46"/>
        <v>0</v>
      </c>
      <c r="AA53" s="73">
        <f t="shared" si="46"/>
        <v>0</v>
      </c>
      <c r="AB53" s="73">
        <f t="shared" si="46"/>
        <v>0</v>
      </c>
      <c r="AC53" s="56">
        <f t="shared" si="53"/>
        <v>0</v>
      </c>
      <c r="AD53" s="56">
        <f t="shared" si="53"/>
        <v>129173018227.83745</v>
      </c>
      <c r="AE53" s="56">
        <f t="shared" si="47"/>
        <v>129173018227.83746</v>
      </c>
      <c r="AF53" s="64">
        <f>IFERROR(s_RadSpec!$G$5*AF5,".")*$B$53</f>
        <v>0</v>
      </c>
      <c r="AG53" s="64">
        <f>IFERROR(s_RadSpec!$J$5*AG5,".")*$B$53</f>
        <v>4.3008207721841092E-13</v>
      </c>
      <c r="AH53" s="73">
        <f t="shared" si="48"/>
        <v>0</v>
      </c>
      <c r="AI53" s="73">
        <f t="shared" si="48"/>
        <v>4.3008207721841092E-13</v>
      </c>
      <c r="AJ53" s="73">
        <f t="shared" si="49"/>
        <v>4.3008207721841092E-13</v>
      </c>
    </row>
    <row r="54" spans="1:36" x14ac:dyDescent="0.25">
      <c r="A54" s="55" t="s">
        <v>310</v>
      </c>
      <c r="B54" s="50">
        <v>0.99999979999999999</v>
      </c>
      <c r="C54" s="56">
        <f>IFERROR(C9/$B54,0)</f>
        <v>123467.48484437421</v>
      </c>
      <c r="D54" s="56">
        <f>IFERROR(D9/$B54,0)</f>
        <v>730180.73575732182</v>
      </c>
      <c r="E54" s="56">
        <f>IFERROR(E9/$B54,0)</f>
        <v>1.7702048926630676</v>
      </c>
      <c r="F54" s="56">
        <f t="shared" si="20"/>
        <v>1.770175221418631</v>
      </c>
      <c r="G54" s="64">
        <f>IFERROR(s_RadSpec!$I$9*G9,".")*$B$54</f>
        <v>4.4995652150867766E-7</v>
      </c>
      <c r="H54" s="64">
        <f>IFERROR(s_RadSpec!$G$9*H9,".")*$B$54</f>
        <v>7.608390262772407E-8</v>
      </c>
      <c r="I54" s="64">
        <f>IFERROR(s_RadSpec!$F$9*I9,".")*$B$54</f>
        <v>3.1383372755468979E-2</v>
      </c>
      <c r="J54" s="73">
        <f t="shared" si="43"/>
        <v>4.4995652150867766E-7</v>
      </c>
      <c r="K54" s="73">
        <f t="shared" si="43"/>
        <v>7.608390262772407E-8</v>
      </c>
      <c r="L54" s="73">
        <f t="shared" si="43"/>
        <v>3.0896026210711525E-2</v>
      </c>
      <c r="M54" s="73">
        <f t="shared" si="44"/>
        <v>3.0896535998442887E-2</v>
      </c>
      <c r="N54" s="56">
        <f t="shared" ref="N54:AD54" si="54">IFERROR(N9/$B54,0)</f>
        <v>1.7702048926630676</v>
      </c>
      <c r="O54" s="56">
        <f t="shared" si="54"/>
        <v>20.075264902486705</v>
      </c>
      <c r="P54" s="56">
        <f t="shared" si="54"/>
        <v>4.9161754660024339</v>
      </c>
      <c r="Q54" s="56">
        <f t="shared" si="54"/>
        <v>2.5146995650179651</v>
      </c>
      <c r="R54" s="56">
        <f t="shared" si="54"/>
        <v>36.722650879724718</v>
      </c>
      <c r="S54" s="64">
        <f>IFERROR(s_RadSpec!$F$9*S9,".")*$B$54</f>
        <v>3.1383372755468979E-2</v>
      </c>
      <c r="T54" s="64">
        <f>IFERROR(s_RadSpec!$M$9*T9,".")*$B$54</f>
        <v>2.7673358369043706E-3</v>
      </c>
      <c r="U54" s="64">
        <f>IFERROR(s_RadSpec!$N$9*U9,".")*$B$54</f>
        <v>1.1300451007940587E-2</v>
      </c>
      <c r="V54" s="64">
        <f>IFERROR(s_RadSpec!$O$9*V9,".")*$B$54</f>
        <v>2.2092102282446253E-2</v>
      </c>
      <c r="W54" s="64">
        <f>IFERROR(s_RadSpec!$K$9*W9,".")*$B$54</f>
        <v>1.5128265163088476E-3</v>
      </c>
      <c r="X54" s="73">
        <f t="shared" si="46"/>
        <v>3.0896026210711525E-2</v>
      </c>
      <c r="Y54" s="73">
        <f t="shared" si="46"/>
        <v>2.7673358369043706E-3</v>
      </c>
      <c r="Z54" s="73">
        <f t="shared" si="46"/>
        <v>1.1236840745138532E-2</v>
      </c>
      <c r="AA54" s="73">
        <f t="shared" si="46"/>
        <v>2.1849858958223334E-2</v>
      </c>
      <c r="AB54" s="73">
        <f t="shared" si="46"/>
        <v>1.5128265163088476E-3</v>
      </c>
      <c r="AC54" s="56">
        <f t="shared" si="54"/>
        <v>2.3536338923213651</v>
      </c>
      <c r="AD54" s="56">
        <f t="shared" si="54"/>
        <v>119.02856416225418</v>
      </c>
      <c r="AE54" s="56">
        <f t="shared" si="47"/>
        <v>2.3079962898733264</v>
      </c>
      <c r="AF54" s="64">
        <f>IFERROR(s_RadSpec!$G$9*AF9,".")*$B$54</f>
        <v>2.3603925904213872E-2</v>
      </c>
      <c r="AG54" s="64">
        <f>IFERROR(s_RadSpec!$J$9*AG9,".")*$B$54</f>
        <v>4.6673670636125636E-4</v>
      </c>
      <c r="AH54" s="73">
        <f t="shared" si="48"/>
        <v>2.332753217499961E-2</v>
      </c>
      <c r="AI54" s="73">
        <f t="shared" si="48"/>
        <v>4.6673670636125636E-4</v>
      </c>
      <c r="AJ54" s="73">
        <f t="shared" si="49"/>
        <v>2.3783274701669632E-2</v>
      </c>
    </row>
    <row r="55" spans="1:36" x14ac:dyDescent="0.25">
      <c r="A55" s="55" t="s">
        <v>311</v>
      </c>
      <c r="B55" s="50">
        <v>1.9999999999999999E-7</v>
      </c>
      <c r="C55" s="56">
        <f>IFERROR(C24/$B55,0)</f>
        <v>0</v>
      </c>
      <c r="D55" s="56">
        <f>IFERROR(D24/$B55,0)</f>
        <v>0</v>
      </c>
      <c r="E55" s="56">
        <f>IFERROR(E24/$B55,0)</f>
        <v>33878908791.769711</v>
      </c>
      <c r="F55" s="56">
        <f t="shared" si="20"/>
        <v>33878908791.769711</v>
      </c>
      <c r="G55" s="64">
        <f>IFERROR(s_RadSpec!$I$24*G24,".")*$B$55</f>
        <v>0</v>
      </c>
      <c r="H55" s="64">
        <f>IFERROR(s_RadSpec!$G$24*H24,".")*$B$55</f>
        <v>0</v>
      </c>
      <c r="I55" s="64">
        <f>IFERROR(s_RadSpec!$F$24*I24,".")*$B$55</f>
        <v>1.6398107843867782E-12</v>
      </c>
      <c r="J55" s="73">
        <f t="shared" si="43"/>
        <v>0</v>
      </c>
      <c r="K55" s="73">
        <f t="shared" si="43"/>
        <v>0</v>
      </c>
      <c r="L55" s="73">
        <f t="shared" si="43"/>
        <v>1.6398107843867782E-12</v>
      </c>
      <c r="M55" s="73">
        <f t="shared" si="44"/>
        <v>1.6398107843867782E-12</v>
      </c>
      <c r="N55" s="56">
        <f t="shared" ref="N55:AD55" si="55">IFERROR(N24/$B55,0)</f>
        <v>33878908791.769711</v>
      </c>
      <c r="O55" s="56">
        <f t="shared" si="55"/>
        <v>298469518869.32776</v>
      </c>
      <c r="P55" s="56">
        <f t="shared" si="55"/>
        <v>74862438120.015106</v>
      </c>
      <c r="Q55" s="56">
        <f t="shared" si="55"/>
        <v>40394301025.975555</v>
      </c>
      <c r="R55" s="56">
        <f t="shared" si="55"/>
        <v>507800212647.68768</v>
      </c>
      <c r="S55" s="64">
        <f>IFERROR(s_RadSpec!$F$24*S24,".")*$B$55</f>
        <v>1.6398107843867782E-12</v>
      </c>
      <c r="T55" s="64">
        <f>IFERROR(s_RadSpec!$M$24*T24,".")*$B$55</f>
        <v>1.8613290968690977E-13</v>
      </c>
      <c r="U55" s="64">
        <f>IFERROR(s_RadSpec!$N$24*U24,".")*$B$55</f>
        <v>7.4209445210610732E-13</v>
      </c>
      <c r="V55" s="64">
        <f>IFERROR(s_RadSpec!$O$24*V24,".")*$B$55</f>
        <v>1.3753177698080563E-12</v>
      </c>
      <c r="W55" s="64">
        <f>IFERROR(s_RadSpec!$K$24*W24,".")*$B$55</f>
        <v>1.0940326257512639E-13</v>
      </c>
      <c r="X55" s="73">
        <f t="shared" si="46"/>
        <v>1.6398107843867782E-12</v>
      </c>
      <c r="Y55" s="73">
        <f t="shared" si="46"/>
        <v>1.8613290968690977E-13</v>
      </c>
      <c r="Z55" s="73">
        <f t="shared" si="46"/>
        <v>7.4209445210610732E-13</v>
      </c>
      <c r="AA55" s="73">
        <f t="shared" si="46"/>
        <v>1.3753177698080563E-12</v>
      </c>
      <c r="AB55" s="73">
        <f t="shared" si="46"/>
        <v>1.0940326257512639E-13</v>
      </c>
      <c r="AC55" s="56">
        <f t="shared" si="55"/>
        <v>0</v>
      </c>
      <c r="AD55" s="56">
        <f t="shared" si="55"/>
        <v>1249145670774.6921</v>
      </c>
      <c r="AE55" s="56">
        <f t="shared" si="47"/>
        <v>1249145670774.6921</v>
      </c>
      <c r="AF55" s="64">
        <f>IFERROR(s_RadSpec!$G$24*AF24,".")*$B$55</f>
        <v>0</v>
      </c>
      <c r="AG55" s="64">
        <f>IFERROR(s_RadSpec!$J$24*AG24,".")*$B$55</f>
        <v>4.4474396621449307E-14</v>
      </c>
      <c r="AH55" s="73">
        <f t="shared" si="48"/>
        <v>0</v>
      </c>
      <c r="AI55" s="73">
        <f t="shared" si="48"/>
        <v>4.4474396621449307E-14</v>
      </c>
      <c r="AJ55" s="73">
        <f t="shared" si="49"/>
        <v>4.4474396621449307E-14</v>
      </c>
    </row>
    <row r="56" spans="1:36" x14ac:dyDescent="0.25">
      <c r="A56" s="55" t="s">
        <v>312</v>
      </c>
      <c r="B56" s="50">
        <v>0.99979000004200003</v>
      </c>
      <c r="C56" s="56">
        <f>IFERROR(C20/$B56,0)</f>
        <v>0</v>
      </c>
      <c r="D56" s="56">
        <f>IFERROR(D20/$B56,0)</f>
        <v>0</v>
      </c>
      <c r="E56" s="56">
        <f>IFERROR(E20/$B56,0)</f>
        <v>46645.800103321337</v>
      </c>
      <c r="F56" s="56">
        <f t="shared" si="20"/>
        <v>46645.800103321337</v>
      </c>
      <c r="G56" s="64">
        <f>IFERROR(s_RadSpec!$I$20*G20,".")*$B$56</f>
        <v>0</v>
      </c>
      <c r="H56" s="64">
        <f>IFERROR(s_RadSpec!$G$20*H20,".")*$B$56</f>
        <v>0</v>
      </c>
      <c r="I56" s="64">
        <f>IFERROR(s_RadSpec!$F$20*I20,".")*$B$56</f>
        <v>1.1909968288022629E-6</v>
      </c>
      <c r="J56" s="73">
        <f t="shared" si="43"/>
        <v>0</v>
      </c>
      <c r="K56" s="73">
        <f t="shared" si="43"/>
        <v>0</v>
      </c>
      <c r="L56" s="73">
        <f t="shared" si="43"/>
        <v>1.1909968288022629E-6</v>
      </c>
      <c r="M56" s="73">
        <f t="shared" si="44"/>
        <v>1.1909968288022629E-6</v>
      </c>
      <c r="N56" s="56">
        <f t="shared" ref="N56:AD56" si="56">IFERROR(N20/$B56,0)</f>
        <v>46645.800103321337</v>
      </c>
      <c r="O56" s="56">
        <f t="shared" si="56"/>
        <v>465022.65246433474</v>
      </c>
      <c r="P56" s="56">
        <f t="shared" si="56"/>
        <v>115434.43907067057</v>
      </c>
      <c r="Q56" s="56">
        <f t="shared" si="56"/>
        <v>61711.721133585008</v>
      </c>
      <c r="R56" s="56">
        <f t="shared" si="56"/>
        <v>813311.61500455812</v>
      </c>
      <c r="S56" s="64">
        <f>IFERROR(s_RadSpec!$F$20*S20,".")*$B$56</f>
        <v>1.1909968288022629E-6</v>
      </c>
      <c r="T56" s="64">
        <f>IFERROR(s_RadSpec!$M$20*T20,".")*$B$56</f>
        <v>1.1946729843286686E-7</v>
      </c>
      <c r="U56" s="64">
        <f>IFERROR(s_RadSpec!$N$20*U20,".")*$B$56</f>
        <v>4.8126885223558319E-7</v>
      </c>
      <c r="V56" s="64">
        <f>IFERROR(s_RadSpec!$O$20*V20,".")*$B$56</f>
        <v>9.002341691255407E-7</v>
      </c>
      <c r="W56" s="64">
        <f>IFERROR(s_RadSpec!$K$20*W20,".")*$B$56</f>
        <v>6.8307151865387565E-8</v>
      </c>
      <c r="X56" s="73">
        <f t="shared" si="46"/>
        <v>1.1909968288022629E-6</v>
      </c>
      <c r="Y56" s="73">
        <f t="shared" si="46"/>
        <v>1.1946729843286686E-7</v>
      </c>
      <c r="Z56" s="73">
        <f t="shared" si="46"/>
        <v>4.8126885223558319E-7</v>
      </c>
      <c r="AA56" s="73">
        <f t="shared" si="46"/>
        <v>9.002341691255407E-7</v>
      </c>
      <c r="AB56" s="73">
        <f t="shared" si="46"/>
        <v>6.8307151865387565E-8</v>
      </c>
      <c r="AC56" s="56">
        <f t="shared" si="56"/>
        <v>0</v>
      </c>
      <c r="AD56" s="56">
        <f t="shared" si="56"/>
        <v>2229335.9259507577</v>
      </c>
      <c r="AE56" s="56">
        <f t="shared" si="47"/>
        <v>2229335.9259507577</v>
      </c>
      <c r="AF56" s="64">
        <f>IFERROR(s_RadSpec!$G$20*AF20,".")*$B$56</f>
        <v>0</v>
      </c>
      <c r="AG56" s="64">
        <f>IFERROR(s_RadSpec!$J$20*AG20,".")*$B$56</f>
        <v>2.4919977000014982E-8</v>
      </c>
      <c r="AH56" s="73">
        <f t="shared" si="48"/>
        <v>0</v>
      </c>
      <c r="AI56" s="73">
        <f t="shared" si="48"/>
        <v>2.4919977000014982E-8</v>
      </c>
      <c r="AJ56" s="73">
        <f t="shared" si="49"/>
        <v>2.4919977000014982E-8</v>
      </c>
    </row>
    <row r="57" spans="1:36" x14ac:dyDescent="0.25">
      <c r="A57" s="55" t="s">
        <v>313</v>
      </c>
      <c r="B57" s="50">
        <v>2.0999995799999999E-4</v>
      </c>
      <c r="C57" s="56">
        <f>IFERROR(C29/$B57,0)</f>
        <v>0</v>
      </c>
      <c r="D57" s="56">
        <f>IFERROR(D29/$B57,0)</f>
        <v>0</v>
      </c>
      <c r="E57" s="56">
        <f>IFERROR(E29/$B57,0)</f>
        <v>5015.5775856986274</v>
      </c>
      <c r="F57" s="56">
        <f t="shared" si="20"/>
        <v>5015.5775856986274</v>
      </c>
      <c r="G57" s="64">
        <f>IFERROR(s_RadSpec!$I$29*G29,".")*$B$57</f>
        <v>0</v>
      </c>
      <c r="H57" s="64">
        <f>IFERROR(s_RadSpec!$G$29*H29,".")*$B$57</f>
        <v>0</v>
      </c>
      <c r="I57" s="64">
        <f>IFERROR(s_RadSpec!$F$29*I29,".")*$B$57</f>
        <v>1.1076491002433902E-5</v>
      </c>
      <c r="J57" s="73">
        <f t="shared" si="43"/>
        <v>0</v>
      </c>
      <c r="K57" s="73">
        <f t="shared" si="43"/>
        <v>0</v>
      </c>
      <c r="L57" s="73">
        <f t="shared" si="43"/>
        <v>1.1076491002433902E-5</v>
      </c>
      <c r="M57" s="73">
        <f t="shared" si="44"/>
        <v>1.1076491002433902E-5</v>
      </c>
      <c r="N57" s="56">
        <f t="shared" ref="N57:AD57" si="57">IFERROR(N29/$B57,0)</f>
        <v>5015.5775856986274</v>
      </c>
      <c r="O57" s="56">
        <f t="shared" si="57"/>
        <v>54086.815517507217</v>
      </c>
      <c r="P57" s="56">
        <f t="shared" si="57"/>
        <v>13450.529938105783</v>
      </c>
      <c r="Q57" s="56">
        <f t="shared" si="57"/>
        <v>7148.2471592213551</v>
      </c>
      <c r="R57" s="56">
        <f t="shared" si="57"/>
        <v>100328.57791257965</v>
      </c>
      <c r="S57" s="64">
        <f>IFERROR(s_RadSpec!$F$29*S29,".")*$B$57</f>
        <v>1.1076491002433902E-5</v>
      </c>
      <c r="T57" s="64">
        <f>IFERROR(s_RadSpec!$M$29*T29,".")*$B$57</f>
        <v>1.027144960716305E-6</v>
      </c>
      <c r="U57" s="64">
        <f>IFERROR(s_RadSpec!$N$29*U29,".")*$B$57</f>
        <v>4.130320534257234E-6</v>
      </c>
      <c r="V57" s="64">
        <f>IFERROR(s_RadSpec!$O$29*V29,".")*$B$57</f>
        <v>7.7718353552357414E-6</v>
      </c>
      <c r="W57" s="64">
        <f>IFERROR(s_RadSpec!$K$29*W29,".")*$B$57</f>
        <v>5.5373056367256904E-7</v>
      </c>
      <c r="X57" s="73">
        <f t="shared" si="46"/>
        <v>1.1076491002433902E-5</v>
      </c>
      <c r="Y57" s="73">
        <f t="shared" si="46"/>
        <v>1.027144960716305E-6</v>
      </c>
      <c r="Z57" s="73">
        <f t="shared" si="46"/>
        <v>4.130320534257234E-6</v>
      </c>
      <c r="AA57" s="73">
        <f t="shared" si="46"/>
        <v>7.7718353552357414E-6</v>
      </c>
      <c r="AB57" s="73">
        <f t="shared" si="46"/>
        <v>5.5373056367256904E-7</v>
      </c>
      <c r="AC57" s="56">
        <f t="shared" si="57"/>
        <v>0</v>
      </c>
      <c r="AD57" s="56">
        <f t="shared" si="57"/>
        <v>306394.28241227142</v>
      </c>
      <c r="AE57" s="56">
        <f t="shared" si="47"/>
        <v>306394.28241227142</v>
      </c>
      <c r="AF57" s="64">
        <f>IFERROR(s_RadSpec!$G$29*AF29,".")*$B$57</f>
        <v>0</v>
      </c>
      <c r="AG57" s="64">
        <f>IFERROR(s_RadSpec!$J$29*AG29,".")*$B$57</f>
        <v>1.8131865765447759E-7</v>
      </c>
      <c r="AH57" s="73">
        <f t="shared" si="48"/>
        <v>0</v>
      </c>
      <c r="AI57" s="73">
        <f t="shared" si="48"/>
        <v>1.8131865765447759E-7</v>
      </c>
      <c r="AJ57" s="73">
        <f t="shared" si="49"/>
        <v>1.8131865765447759E-7</v>
      </c>
    </row>
    <row r="58" spans="1:36" x14ac:dyDescent="0.25">
      <c r="A58" s="55" t="s">
        <v>314</v>
      </c>
      <c r="B58" s="50">
        <v>1</v>
      </c>
      <c r="C58" s="56">
        <f>IFERROR(C16/$B58,0)</f>
        <v>30.333363666697</v>
      </c>
      <c r="D58" s="56">
        <f>IFERROR(D16/$B58,0)</f>
        <v>2842.8879509083722</v>
      </c>
      <c r="E58" s="56">
        <f>IFERROR(E16/$B58,0)</f>
        <v>257923839.69427079</v>
      </c>
      <c r="F58" s="56">
        <f t="shared" si="20"/>
        <v>30.013122764519576</v>
      </c>
      <c r="G58" s="64">
        <f>IFERROR(s_RadSpec!$I$16*G16,".")*$B$58</f>
        <v>1.8314816850000001E-3</v>
      </c>
      <c r="H58" s="64">
        <f>IFERROR(s_RadSpec!$G$16*H16,".")*$B$58</f>
        <v>1.9541748025014073E-5</v>
      </c>
      <c r="I58" s="64">
        <f>IFERROR(s_RadSpec!$F$16*I16,".")*$B$58</f>
        <v>2.153930403093097E-10</v>
      </c>
      <c r="J58" s="73">
        <f t="shared" si="43"/>
        <v>1.8314816850000001E-3</v>
      </c>
      <c r="K58" s="73">
        <f t="shared" si="43"/>
        <v>1.9541748025014073E-5</v>
      </c>
      <c r="L58" s="73">
        <f t="shared" si="43"/>
        <v>2.153930403093097E-10</v>
      </c>
      <c r="M58" s="73">
        <f t="shared" si="44"/>
        <v>1.8510236484180543E-3</v>
      </c>
      <c r="N58" s="56">
        <f t="shared" ref="N58:AD58" si="58">IFERROR(N16/$B58,0)</f>
        <v>257923839.69427079</v>
      </c>
      <c r="O58" s="56">
        <f t="shared" si="58"/>
        <v>714925191.55073071</v>
      </c>
      <c r="P58" s="56">
        <f t="shared" si="58"/>
        <v>279027893.57777947</v>
      </c>
      <c r="Q58" s="56">
        <f t="shared" si="58"/>
        <v>277377820.63452315</v>
      </c>
      <c r="R58" s="56">
        <f t="shared" si="58"/>
        <v>9279367840.0405693</v>
      </c>
      <c r="S58" s="64">
        <f>IFERROR(s_RadSpec!$F$16*S16,".")*$B$58</f>
        <v>2.153930403093097E-10</v>
      </c>
      <c r="T58" s="64">
        <f>IFERROR(s_RadSpec!$M$16*T16,".")*$B$58</f>
        <v>7.7707431010364449E-11</v>
      </c>
      <c r="U58" s="64">
        <f>IFERROR(s_RadSpec!$N$16*U16,".")*$B$58</f>
        <v>1.9910195818653507E-10</v>
      </c>
      <c r="V58" s="64">
        <f>IFERROR(s_RadSpec!$O$16*V16,".")*$B$58</f>
        <v>2.0028638148830228E-10</v>
      </c>
      <c r="W58" s="64">
        <f>IFERROR(s_RadSpec!$K$16*W16,".")*$B$58</f>
        <v>5.9869380067335596E-12</v>
      </c>
      <c r="X58" s="73">
        <f t="shared" si="46"/>
        <v>2.153930403093097E-10</v>
      </c>
      <c r="Y58" s="73">
        <f t="shared" si="46"/>
        <v>7.7707431010364449E-11</v>
      </c>
      <c r="Z58" s="73">
        <f t="shared" si="46"/>
        <v>1.9910195818653507E-10</v>
      </c>
      <c r="AA58" s="73">
        <f t="shared" si="46"/>
        <v>2.0028638148830228E-10</v>
      </c>
      <c r="AB58" s="73">
        <f t="shared" si="46"/>
        <v>5.9869380067335596E-12</v>
      </c>
      <c r="AC58" s="56">
        <f t="shared" si="58"/>
        <v>9.1636455272818898E-3</v>
      </c>
      <c r="AD58" s="56">
        <f t="shared" si="58"/>
        <v>202383.83864776907</v>
      </c>
      <c r="AE58" s="56">
        <f t="shared" si="47"/>
        <v>9.1636451123653824E-3</v>
      </c>
      <c r="AF58" s="64">
        <f>IFERROR(s_RadSpec!$G$16*AF16,".")*$B$58</f>
        <v>6.0625435406249997</v>
      </c>
      <c r="AG58" s="64">
        <f>IFERROR(s_RadSpec!$J$16*AG16,".")*$B$58</f>
        <v>2.7450314398220543E-7</v>
      </c>
      <c r="AH58" s="73">
        <f t="shared" si="48"/>
        <v>0.99767152921104285</v>
      </c>
      <c r="AI58" s="73">
        <f t="shared" si="48"/>
        <v>2.7450314398220543E-7</v>
      </c>
      <c r="AJ58" s="73">
        <f t="shared" si="49"/>
        <v>0.99767152985021534</v>
      </c>
    </row>
    <row r="59" spans="1:36" x14ac:dyDescent="0.25">
      <c r="A59" s="55" t="s">
        <v>315</v>
      </c>
      <c r="B59" s="50">
        <v>1</v>
      </c>
      <c r="C59" s="56">
        <f>IFERROR(C7/$B59,0)</f>
        <v>4865.3514000048654</v>
      </c>
      <c r="D59" s="56">
        <f>IFERROR(D7/$B59,0)</f>
        <v>99154.384629243243</v>
      </c>
      <c r="E59" s="56">
        <f>IFERROR(E7/$B59,0)</f>
        <v>16594.489932919259</v>
      </c>
      <c r="F59" s="56">
        <f t="shared" si="20"/>
        <v>3624.7479787746202</v>
      </c>
      <c r="G59" s="64">
        <f>IFERROR(s_RadSpec!$I$7*G7,".")*$B$59</f>
        <v>1.1418496925000001E-5</v>
      </c>
      <c r="H59" s="64">
        <f>IFERROR(s_RadSpec!$G$7*H7,".")*$B$59</f>
        <v>5.6028788043746651E-7</v>
      </c>
      <c r="I59" s="64">
        <f>IFERROR(s_RadSpec!$F$7*I7,".")*$B$59</f>
        <v>3.3477979874387681E-6</v>
      </c>
      <c r="J59" s="73">
        <f t="shared" si="43"/>
        <v>1.1418496925000001E-5</v>
      </c>
      <c r="K59" s="73">
        <f t="shared" si="43"/>
        <v>5.6028788043746651E-7</v>
      </c>
      <c r="L59" s="73">
        <f t="shared" si="43"/>
        <v>3.3477979874387681E-6</v>
      </c>
      <c r="M59" s="73">
        <f t="shared" si="44"/>
        <v>1.5326582792876236E-5</v>
      </c>
      <c r="N59" s="56">
        <f t="shared" ref="N59:AD59" si="59">IFERROR(N7/$B59,0)</f>
        <v>16594.489932919259</v>
      </c>
      <c r="O59" s="56">
        <f t="shared" si="59"/>
        <v>76525.810022494145</v>
      </c>
      <c r="P59" s="56">
        <f t="shared" si="59"/>
        <v>26044.730986862778</v>
      </c>
      <c r="Q59" s="56">
        <f t="shared" si="59"/>
        <v>18333.543435043466</v>
      </c>
      <c r="R59" s="56">
        <f t="shared" si="59"/>
        <v>25925.542796089037</v>
      </c>
      <c r="S59" s="64">
        <f>IFERROR(s_RadSpec!$F$7*S7,".")*$B$59</f>
        <v>3.3477979874387681E-6</v>
      </c>
      <c r="T59" s="64">
        <f>IFERROR(s_RadSpec!$M$7*T7,".")*$B$59</f>
        <v>7.2596422022413151E-7</v>
      </c>
      <c r="U59" s="64">
        <f>IFERROR(s_RadSpec!$N$7*U7,".")*$B$59</f>
        <v>2.1330610029346235E-6</v>
      </c>
      <c r="V59" s="64">
        <f>IFERROR(s_RadSpec!$O$7*V7,".")*$B$59</f>
        <v>3.0302380004625808E-6</v>
      </c>
      <c r="W59" s="64">
        <f>IFERROR(s_RadSpec!$K$7*W7,".")*$B$59</f>
        <v>2.1428673812908809E-6</v>
      </c>
      <c r="X59" s="73">
        <f t="shared" si="46"/>
        <v>3.3477979874387681E-6</v>
      </c>
      <c r="Y59" s="73">
        <f t="shared" si="46"/>
        <v>7.2596422022413151E-7</v>
      </c>
      <c r="Z59" s="73">
        <f t="shared" si="46"/>
        <v>2.1330610029346235E-6</v>
      </c>
      <c r="AA59" s="73">
        <f t="shared" si="46"/>
        <v>3.0302380004625808E-6</v>
      </c>
      <c r="AB59" s="73">
        <f t="shared" si="46"/>
        <v>2.1428673812908809E-6</v>
      </c>
      <c r="AC59" s="56">
        <f t="shared" si="59"/>
        <v>0.31961007570763672</v>
      </c>
      <c r="AD59" s="56">
        <f t="shared" si="59"/>
        <v>150559.27952383706</v>
      </c>
      <c r="AE59" s="56">
        <f t="shared" si="47"/>
        <v>0.3196093972347856</v>
      </c>
      <c r="AF59" s="64">
        <f>IFERROR(s_RadSpec!$G$7*AF7,".")*$B$59</f>
        <v>0.1738211784375</v>
      </c>
      <c r="AG59" s="64">
        <f>IFERROR(s_RadSpec!$J$7*AG7,".")*$B$59</f>
        <v>3.6899087306806843E-7</v>
      </c>
      <c r="AH59" s="73">
        <f t="shared" si="48"/>
        <v>0.15955282570141405</v>
      </c>
      <c r="AI59" s="73">
        <f t="shared" si="48"/>
        <v>3.6899087306806843E-7</v>
      </c>
      <c r="AJ59" s="73">
        <f t="shared" si="49"/>
        <v>0.15955313581869346</v>
      </c>
    </row>
    <row r="60" spans="1:36" x14ac:dyDescent="0.25">
      <c r="A60" s="55" t="s">
        <v>316</v>
      </c>
      <c r="B60" s="59">
        <v>1.9000000000000001E-8</v>
      </c>
      <c r="C60" s="56">
        <f>IFERROR(C12/$B60,0)</f>
        <v>0</v>
      </c>
      <c r="D60" s="56">
        <f>IFERROR(D12/$B60,0)</f>
        <v>0</v>
      </c>
      <c r="E60" s="56">
        <f>IFERROR(E12/$B60,0)</f>
        <v>3880526047.062716</v>
      </c>
      <c r="F60" s="56">
        <f t="shared" si="20"/>
        <v>3880526047.062716</v>
      </c>
      <c r="G60" s="64">
        <f>IFERROR(s_RadSpec!$I$12*G12,".")*$B$60</f>
        <v>0</v>
      </c>
      <c r="H60" s="64">
        <f>IFERROR(s_RadSpec!$G$12*H12,".")*$B$60</f>
        <v>0</v>
      </c>
      <c r="I60" s="64">
        <f>IFERROR(s_RadSpec!$F$12*I12,".")*$B$60</f>
        <v>1.4316357969572497E-11</v>
      </c>
      <c r="J60" s="73">
        <f t="shared" si="43"/>
        <v>0</v>
      </c>
      <c r="K60" s="73">
        <f t="shared" si="43"/>
        <v>0</v>
      </c>
      <c r="L60" s="73">
        <f t="shared" si="43"/>
        <v>1.4316357969572497E-11</v>
      </c>
      <c r="M60" s="73">
        <f t="shared" si="44"/>
        <v>1.4316357969572497E-11</v>
      </c>
      <c r="N60" s="56">
        <f t="shared" ref="N60:AD60" si="60">IFERROR(N12/$B60,0)</f>
        <v>3880526047.062716</v>
      </c>
      <c r="O60" s="56">
        <f t="shared" si="60"/>
        <v>30635967491.480095</v>
      </c>
      <c r="P60" s="56">
        <f t="shared" si="60"/>
        <v>7964446097.0097523</v>
      </c>
      <c r="Q60" s="56">
        <f t="shared" si="60"/>
        <v>4769114383.6751995</v>
      </c>
      <c r="R60" s="56">
        <f t="shared" si="60"/>
        <v>51990078573.620018</v>
      </c>
      <c r="S60" s="64">
        <f>IFERROR(s_RadSpec!$F$12*S12,".")*$B$60</f>
        <v>1.4316357969572497E-11</v>
      </c>
      <c r="T60" s="64">
        <f>IFERROR(s_RadSpec!$M$12*T12,".")*$B$60</f>
        <v>1.813391400661654E-12</v>
      </c>
      <c r="U60" s="64">
        <f>IFERROR(s_RadSpec!$N$12*U12,".")*$B$60</f>
        <v>6.9753752267666282E-12</v>
      </c>
      <c r="V60" s="64">
        <f>IFERROR(s_RadSpec!$O$12*V12,".")*$B$60</f>
        <v>1.1648913305616278E-11</v>
      </c>
      <c r="W60" s="64">
        <f>IFERROR(s_RadSpec!$K$12*W12,".")*$B$60</f>
        <v>1.0685692640631788E-12</v>
      </c>
      <c r="X60" s="73">
        <f t="shared" si="46"/>
        <v>1.4316357969572497E-11</v>
      </c>
      <c r="Y60" s="73">
        <f t="shared" si="46"/>
        <v>1.813391400661654E-12</v>
      </c>
      <c r="Z60" s="73">
        <f t="shared" si="46"/>
        <v>6.9753752267666282E-12</v>
      </c>
      <c r="AA60" s="73">
        <f t="shared" si="46"/>
        <v>1.1648913305616278E-11</v>
      </c>
      <c r="AB60" s="73">
        <f t="shared" si="46"/>
        <v>1.0685692640631788E-12</v>
      </c>
      <c r="AC60" s="56">
        <f t="shared" si="60"/>
        <v>0</v>
      </c>
      <c r="AD60" s="56">
        <f t="shared" si="60"/>
        <v>84462357429.47142</v>
      </c>
      <c r="AE60" s="56">
        <f t="shared" si="47"/>
        <v>84462357429.47142</v>
      </c>
      <c r="AF60" s="64">
        <f>IFERROR(s_RadSpec!$G$12*AF12,".")*$B$60</f>
        <v>0</v>
      </c>
      <c r="AG60" s="64">
        <f>IFERROR(s_RadSpec!$J$12*AG12,".")*$B$60</f>
        <v>6.5774863135202041E-13</v>
      </c>
      <c r="AH60" s="73">
        <f t="shared" si="48"/>
        <v>0</v>
      </c>
      <c r="AI60" s="73">
        <f t="shared" si="48"/>
        <v>6.5774863135202041E-13</v>
      </c>
      <c r="AJ60" s="73">
        <f t="shared" si="49"/>
        <v>6.5774863135202041E-13</v>
      </c>
    </row>
    <row r="61" spans="1:36" x14ac:dyDescent="0.25">
      <c r="A61" s="55" t="s">
        <v>317</v>
      </c>
      <c r="B61" s="50">
        <v>1</v>
      </c>
      <c r="C61" s="56">
        <f>IFERROR(C18/$B61,0)</f>
        <v>12.664961118569364</v>
      </c>
      <c r="D61" s="56">
        <f>IFERROR(D18/$B61,0)</f>
        <v>3111.2217626012548</v>
      </c>
      <c r="E61" s="56">
        <f>IFERROR(E18/$B61,0)</f>
        <v>397366.94583399</v>
      </c>
      <c r="F61" s="56">
        <f t="shared" si="20"/>
        <v>12.613214048440216</v>
      </c>
      <c r="G61" s="64">
        <f>IFERROR(s_RadSpec!$I$18*G18,".")*$B$61</f>
        <v>4.3865116899999999E-3</v>
      </c>
      <c r="H61" s="64">
        <f>IFERROR(s_RadSpec!$G$18*H18,".")*$B$61</f>
        <v>1.785632919768186E-5</v>
      </c>
      <c r="I61" s="64">
        <f>IFERROR(s_RadSpec!$F$18*I18,".")*$B$61</f>
        <v>1.3980780380059461E-7</v>
      </c>
      <c r="J61" s="73">
        <f t="shared" si="43"/>
        <v>4.3865116899999999E-3</v>
      </c>
      <c r="K61" s="73">
        <f t="shared" si="43"/>
        <v>1.785632919768186E-5</v>
      </c>
      <c r="L61" s="73">
        <f t="shared" si="43"/>
        <v>1.3980780380059461E-7</v>
      </c>
      <c r="M61" s="73">
        <f t="shared" si="44"/>
        <v>4.4045078270014831E-3</v>
      </c>
      <c r="N61" s="56">
        <f t="shared" ref="N61:AD61" si="61">IFERROR(N18/$B61,0)</f>
        <v>397366.94583399</v>
      </c>
      <c r="O61" s="56">
        <f t="shared" si="61"/>
        <v>3960095.2955493489</v>
      </c>
      <c r="P61" s="56">
        <f t="shared" si="61"/>
        <v>976750.45602320589</v>
      </c>
      <c r="Q61" s="56">
        <f t="shared" si="61"/>
        <v>519451.24937339174</v>
      </c>
      <c r="R61" s="56">
        <f t="shared" si="61"/>
        <v>6924794.1212073518</v>
      </c>
      <c r="S61" s="64">
        <f>IFERROR(s_RadSpec!$F$18*S18,".")*$B$61</f>
        <v>1.3980780380059461E-7</v>
      </c>
      <c r="T61" s="64">
        <f>IFERROR(s_RadSpec!$M$18*T18,".")*$B$61</f>
        <v>1.4028702809863406E-8</v>
      </c>
      <c r="U61" s="64">
        <f>IFERROR(s_RadSpec!$N$18*U18,".")*$B$61</f>
        <v>5.6877372984487336E-8</v>
      </c>
      <c r="V61" s="64">
        <f>IFERROR(s_RadSpec!$O$18*V18,".")*$B$61</f>
        <v>1.069494010593205E-7</v>
      </c>
      <c r="W61" s="64">
        <f>IFERROR(s_RadSpec!$K$18*W18,".")*$B$61</f>
        <v>8.0226211823195489E-9</v>
      </c>
      <c r="X61" s="73">
        <f t="shared" si="46"/>
        <v>1.3980780380059461E-7</v>
      </c>
      <c r="Y61" s="73">
        <f t="shared" si="46"/>
        <v>1.4028702809863406E-8</v>
      </c>
      <c r="Z61" s="73">
        <f t="shared" si="46"/>
        <v>5.6877372984487336E-8</v>
      </c>
      <c r="AA61" s="73">
        <f t="shared" si="46"/>
        <v>1.069494010593205E-7</v>
      </c>
      <c r="AB61" s="73">
        <f t="shared" si="46"/>
        <v>8.0226211823195489E-9</v>
      </c>
      <c r="AC61" s="56">
        <f t="shared" si="61"/>
        <v>1.0028581457152885E-2</v>
      </c>
      <c r="AD61" s="56">
        <f t="shared" si="61"/>
        <v>19051216.096172679</v>
      </c>
      <c r="AE61" s="56">
        <f t="shared" si="47"/>
        <v>1.0028581451873828E-2</v>
      </c>
      <c r="AF61" s="64">
        <f>IFERROR(s_RadSpec!$G$18*AF18,".")*$B$61</f>
        <v>5.5396668250000003</v>
      </c>
      <c r="AG61" s="64">
        <f>IFERROR(s_RadSpec!$J$18*AG18,".")*$B$61</f>
        <v>2.9160868114430133E-9</v>
      </c>
      <c r="AH61" s="73">
        <f t="shared" si="48"/>
        <v>0.99607216472315763</v>
      </c>
      <c r="AI61" s="73">
        <f t="shared" si="48"/>
        <v>2.9160868114430133E-9</v>
      </c>
      <c r="AJ61" s="73">
        <f t="shared" si="49"/>
        <v>0.99607216473461158</v>
      </c>
    </row>
    <row r="62" spans="1:36" x14ac:dyDescent="0.25">
      <c r="A62" s="55" t="s">
        <v>318</v>
      </c>
      <c r="B62" s="50">
        <v>1.339E-6</v>
      </c>
      <c r="C62" s="56">
        <f>IFERROR(C27/$B62,0)</f>
        <v>0</v>
      </c>
      <c r="D62" s="56">
        <f>IFERROR(D27/$B62,0)</f>
        <v>0</v>
      </c>
      <c r="E62" s="56">
        <f>IFERROR(E27/$B62,0)</f>
        <v>3594488282.2813702</v>
      </c>
      <c r="F62" s="56">
        <f t="shared" ref="F62" si="62">IFERROR(SUM(C62:E62),0)</f>
        <v>3594488282.2813702</v>
      </c>
      <c r="G62" s="64">
        <f>IFERROR(s_RadSpec!$I$27*G27,".")*$B$62</f>
        <v>0</v>
      </c>
      <c r="H62" s="64">
        <f>IFERROR(s_RadSpec!$G$27*H27,".")*$B$62</f>
        <v>0</v>
      </c>
      <c r="I62" s="64">
        <f>IFERROR(s_RadSpec!$F$27*I27,".")*$B$62</f>
        <v>1.5455607484896298E-11</v>
      </c>
      <c r="J62" s="73">
        <f t="shared" si="43"/>
        <v>0</v>
      </c>
      <c r="K62" s="73">
        <f t="shared" si="43"/>
        <v>0</v>
      </c>
      <c r="L62" s="73">
        <f t="shared" si="43"/>
        <v>1.5455607484896298E-11</v>
      </c>
      <c r="M62" s="73">
        <f t="shared" si="44"/>
        <v>1.5455607484896298E-11</v>
      </c>
      <c r="N62" s="56">
        <f t="shared" ref="N62:AD62" si="63">IFERROR(N27/$B62,0)</f>
        <v>3594488282.2813702</v>
      </c>
      <c r="O62" s="56">
        <f t="shared" si="63"/>
        <v>31397272725.903416</v>
      </c>
      <c r="P62" s="56">
        <f t="shared" si="63"/>
        <v>9053502944.4361</v>
      </c>
      <c r="Q62" s="56">
        <f t="shared" si="63"/>
        <v>4953986860.4334974</v>
      </c>
      <c r="R62" s="56">
        <f t="shared" si="63"/>
        <v>23763102056.033272</v>
      </c>
      <c r="S62" s="64">
        <f>IFERROR(s_RadSpec!$F$27*S27,".")*$B$62</f>
        <v>1.5455607484896298E-11</v>
      </c>
      <c r="T62" s="64">
        <f>IFERROR(s_RadSpec!$M$27*T27,".")*$B$62</f>
        <v>1.7694212005288576E-12</v>
      </c>
      <c r="U62" s="64">
        <f>IFERROR(s_RadSpec!$N$27*U27,".")*$B$62</f>
        <v>6.1362988824277953E-12</v>
      </c>
      <c r="V62" s="64">
        <f>IFERROR(s_RadSpec!$O$27*V27,".")*$B$62</f>
        <v>1.1214200110966519E-11</v>
      </c>
      <c r="W62" s="64">
        <f>IFERROR(s_RadSpec!$K$27*W27,".")*$B$62</f>
        <v>2.337868173481795E-12</v>
      </c>
      <c r="X62" s="73">
        <f t="shared" si="46"/>
        <v>1.5455607484896298E-11</v>
      </c>
      <c r="Y62" s="73">
        <f t="shared" si="46"/>
        <v>1.7694212005288576E-12</v>
      </c>
      <c r="Z62" s="73">
        <f t="shared" si="46"/>
        <v>6.1362988824277953E-12</v>
      </c>
      <c r="AA62" s="73">
        <f t="shared" si="46"/>
        <v>1.1214200110966519E-11</v>
      </c>
      <c r="AB62" s="73">
        <f t="shared" si="46"/>
        <v>2.337868173481795E-12</v>
      </c>
      <c r="AC62" s="56">
        <f t="shared" si="63"/>
        <v>0</v>
      </c>
      <c r="AD62" s="56">
        <f t="shared" si="63"/>
        <v>63274580199.646706</v>
      </c>
      <c r="AE62" s="56">
        <f t="shared" si="47"/>
        <v>63274580199.646698</v>
      </c>
      <c r="AF62" s="64">
        <f>IFERROR(s_RadSpec!$G$27*AF27,".")*$B$62</f>
        <v>0</v>
      </c>
      <c r="AG62" s="64">
        <f>IFERROR(s_RadSpec!$J$27*AG27,".")*$B$62</f>
        <v>8.7799871330177839E-13</v>
      </c>
      <c r="AH62" s="73">
        <f t="shared" si="48"/>
        <v>0</v>
      </c>
      <c r="AI62" s="73">
        <f t="shared" si="48"/>
        <v>8.7799871330177839E-13</v>
      </c>
      <c r="AJ62" s="73">
        <f t="shared" si="49"/>
        <v>8.7799871330177839E-13</v>
      </c>
    </row>
    <row r="63" spans="1:36" x14ac:dyDescent="0.25">
      <c r="A63" s="52" t="s">
        <v>35</v>
      </c>
      <c r="B63" s="52" t="s">
        <v>289</v>
      </c>
      <c r="C63" s="53">
        <f>1/SUM(1/C66,1/C68,1/C72,1/C73,1/C75)</f>
        <v>8.9165690520999874</v>
      </c>
      <c r="D63" s="53">
        <f>1/SUM(1/D64,1/D65,1/D66,1/D68,1/D72,1/D73,1/D75)</f>
        <v>1456.2251020404051</v>
      </c>
      <c r="E63" s="53">
        <f>1/SUM(1/E64,1/E66,1/E68,1/E69,1/E70,1/E71,1/E72,1/E73,1/E74,1/E75,1/E76)</f>
        <v>1.6848969669316662</v>
      </c>
      <c r="F63" s="54">
        <f>1/SUM(1/F64,1/F65,1/F66,1/F68,1/F69,1/F70,1/F71,1/F72,1/F73,1/F74,1/F75,1/F76)</f>
        <v>1.4157376275219729</v>
      </c>
      <c r="G63" s="71"/>
      <c r="H63" s="71"/>
      <c r="I63" s="71"/>
      <c r="J63" s="72">
        <f>IFERROR(IF(SUM(G64:G76)&gt;0.01,1-EXP(-SUM(G64:G76)),SUM(G64:G76)),".")</f>
        <v>6.230535498058634E-3</v>
      </c>
      <c r="K63" s="72">
        <f>IFERROR(IF(SUM(H64:H76)&gt;0.01,1-EXP(-SUM(H64:H76)),SUM(H64:H76)),".")</f>
        <v>3.8150008485747518E-5</v>
      </c>
      <c r="L63" s="72">
        <f>IFERROR(IF(SUM(I64:I76)&gt;0.01,1-EXP(-SUM(I64:I76)),SUM(I64:I76)),".")</f>
        <v>3.243468041734654E-2</v>
      </c>
      <c r="M63" s="72">
        <f>IFERROR(IF(SUM(G64:I76)&gt;0.01,1-EXP(-SUM(G64:I76)),SUM(G64:I76)),".")</f>
        <v>3.8481071849566173E-2</v>
      </c>
      <c r="N63" s="53">
        <f t="shared" ref="N63:R63" si="64">1/SUM(1/N64,1/N66,1/N68,1/N69,1/N70,1/N71,1/N72,1/N73,1/N74,1/N75,1/N76)</f>
        <v>1.6848969669316662</v>
      </c>
      <c r="O63" s="53">
        <f t="shared" si="64"/>
        <v>18.680480107653143</v>
      </c>
      <c r="P63" s="53">
        <f t="shared" si="64"/>
        <v>4.6049460612148652</v>
      </c>
      <c r="Q63" s="53">
        <f t="shared" si="64"/>
        <v>2.3779834925844283</v>
      </c>
      <c r="R63" s="53">
        <f t="shared" si="64"/>
        <v>34.271467781830374</v>
      </c>
      <c r="S63" s="71"/>
      <c r="T63" s="71"/>
      <c r="U63" s="71"/>
      <c r="V63" s="71"/>
      <c r="W63" s="71"/>
      <c r="X63" s="72">
        <f>IFERROR(IF(SUM(S64:S76)&gt;0.01,1-EXP(-SUM(S64:S76)),SUM(S64:S76)),".")</f>
        <v>3.243468041734654E-2</v>
      </c>
      <c r="Y63" s="72">
        <f t="shared" ref="Y63:AB63" si="65">IFERROR(IF(SUM(T64:T76)&gt;0.01,1-EXP(-SUM(T64:T76)),SUM(T64:T76)),".")</f>
        <v>2.9739599667590907E-3</v>
      </c>
      <c r="Z63" s="72">
        <f t="shared" si="65"/>
        <v>1.1991721393081911E-2</v>
      </c>
      <c r="AA63" s="72">
        <f t="shared" si="65"/>
        <v>2.3091447023697143E-2</v>
      </c>
      <c r="AB63" s="72">
        <f t="shared" si="65"/>
        <v>1.6210277410252454E-3</v>
      </c>
      <c r="AC63" s="53">
        <f>1/SUM(1/AC64,1/AC65,1/AC66,1/AC68,1/AC72,1/AC73,1/AC75)</f>
        <v>4.6939347851414027E-3</v>
      </c>
      <c r="AD63" s="53">
        <f t="shared" ref="AD63:AE63" si="66">1/SUM(1/AD64,1/AD65,1/AD66,1/AD67,1/AD68,1/AD69,1/AD70,1/AD71,1/AD72,1/AD73,1/AD74,1/AD75,1/AD76)</f>
        <v>103.1090430827925</v>
      </c>
      <c r="AE63" s="54">
        <f t="shared" si="66"/>
        <v>4.6937211082404926E-3</v>
      </c>
      <c r="AF63" s="71"/>
      <c r="AG63" s="71"/>
      <c r="AH63" s="72">
        <f>IFERROR(IF(SUM(AF64:AF76)&gt;0.01,1-EXP(-SUM(AF64:AF76)),SUM(AF64:AF76)),".")</f>
        <v>0.99999275708001834</v>
      </c>
      <c r="AI63" s="72">
        <f>IFERROR(IF(SUM(AG64:AG76)&gt;0.01,1-EXP(-SUM(AG64:AG76)),SUM(AG64:AG76)),".")</f>
        <v>5.3879852182695106E-4</v>
      </c>
      <c r="AJ63" s="72">
        <f>IFERROR(IF(SUM(AF64:AG76)&gt;0.01,1-EXP(-SUM(AF64:AG76)),SUM(AF64:AG76)),".")</f>
        <v>0.99999276098144174</v>
      </c>
    </row>
    <row r="64" spans="1:36" x14ac:dyDescent="0.25">
      <c r="A64" s="55" t="s">
        <v>306</v>
      </c>
      <c r="B64" s="60">
        <v>1</v>
      </c>
      <c r="C64" s="56">
        <f>IFERROR(C25/$B50,0)</f>
        <v>0</v>
      </c>
      <c r="D64" s="56">
        <f>IFERROR(D25/$B50,0)</f>
        <v>19791737.037179209</v>
      </c>
      <c r="E64" s="56">
        <f>IFERROR(E25/$B50,0)</f>
        <v>15112.223486896148</v>
      </c>
      <c r="F64" s="56">
        <f t="shared" ref="F64:F76" si="67">IF(AND(C64&lt;&gt;0,D64&lt;&gt;0,E64&lt;&gt;0),1/((1/C64)+(1/D64)+(1/E64)),IF(AND(C64&lt;&gt;0,D64&lt;&gt;0,E64=0), 1/((1/C64)+(1/D64)),IF(AND(C64&lt;&gt;0,D64=0,E64&lt;&gt;0),1/((1/C64)+(1/E64)),IF(AND(C64=0,D64&lt;&gt;0,E64&lt;&gt;0),1/((1/D64)+(1/E64)),IF(AND(C64&lt;&gt;0,D64=0,E64=0),1/((1/C64)),IF(AND(C64=0,D64&lt;&gt;0,E64=0),1/((1/D64)),IF(AND(C64=0,D64=0,E64&lt;&gt;0),1/((1/E64)),IF(AND(C64=0,D64=0,E64=0),0))))))))</f>
        <v>15100.693167474199</v>
      </c>
      <c r="G64" s="64">
        <f>IFERROR(s_RadSpec!$I$25*G25,".")*$B$64</f>
        <v>0</v>
      </c>
      <c r="H64" s="64">
        <f>IFERROR(s_RadSpec!$G$25*H25,".")*$B$64</f>
        <v>2.8069794932925148E-9</v>
      </c>
      <c r="I64" s="64">
        <f>IFERROR(s_RadSpec!$F$25*I25,".")*$B$64</f>
        <v>3.6761632097468568E-6</v>
      </c>
      <c r="J64" s="73">
        <f t="shared" ref="J64:L76" si="68">IFERROR(IF(G64&gt;0.01,1-EXP(-G64),G64),".")</f>
        <v>0</v>
      </c>
      <c r="K64" s="73">
        <f t="shared" si="68"/>
        <v>2.8069794932925148E-9</v>
      </c>
      <c r="L64" s="73">
        <f t="shared" si="68"/>
        <v>3.6761632097468568E-6</v>
      </c>
      <c r="M64" s="73">
        <f t="shared" ref="M64:M76" si="69">IFERROR(IF(SUM(G64:I64)&gt;0.01,1-EXP(-SUM(G64:I64)),SUM(G64:I64)),".")</f>
        <v>3.6789701892401491E-6</v>
      </c>
      <c r="N64" s="56">
        <f t="shared" ref="N64:AD64" si="70">IFERROR(N25/$B50,0)</f>
        <v>15112.223486896148</v>
      </c>
      <c r="O64" s="56">
        <f t="shared" si="70"/>
        <v>128406.87702228803</v>
      </c>
      <c r="P64" s="56">
        <f t="shared" si="70"/>
        <v>32639.011626016832</v>
      </c>
      <c r="Q64" s="56">
        <f t="shared" si="70"/>
        <v>19041.93297821924</v>
      </c>
      <c r="R64" s="56">
        <f t="shared" si="70"/>
        <v>234516.85866387293</v>
      </c>
      <c r="S64" s="64">
        <f>IFERROR(s_RadSpec!$F$25*S25,".")*$B$64</f>
        <v>3.6761632097468568E-6</v>
      </c>
      <c r="T64" s="64">
        <f>IFERROR(s_RadSpec!$M$25*T25,".")*$B$64</f>
        <v>4.3264816720335876E-7</v>
      </c>
      <c r="U64" s="64">
        <f>IFERROR(s_RadSpec!$N$25*U25,".")*$B$64</f>
        <v>1.7021042376086118E-6</v>
      </c>
      <c r="V64" s="64">
        <f>IFERROR(s_RadSpec!$O$25*V25,".")*$B$64</f>
        <v>2.9175084306590902E-6</v>
      </c>
      <c r="W64" s="64">
        <f>IFERROR(s_RadSpec!$K$25*W25,".")*$B$64</f>
        <v>2.3689128498700196E-7</v>
      </c>
      <c r="X64" s="73">
        <f t="shared" ref="X64:AB76" si="71">IFERROR(IF(S64&gt;0.01,1-EXP(-S64),S64),".")</f>
        <v>3.6761632097468568E-6</v>
      </c>
      <c r="Y64" s="73">
        <f t="shared" si="71"/>
        <v>4.3264816720335876E-7</v>
      </c>
      <c r="Z64" s="73">
        <f t="shared" si="71"/>
        <v>1.7021042376086118E-6</v>
      </c>
      <c r="AA64" s="73">
        <f t="shared" si="71"/>
        <v>2.9175084306590902E-6</v>
      </c>
      <c r="AB64" s="73">
        <f t="shared" si="71"/>
        <v>2.3689128498700196E-7</v>
      </c>
      <c r="AC64" s="56">
        <f t="shared" si="70"/>
        <v>63.795853269537481</v>
      </c>
      <c r="AD64" s="56">
        <f t="shared" si="70"/>
        <v>490671.60880790063</v>
      </c>
      <c r="AE64" s="56">
        <f t="shared" ref="AE64:AE76" si="72">IFERROR(IF(AND(AC64&lt;&gt;0,AD64&lt;&gt;0),1/((1/AC64)+(1/AD64)),IF(AND(AC64&lt;&gt;0,AD64=0),1/((1/AC64)),IF(AND(AC64=0,AD64&lt;&gt;0),1/((1/AD64)),IF(AND(AC64=0,AD64=0),0)))),0)</f>
        <v>63.78755977602605</v>
      </c>
      <c r="AF64" s="64">
        <f>IFERROR(s_RadSpec!$G$25*AF25,".")*$B$64</f>
        <v>8.7082462499999997E-4</v>
      </c>
      <c r="AG64" s="64">
        <f>IFERROR(s_RadSpec!$J$25*AG25,".")*$B$64</f>
        <v>1.1322236502530136E-7</v>
      </c>
      <c r="AH64" s="73">
        <f t="shared" ref="AH64:AI76" si="73">IFERROR(IF(AF64&gt;0.01,1-EXP(-AF64),AF64),".")</f>
        <v>8.7082462499999997E-4</v>
      </c>
      <c r="AI64" s="73">
        <f t="shared" si="73"/>
        <v>1.1322236502530136E-7</v>
      </c>
      <c r="AJ64" s="73">
        <f t="shared" ref="AJ64:AJ76" si="74">IFERROR(IF(SUM(AF64:AG64)&gt;0.01,1-EXP(-SUM(AF64:AG64)),SUM(AF64:AG64)),".")</f>
        <v>8.7093784736502527E-4</v>
      </c>
    </row>
    <row r="65" spans="1:36" x14ac:dyDescent="0.25">
      <c r="A65" s="55" t="s">
        <v>307</v>
      </c>
      <c r="B65" s="60">
        <v>1</v>
      </c>
      <c r="C65" s="56">
        <f>IFERROR(C21/$B51,0)</f>
        <v>0</v>
      </c>
      <c r="D65" s="56">
        <f>IFERROR(D21/$B51,0)</f>
        <v>3246414.4204869489</v>
      </c>
      <c r="E65" s="56">
        <f>IFERROR(E21/$B51,0)</f>
        <v>0</v>
      </c>
      <c r="F65" s="56">
        <f t="shared" si="67"/>
        <v>3246414.4204869489</v>
      </c>
      <c r="G65" s="64">
        <f>IFERROR(s_RadSpec!$I$21*G21,".")*$B$65</f>
        <v>0</v>
      </c>
      <c r="H65" s="64">
        <f>IFERROR(s_RadSpec!$G$21*H21,".")*$B$65</f>
        <v>1.7112725858230684E-8</v>
      </c>
      <c r="I65" s="64">
        <f>IFERROR(s_RadSpec!$F$21*I21,".")*$B$65</f>
        <v>0</v>
      </c>
      <c r="J65" s="73">
        <f t="shared" si="68"/>
        <v>0</v>
      </c>
      <c r="K65" s="73">
        <f t="shared" si="68"/>
        <v>1.7112725858230684E-8</v>
      </c>
      <c r="L65" s="73">
        <f t="shared" si="68"/>
        <v>0</v>
      </c>
      <c r="M65" s="73">
        <f t="shared" si="69"/>
        <v>1.7112725858230684E-8</v>
      </c>
      <c r="N65" s="56">
        <f t="shared" ref="N65:AD65" si="75">IFERROR(N21/$B51,0)</f>
        <v>0</v>
      </c>
      <c r="O65" s="56">
        <f t="shared" si="75"/>
        <v>0</v>
      </c>
      <c r="P65" s="56">
        <f t="shared" si="75"/>
        <v>0</v>
      </c>
      <c r="Q65" s="56">
        <f t="shared" si="75"/>
        <v>0</v>
      </c>
      <c r="R65" s="56">
        <f t="shared" si="75"/>
        <v>0</v>
      </c>
      <c r="S65" s="64">
        <f>IFERROR(s_RadSpec!$F$21*S21,".")*$B$65</f>
        <v>0</v>
      </c>
      <c r="T65" s="64">
        <f>IFERROR(s_RadSpec!$M$21*T21,".")*$B$65</f>
        <v>0</v>
      </c>
      <c r="U65" s="64">
        <f>IFERROR(s_RadSpec!$N$21*U21,".")*$B$65</f>
        <v>0</v>
      </c>
      <c r="V65" s="64">
        <f>IFERROR(s_RadSpec!$O$21*V21,".")*$B$65</f>
        <v>0</v>
      </c>
      <c r="W65" s="64">
        <f>IFERROR(s_RadSpec!$K$21*W21,".")*$B$65</f>
        <v>0</v>
      </c>
      <c r="X65" s="73">
        <f t="shared" si="71"/>
        <v>0</v>
      </c>
      <c r="Y65" s="73">
        <f t="shared" si="71"/>
        <v>0</v>
      </c>
      <c r="Z65" s="73">
        <f t="shared" si="71"/>
        <v>0</v>
      </c>
      <c r="AA65" s="73">
        <f t="shared" si="71"/>
        <v>0</v>
      </c>
      <c r="AB65" s="73">
        <f t="shared" si="71"/>
        <v>0</v>
      </c>
      <c r="AC65" s="56">
        <f t="shared" si="75"/>
        <v>10.464355788096794</v>
      </c>
      <c r="AD65" s="56">
        <f t="shared" si="75"/>
        <v>20178506989.437328</v>
      </c>
      <c r="AE65" s="56">
        <f t="shared" si="72"/>
        <v>10.464355782670093</v>
      </c>
      <c r="AF65" s="64">
        <f>IFERROR(s_RadSpec!$G$21*AF21,".")*$B$65</f>
        <v>5.3089746874999998E-3</v>
      </c>
      <c r="AG65" s="64">
        <f>IFERROR(s_RadSpec!$J$21*AG21,".")*$B$65</f>
        <v>2.7531769337087667E-12</v>
      </c>
      <c r="AH65" s="73">
        <f t="shared" si="73"/>
        <v>5.3089746874999998E-3</v>
      </c>
      <c r="AI65" s="73">
        <f t="shared" si="73"/>
        <v>2.7531769337087667E-12</v>
      </c>
      <c r="AJ65" s="73">
        <f t="shared" si="74"/>
        <v>5.3089746902531768E-3</v>
      </c>
    </row>
    <row r="66" spans="1:36" x14ac:dyDescent="0.25">
      <c r="A66" s="55" t="s">
        <v>308</v>
      </c>
      <c r="B66" s="61">
        <v>0.99980000000000002</v>
      </c>
      <c r="C66" s="56">
        <f>IFERROR(C17/$B52,0)</f>
        <v>82466.240127302532</v>
      </c>
      <c r="D66" s="56">
        <f>IFERROR(D17/$B52,0)</f>
        <v>580877.57119980734</v>
      </c>
      <c r="E66" s="56">
        <f>IFERROR(E17/$B52,0)</f>
        <v>35.39575898188378</v>
      </c>
      <c r="F66" s="56">
        <f t="shared" si="67"/>
        <v>35.378418246113561</v>
      </c>
      <c r="G66" s="64">
        <f>IFERROR(s_RadSpec!$I$17*G17,".")*$B$66</f>
        <v>6.7366961212540004E-7</v>
      </c>
      <c r="H66" s="64">
        <f>IFERROR(s_RadSpec!$G$17*H17,".")*$B$66</f>
        <v>9.5639774634869593E-8</v>
      </c>
      <c r="I66" s="64">
        <f>IFERROR(s_RadSpec!$F$17*I17,".")*$B$66</f>
        <v>1.569538317526518E-3</v>
      </c>
      <c r="J66" s="73">
        <f t="shared" si="68"/>
        <v>6.7366961212540004E-7</v>
      </c>
      <c r="K66" s="73">
        <f t="shared" si="68"/>
        <v>9.5639774634869593E-8</v>
      </c>
      <c r="L66" s="73">
        <f t="shared" si="68"/>
        <v>1.569538317526518E-3</v>
      </c>
      <c r="M66" s="73">
        <f t="shared" si="69"/>
        <v>1.5703076269132782E-3</v>
      </c>
      <c r="N66" s="56">
        <f t="shared" ref="N66:AD66" si="76">IFERROR(N17/$B52,0)</f>
        <v>35.39575898188378</v>
      </c>
      <c r="O66" s="56">
        <f t="shared" si="76"/>
        <v>271.92215430932947</v>
      </c>
      <c r="P66" s="56">
        <f t="shared" si="76"/>
        <v>73.558691260493887</v>
      </c>
      <c r="Q66" s="56">
        <f t="shared" si="76"/>
        <v>44.252761961428746</v>
      </c>
      <c r="R66" s="56">
        <f t="shared" si="76"/>
        <v>528.13254696956483</v>
      </c>
      <c r="S66" s="64">
        <f>IFERROR(s_RadSpec!$F$17*S17,".")*$B$66</f>
        <v>1.569538317526518E-3</v>
      </c>
      <c r="T66" s="64">
        <f>IFERROR(s_RadSpec!$M$17*T17,".")*$B$66</f>
        <v>2.0430479502895707E-4</v>
      </c>
      <c r="U66" s="64">
        <f>IFERROR(s_RadSpec!$N$17*U17,".")*$B$66</f>
        <v>7.5524725967816245E-4</v>
      </c>
      <c r="V66" s="64">
        <f>IFERROR(s_RadSpec!$O$17*V17,".")*$B$66</f>
        <v>1.2554018673099413E-3</v>
      </c>
      <c r="W66" s="64">
        <f>IFERROR(s_RadSpec!$K$17*W17,".")*$B$66</f>
        <v>1.0519139621062117E-4</v>
      </c>
      <c r="X66" s="73">
        <f t="shared" si="71"/>
        <v>1.569538317526518E-3</v>
      </c>
      <c r="Y66" s="73">
        <f t="shared" si="71"/>
        <v>2.0430479502895707E-4</v>
      </c>
      <c r="Z66" s="73">
        <f t="shared" si="71"/>
        <v>7.5524725967816245E-4</v>
      </c>
      <c r="AA66" s="73">
        <f t="shared" si="71"/>
        <v>1.2554018673099413E-3</v>
      </c>
      <c r="AB66" s="73">
        <f t="shared" si="71"/>
        <v>1.0519139621062117E-4</v>
      </c>
      <c r="AC66" s="56">
        <f t="shared" si="76"/>
        <v>1.872376347271326</v>
      </c>
      <c r="AD66" s="56">
        <f t="shared" si="76"/>
        <v>781.40890061515358</v>
      </c>
      <c r="AE66" s="56">
        <f t="shared" si="72"/>
        <v>1.8679005691710033</v>
      </c>
      <c r="AF66" s="64">
        <f>IFERROR(s_RadSpec!$G$17*AF17,".")*$B$66</f>
        <v>2.9670851205187504E-2</v>
      </c>
      <c r="AG66" s="64">
        <f>IFERROR(s_RadSpec!$J$17*AG17,".")*$B$66</f>
        <v>7.1095939598672423E-5</v>
      </c>
      <c r="AH66" s="73">
        <f t="shared" si="73"/>
        <v>2.9234992899410117E-2</v>
      </c>
      <c r="AI66" s="73">
        <f t="shared" si="73"/>
        <v>7.1095939598672423E-5</v>
      </c>
      <c r="AJ66" s="73">
        <f t="shared" si="74"/>
        <v>2.930400789634735E-2</v>
      </c>
    </row>
    <row r="67" spans="1:36" x14ac:dyDescent="0.25">
      <c r="A67" s="55" t="s">
        <v>309</v>
      </c>
      <c r="B67" s="60">
        <v>2.0000000000000001E-4</v>
      </c>
      <c r="C67" s="56">
        <f>IFERROR(C5/$B53,0)</f>
        <v>0</v>
      </c>
      <c r="D67" s="56">
        <f>IFERROR(D5/$B53,0)</f>
        <v>0</v>
      </c>
      <c r="E67" s="56">
        <f>IFERROR(E5/$B53,0)</f>
        <v>0</v>
      </c>
      <c r="F67" s="56">
        <f t="shared" si="67"/>
        <v>0</v>
      </c>
      <c r="G67" s="64">
        <f>IFERROR(s_RadSpec!$I$5*G5,".")*$B$67</f>
        <v>0</v>
      </c>
      <c r="H67" s="64">
        <f>IFERROR(s_RadSpec!$G$5*H5,".")*$B$67</f>
        <v>0</v>
      </c>
      <c r="I67" s="64">
        <f>IFERROR(s_RadSpec!$F$5*I5,".")*$B$67</f>
        <v>0</v>
      </c>
      <c r="J67" s="73">
        <f t="shared" si="68"/>
        <v>0</v>
      </c>
      <c r="K67" s="73">
        <f t="shared" si="68"/>
        <v>0</v>
      </c>
      <c r="L67" s="73">
        <f t="shared" si="68"/>
        <v>0</v>
      </c>
      <c r="M67" s="73">
        <f t="shared" si="69"/>
        <v>0</v>
      </c>
      <c r="N67" s="56">
        <f t="shared" ref="N67:AD67" si="77">IFERROR(N5/$B53,0)</f>
        <v>0</v>
      </c>
      <c r="O67" s="56">
        <f t="shared" si="77"/>
        <v>0</v>
      </c>
      <c r="P67" s="56">
        <f t="shared" si="77"/>
        <v>0</v>
      </c>
      <c r="Q67" s="56">
        <f t="shared" si="77"/>
        <v>0</v>
      </c>
      <c r="R67" s="56">
        <f t="shared" si="77"/>
        <v>0</v>
      </c>
      <c r="S67" s="64">
        <f>IFERROR(s_RadSpec!$F$5*S5,".")*$B$67</f>
        <v>0</v>
      </c>
      <c r="T67" s="64">
        <f>IFERROR(s_RadSpec!$M$5*T5,".")*$B$67</f>
        <v>0</v>
      </c>
      <c r="U67" s="64">
        <f>IFERROR(s_RadSpec!$N$5*U5,".")*$B$67</f>
        <v>0</v>
      </c>
      <c r="V67" s="64">
        <f>IFERROR(s_RadSpec!$O$5*V5,".")*$B$67</f>
        <v>0</v>
      </c>
      <c r="W67" s="64">
        <f>IFERROR(s_RadSpec!$K$5*W5,".")*$B$67</f>
        <v>0</v>
      </c>
      <c r="X67" s="73">
        <f t="shared" si="71"/>
        <v>0</v>
      </c>
      <c r="Y67" s="73">
        <f t="shared" si="71"/>
        <v>0</v>
      </c>
      <c r="Z67" s="73">
        <f t="shared" si="71"/>
        <v>0</v>
      </c>
      <c r="AA67" s="73">
        <f t="shared" si="71"/>
        <v>0</v>
      </c>
      <c r="AB67" s="73">
        <f t="shared" si="71"/>
        <v>0</v>
      </c>
      <c r="AC67" s="56">
        <f t="shared" si="77"/>
        <v>0</v>
      </c>
      <c r="AD67" s="56">
        <f t="shared" si="77"/>
        <v>129173018227.83745</v>
      </c>
      <c r="AE67" s="56">
        <f t="shared" si="72"/>
        <v>129173018227.83746</v>
      </c>
      <c r="AF67" s="64">
        <f>IFERROR(s_RadSpec!$G$5*AF5,".")*$B$67</f>
        <v>0</v>
      </c>
      <c r="AG67" s="64">
        <f>IFERROR(s_RadSpec!$J$5*AG5,".")*$B$67</f>
        <v>4.3008207721841092E-13</v>
      </c>
      <c r="AH67" s="73">
        <f t="shared" si="73"/>
        <v>0</v>
      </c>
      <c r="AI67" s="73">
        <f t="shared" si="73"/>
        <v>4.3008207721841092E-13</v>
      </c>
      <c r="AJ67" s="73">
        <f t="shared" si="74"/>
        <v>4.3008207721841092E-13</v>
      </c>
    </row>
    <row r="68" spans="1:36" x14ac:dyDescent="0.25">
      <c r="A68" s="55" t="s">
        <v>310</v>
      </c>
      <c r="B68" s="60">
        <v>0.99999979999999999</v>
      </c>
      <c r="C68" s="56">
        <f>IFERROR(C9/$B54,0)</f>
        <v>123467.48484437421</v>
      </c>
      <c r="D68" s="56">
        <f>IFERROR(D9/$B54,0)</f>
        <v>730180.73575732182</v>
      </c>
      <c r="E68" s="56">
        <f>IFERROR(E9/$B54,0)</f>
        <v>1.7702048926630676</v>
      </c>
      <c r="F68" s="56">
        <f t="shared" si="67"/>
        <v>1.770175221418631</v>
      </c>
      <c r="G68" s="64">
        <f>IFERROR(s_RadSpec!$I$9*G9,".")*$B$68</f>
        <v>4.4995652150867766E-7</v>
      </c>
      <c r="H68" s="64">
        <f>IFERROR(s_RadSpec!$G$9*H9,".")*$B$68</f>
        <v>7.608390262772407E-8</v>
      </c>
      <c r="I68" s="64">
        <f>IFERROR(s_RadSpec!$F$9*I9,".")*$B$68</f>
        <v>3.1383372755468979E-2</v>
      </c>
      <c r="J68" s="73">
        <f t="shared" si="68"/>
        <v>4.4995652150867766E-7</v>
      </c>
      <c r="K68" s="73">
        <f t="shared" si="68"/>
        <v>7.608390262772407E-8</v>
      </c>
      <c r="L68" s="73">
        <f t="shared" si="68"/>
        <v>3.0896026210711525E-2</v>
      </c>
      <c r="M68" s="73">
        <f t="shared" si="69"/>
        <v>3.0896535998442887E-2</v>
      </c>
      <c r="N68" s="56">
        <f t="shared" ref="N68:AD68" si="78">IFERROR(N9/$B54,0)</f>
        <v>1.7702048926630676</v>
      </c>
      <c r="O68" s="56">
        <f t="shared" si="78"/>
        <v>20.075264902486705</v>
      </c>
      <c r="P68" s="56">
        <f t="shared" si="78"/>
        <v>4.9161754660024339</v>
      </c>
      <c r="Q68" s="56">
        <f t="shared" si="78"/>
        <v>2.5146995650179651</v>
      </c>
      <c r="R68" s="56">
        <f t="shared" si="78"/>
        <v>36.722650879724718</v>
      </c>
      <c r="S68" s="64">
        <f>IFERROR(s_RadSpec!$F$9*S9,".")*$B$68</f>
        <v>3.1383372755468979E-2</v>
      </c>
      <c r="T68" s="64">
        <f>IFERROR(s_RadSpec!$M$9*T9,".")*$B$68</f>
        <v>2.7673358369043706E-3</v>
      </c>
      <c r="U68" s="64">
        <f>IFERROR(s_RadSpec!$N$9*U9,".")*$B$68</f>
        <v>1.1300451007940587E-2</v>
      </c>
      <c r="V68" s="64">
        <f>IFERROR(s_RadSpec!$O$9*V9,".")*$B$68</f>
        <v>2.2092102282446253E-2</v>
      </c>
      <c r="W68" s="64">
        <f>IFERROR(s_RadSpec!$K$9*W9,".")*$B$68</f>
        <v>1.5128265163088476E-3</v>
      </c>
      <c r="X68" s="73">
        <f t="shared" si="71"/>
        <v>3.0896026210711525E-2</v>
      </c>
      <c r="Y68" s="73">
        <f t="shared" si="71"/>
        <v>2.7673358369043706E-3</v>
      </c>
      <c r="Z68" s="73">
        <f t="shared" si="71"/>
        <v>1.1236840745138532E-2</v>
      </c>
      <c r="AA68" s="73">
        <f t="shared" si="71"/>
        <v>2.1849858958223334E-2</v>
      </c>
      <c r="AB68" s="73">
        <f t="shared" si="71"/>
        <v>1.5128265163088476E-3</v>
      </c>
      <c r="AC68" s="56">
        <f t="shared" si="78"/>
        <v>2.3536338923213651</v>
      </c>
      <c r="AD68" s="56">
        <f t="shared" si="78"/>
        <v>119.02856416225418</v>
      </c>
      <c r="AE68" s="56">
        <f t="shared" si="72"/>
        <v>2.3079962898733264</v>
      </c>
      <c r="AF68" s="64">
        <f>IFERROR(s_RadSpec!$G$9*AF9,".")*$B$68</f>
        <v>2.3603925904213872E-2</v>
      </c>
      <c r="AG68" s="64">
        <f>IFERROR(s_RadSpec!$J$9*AG9,".")*$B$68</f>
        <v>4.6673670636125636E-4</v>
      </c>
      <c r="AH68" s="73">
        <f t="shared" si="73"/>
        <v>2.332753217499961E-2</v>
      </c>
      <c r="AI68" s="73">
        <f t="shared" si="73"/>
        <v>4.6673670636125636E-4</v>
      </c>
      <c r="AJ68" s="73">
        <f t="shared" si="74"/>
        <v>2.3783274701669632E-2</v>
      </c>
    </row>
    <row r="69" spans="1:36" x14ac:dyDescent="0.25">
      <c r="A69" s="55" t="s">
        <v>311</v>
      </c>
      <c r="B69" s="60">
        <v>1.9999999999999999E-7</v>
      </c>
      <c r="C69" s="56">
        <f>IFERROR(C24/$B55,0)</f>
        <v>0</v>
      </c>
      <c r="D69" s="56">
        <f>IFERROR(D24/$B55,0)</f>
        <v>0</v>
      </c>
      <c r="E69" s="56">
        <f>IFERROR(E24/$B55,0)</f>
        <v>33878908791.769711</v>
      </c>
      <c r="F69" s="56">
        <f t="shared" si="67"/>
        <v>33878908791.769711</v>
      </c>
      <c r="G69" s="64">
        <f>IFERROR(s_RadSpec!$I$24*G24,".")*$B$69</f>
        <v>0</v>
      </c>
      <c r="H69" s="64">
        <f>IFERROR(s_RadSpec!$G$24*H24,".")*$B$69</f>
        <v>0</v>
      </c>
      <c r="I69" s="64">
        <f>IFERROR(s_RadSpec!$F$24*I24,".")*$B$69</f>
        <v>1.6398107843867782E-12</v>
      </c>
      <c r="J69" s="73">
        <f t="shared" si="68"/>
        <v>0</v>
      </c>
      <c r="K69" s="73">
        <f t="shared" si="68"/>
        <v>0</v>
      </c>
      <c r="L69" s="73">
        <f t="shared" si="68"/>
        <v>1.6398107843867782E-12</v>
      </c>
      <c r="M69" s="73">
        <f t="shared" si="69"/>
        <v>1.6398107843867782E-12</v>
      </c>
      <c r="N69" s="56">
        <f t="shared" ref="N69:AD69" si="79">IFERROR(N24/$B55,0)</f>
        <v>33878908791.769711</v>
      </c>
      <c r="O69" s="56">
        <f t="shared" si="79"/>
        <v>298469518869.32776</v>
      </c>
      <c r="P69" s="56">
        <f t="shared" si="79"/>
        <v>74862438120.015106</v>
      </c>
      <c r="Q69" s="56">
        <f t="shared" si="79"/>
        <v>40394301025.975555</v>
      </c>
      <c r="R69" s="56">
        <f t="shared" si="79"/>
        <v>507800212647.68768</v>
      </c>
      <c r="S69" s="64">
        <f>IFERROR(s_RadSpec!$F$24*S24,".")*$B$69</f>
        <v>1.6398107843867782E-12</v>
      </c>
      <c r="T69" s="64">
        <f>IFERROR(s_RadSpec!$M$24*T24,".")*$B$69</f>
        <v>1.8613290968690977E-13</v>
      </c>
      <c r="U69" s="64">
        <f>IFERROR(s_RadSpec!$N$24*U24,".")*$B$69</f>
        <v>7.4209445210610732E-13</v>
      </c>
      <c r="V69" s="64">
        <f>IFERROR(s_RadSpec!$O$24*V24,".")*$B$69</f>
        <v>1.3753177698080563E-12</v>
      </c>
      <c r="W69" s="64">
        <f>IFERROR(s_RadSpec!$K$24*W24,".")*$B$69</f>
        <v>1.0940326257512639E-13</v>
      </c>
      <c r="X69" s="73">
        <f t="shared" si="71"/>
        <v>1.6398107843867782E-12</v>
      </c>
      <c r="Y69" s="73">
        <f t="shared" si="71"/>
        <v>1.8613290968690977E-13</v>
      </c>
      <c r="Z69" s="73">
        <f t="shared" si="71"/>
        <v>7.4209445210610732E-13</v>
      </c>
      <c r="AA69" s="73">
        <f t="shared" si="71"/>
        <v>1.3753177698080563E-12</v>
      </c>
      <c r="AB69" s="73">
        <f t="shared" si="71"/>
        <v>1.0940326257512639E-13</v>
      </c>
      <c r="AC69" s="56">
        <f t="shared" si="79"/>
        <v>0</v>
      </c>
      <c r="AD69" s="56">
        <f t="shared" si="79"/>
        <v>1249145670774.6921</v>
      </c>
      <c r="AE69" s="56">
        <f t="shared" si="72"/>
        <v>1249145670774.6921</v>
      </c>
      <c r="AF69" s="64">
        <f>IFERROR(s_RadSpec!$G$24*AF24,".")*$B$69</f>
        <v>0</v>
      </c>
      <c r="AG69" s="64">
        <f>IFERROR(s_RadSpec!$J$24*AG24,".")*$B$69</f>
        <v>4.4474396621449307E-14</v>
      </c>
      <c r="AH69" s="73">
        <f t="shared" si="73"/>
        <v>0</v>
      </c>
      <c r="AI69" s="73">
        <f t="shared" si="73"/>
        <v>4.4474396621449307E-14</v>
      </c>
      <c r="AJ69" s="73">
        <f t="shared" si="74"/>
        <v>4.4474396621449307E-14</v>
      </c>
    </row>
    <row r="70" spans="1:36" x14ac:dyDescent="0.25">
      <c r="A70" s="55" t="s">
        <v>312</v>
      </c>
      <c r="B70" s="60">
        <v>0.99979000004200003</v>
      </c>
      <c r="C70" s="56">
        <f>IFERROR(C20/$B56,0)</f>
        <v>0</v>
      </c>
      <c r="D70" s="56">
        <f>IFERROR(D20/$B56,0)</f>
        <v>0</v>
      </c>
      <c r="E70" s="56">
        <f>IFERROR(E20/$B56,0)</f>
        <v>46645.800103321337</v>
      </c>
      <c r="F70" s="56">
        <f t="shared" si="67"/>
        <v>46645.800103321337</v>
      </c>
      <c r="G70" s="64">
        <f>IFERROR(s_RadSpec!$I$20*G20,".")*$B$70</f>
        <v>0</v>
      </c>
      <c r="H70" s="64">
        <f>IFERROR(s_RadSpec!$G$20*H20,".")*$B$70</f>
        <v>0</v>
      </c>
      <c r="I70" s="64">
        <f>IFERROR(s_RadSpec!$F$20*I20,".")*$B$70</f>
        <v>1.1909968288022629E-6</v>
      </c>
      <c r="J70" s="73">
        <f t="shared" si="68"/>
        <v>0</v>
      </c>
      <c r="K70" s="73">
        <f t="shared" si="68"/>
        <v>0</v>
      </c>
      <c r="L70" s="73">
        <f t="shared" si="68"/>
        <v>1.1909968288022629E-6</v>
      </c>
      <c r="M70" s="73">
        <f t="shared" si="69"/>
        <v>1.1909968288022629E-6</v>
      </c>
      <c r="N70" s="56">
        <f t="shared" ref="N70:AD70" si="80">IFERROR(N20/$B56,0)</f>
        <v>46645.800103321337</v>
      </c>
      <c r="O70" s="56">
        <f t="shared" si="80"/>
        <v>465022.65246433474</v>
      </c>
      <c r="P70" s="56">
        <f t="shared" si="80"/>
        <v>115434.43907067057</v>
      </c>
      <c r="Q70" s="56">
        <f t="shared" si="80"/>
        <v>61711.721133585008</v>
      </c>
      <c r="R70" s="56">
        <f t="shared" si="80"/>
        <v>813311.61500455812</v>
      </c>
      <c r="S70" s="64">
        <f>IFERROR(s_RadSpec!$F$20*S20,".")*$B$70</f>
        <v>1.1909968288022629E-6</v>
      </c>
      <c r="T70" s="64">
        <f>IFERROR(s_RadSpec!$M$20*T20,".")*$B$70</f>
        <v>1.1946729843286686E-7</v>
      </c>
      <c r="U70" s="64">
        <f>IFERROR(s_RadSpec!$N$20*U20,".")*$B$70</f>
        <v>4.8126885223558319E-7</v>
      </c>
      <c r="V70" s="64">
        <f>IFERROR(s_RadSpec!$O$20*V20,".")*$B$70</f>
        <v>9.002341691255407E-7</v>
      </c>
      <c r="W70" s="64">
        <f>IFERROR(s_RadSpec!$K$20*W20,".")*$B$70</f>
        <v>6.8307151865387565E-8</v>
      </c>
      <c r="X70" s="73">
        <f t="shared" si="71"/>
        <v>1.1909968288022629E-6</v>
      </c>
      <c r="Y70" s="73">
        <f t="shared" si="71"/>
        <v>1.1946729843286686E-7</v>
      </c>
      <c r="Z70" s="73">
        <f t="shared" si="71"/>
        <v>4.8126885223558319E-7</v>
      </c>
      <c r="AA70" s="73">
        <f t="shared" si="71"/>
        <v>9.002341691255407E-7</v>
      </c>
      <c r="AB70" s="73">
        <f t="shared" si="71"/>
        <v>6.8307151865387565E-8</v>
      </c>
      <c r="AC70" s="56">
        <f t="shared" si="80"/>
        <v>0</v>
      </c>
      <c r="AD70" s="56">
        <f t="shared" si="80"/>
        <v>2229335.9259507577</v>
      </c>
      <c r="AE70" s="56">
        <f t="shared" si="72"/>
        <v>2229335.9259507577</v>
      </c>
      <c r="AF70" s="64">
        <f>IFERROR(s_RadSpec!$G$20*AF20,".")*$B$70</f>
        <v>0</v>
      </c>
      <c r="AG70" s="64">
        <f>IFERROR(s_RadSpec!$J$20*AG20,".")*$B$70</f>
        <v>2.4919977000014982E-8</v>
      </c>
      <c r="AH70" s="73">
        <f t="shared" si="73"/>
        <v>0</v>
      </c>
      <c r="AI70" s="73">
        <f t="shared" si="73"/>
        <v>2.4919977000014982E-8</v>
      </c>
      <c r="AJ70" s="73">
        <f t="shared" si="74"/>
        <v>2.4919977000014982E-8</v>
      </c>
    </row>
    <row r="71" spans="1:36" x14ac:dyDescent="0.25">
      <c r="A71" s="55" t="s">
        <v>313</v>
      </c>
      <c r="B71" s="60">
        <v>2.0999995799999999E-4</v>
      </c>
      <c r="C71" s="56">
        <f>IFERROR(C29/$B57,0)</f>
        <v>0</v>
      </c>
      <c r="D71" s="56">
        <f>IFERROR(D29/$B57,0)</f>
        <v>0</v>
      </c>
      <c r="E71" s="56">
        <f>IFERROR(E29/$B57,0)</f>
        <v>5015.5775856986274</v>
      </c>
      <c r="F71" s="56">
        <f t="shared" si="67"/>
        <v>5015.5775856986274</v>
      </c>
      <c r="G71" s="64">
        <f>IFERROR(s_RadSpec!$I$29*G29,".")*$B$71</f>
        <v>0</v>
      </c>
      <c r="H71" s="64">
        <f>IFERROR(s_RadSpec!$G$29*H29,".")*$B$71</f>
        <v>0</v>
      </c>
      <c r="I71" s="64">
        <f>IFERROR(s_RadSpec!$F$29*I29,".")*$B$71</f>
        <v>1.1076491002433902E-5</v>
      </c>
      <c r="J71" s="73">
        <f t="shared" si="68"/>
        <v>0</v>
      </c>
      <c r="K71" s="73">
        <f t="shared" si="68"/>
        <v>0</v>
      </c>
      <c r="L71" s="73">
        <f t="shared" si="68"/>
        <v>1.1076491002433902E-5</v>
      </c>
      <c r="M71" s="73">
        <f t="shared" si="69"/>
        <v>1.1076491002433902E-5</v>
      </c>
      <c r="N71" s="56">
        <f t="shared" ref="N71:AD71" si="81">IFERROR(N29/$B57,0)</f>
        <v>5015.5775856986274</v>
      </c>
      <c r="O71" s="56">
        <f t="shared" si="81"/>
        <v>54086.815517507217</v>
      </c>
      <c r="P71" s="56">
        <f t="shared" si="81"/>
        <v>13450.529938105783</v>
      </c>
      <c r="Q71" s="56">
        <f t="shared" si="81"/>
        <v>7148.2471592213551</v>
      </c>
      <c r="R71" s="56">
        <f t="shared" si="81"/>
        <v>100328.57791257965</v>
      </c>
      <c r="S71" s="64">
        <f>IFERROR(s_RadSpec!$F$29*S29,".")*$B$71</f>
        <v>1.1076491002433902E-5</v>
      </c>
      <c r="T71" s="64">
        <f>IFERROR(s_RadSpec!$M$29*T29,".")*$B$71</f>
        <v>1.027144960716305E-6</v>
      </c>
      <c r="U71" s="64">
        <f>IFERROR(s_RadSpec!$N$29*U29,".")*$B$71</f>
        <v>4.130320534257234E-6</v>
      </c>
      <c r="V71" s="64">
        <f>IFERROR(s_RadSpec!$O$29*V29,".")*$B$71</f>
        <v>7.7718353552357414E-6</v>
      </c>
      <c r="W71" s="64">
        <f>IFERROR(s_RadSpec!$K$29*W29,".")*$B$71</f>
        <v>5.5373056367256904E-7</v>
      </c>
      <c r="X71" s="73">
        <f t="shared" si="71"/>
        <v>1.1076491002433902E-5</v>
      </c>
      <c r="Y71" s="73">
        <f t="shared" si="71"/>
        <v>1.027144960716305E-6</v>
      </c>
      <c r="Z71" s="73">
        <f t="shared" si="71"/>
        <v>4.130320534257234E-6</v>
      </c>
      <c r="AA71" s="73">
        <f t="shared" si="71"/>
        <v>7.7718353552357414E-6</v>
      </c>
      <c r="AB71" s="73">
        <f t="shared" si="71"/>
        <v>5.5373056367256904E-7</v>
      </c>
      <c r="AC71" s="56">
        <f t="shared" si="81"/>
        <v>0</v>
      </c>
      <c r="AD71" s="56">
        <f t="shared" si="81"/>
        <v>306394.28241227142</v>
      </c>
      <c r="AE71" s="56">
        <f t="shared" si="72"/>
        <v>306394.28241227142</v>
      </c>
      <c r="AF71" s="64">
        <f>IFERROR(s_RadSpec!$G$29*AF29,".")*$B$71</f>
        <v>0</v>
      </c>
      <c r="AG71" s="64">
        <f>IFERROR(s_RadSpec!$J$29*AG29,".")*$B$71</f>
        <v>1.8131865765447759E-7</v>
      </c>
      <c r="AH71" s="73">
        <f t="shared" si="73"/>
        <v>0</v>
      </c>
      <c r="AI71" s="73">
        <f t="shared" si="73"/>
        <v>1.8131865765447759E-7</v>
      </c>
      <c r="AJ71" s="73">
        <f t="shared" si="74"/>
        <v>1.8131865765447759E-7</v>
      </c>
    </row>
    <row r="72" spans="1:36" x14ac:dyDescent="0.25">
      <c r="A72" s="55" t="s">
        <v>314</v>
      </c>
      <c r="B72" s="60">
        <v>1</v>
      </c>
      <c r="C72" s="56">
        <f>IFERROR(C16/$B58,0)</f>
        <v>30.333363666697</v>
      </c>
      <c r="D72" s="56">
        <f>IFERROR(D16/$B58,0)</f>
        <v>2842.8879509083722</v>
      </c>
      <c r="E72" s="56">
        <f>IFERROR(E16/$B58,0)</f>
        <v>257923839.69427079</v>
      </c>
      <c r="F72" s="56">
        <f t="shared" si="67"/>
        <v>30.013122764519576</v>
      </c>
      <c r="G72" s="64">
        <f>IFERROR(s_RadSpec!$I$16*G16,".")*$B$72</f>
        <v>1.8314816850000001E-3</v>
      </c>
      <c r="H72" s="64">
        <f>IFERROR(s_RadSpec!$G$16*H16,".")*$B$72</f>
        <v>1.9541748025014073E-5</v>
      </c>
      <c r="I72" s="64">
        <f>IFERROR(s_RadSpec!$F$16*I16,".")*$B$72</f>
        <v>2.153930403093097E-10</v>
      </c>
      <c r="J72" s="73">
        <f t="shared" si="68"/>
        <v>1.8314816850000001E-3</v>
      </c>
      <c r="K72" s="73">
        <f t="shared" si="68"/>
        <v>1.9541748025014073E-5</v>
      </c>
      <c r="L72" s="73">
        <f t="shared" si="68"/>
        <v>2.153930403093097E-10</v>
      </c>
      <c r="M72" s="73">
        <f t="shared" si="69"/>
        <v>1.8510236484180543E-3</v>
      </c>
      <c r="N72" s="56">
        <f t="shared" ref="N72:AD72" si="82">IFERROR(N16/$B58,0)</f>
        <v>257923839.69427079</v>
      </c>
      <c r="O72" s="56">
        <f t="shared" si="82"/>
        <v>714925191.55073071</v>
      </c>
      <c r="P72" s="56">
        <f t="shared" si="82"/>
        <v>279027893.57777947</v>
      </c>
      <c r="Q72" s="56">
        <f t="shared" si="82"/>
        <v>277377820.63452315</v>
      </c>
      <c r="R72" s="56">
        <f t="shared" si="82"/>
        <v>9279367840.0405693</v>
      </c>
      <c r="S72" s="64">
        <f>IFERROR(s_RadSpec!$F$16*S16,".")*$B$72</f>
        <v>2.153930403093097E-10</v>
      </c>
      <c r="T72" s="64">
        <f>IFERROR(s_RadSpec!$M$16*T16,".")*$B$72</f>
        <v>7.7707431010364449E-11</v>
      </c>
      <c r="U72" s="64">
        <f>IFERROR(s_RadSpec!$N$16*U16,".")*$B$72</f>
        <v>1.9910195818653507E-10</v>
      </c>
      <c r="V72" s="64">
        <f>IFERROR(s_RadSpec!$O$16*V16,".")*$B$72</f>
        <v>2.0028638148830228E-10</v>
      </c>
      <c r="W72" s="64">
        <f>IFERROR(s_RadSpec!$K$16*W16,".")*$B$72</f>
        <v>5.9869380067335596E-12</v>
      </c>
      <c r="X72" s="73">
        <f t="shared" si="71"/>
        <v>2.153930403093097E-10</v>
      </c>
      <c r="Y72" s="73">
        <f t="shared" si="71"/>
        <v>7.7707431010364449E-11</v>
      </c>
      <c r="Z72" s="73">
        <f t="shared" si="71"/>
        <v>1.9910195818653507E-10</v>
      </c>
      <c r="AA72" s="73">
        <f t="shared" si="71"/>
        <v>2.0028638148830228E-10</v>
      </c>
      <c r="AB72" s="73">
        <f t="shared" si="71"/>
        <v>5.9869380067335596E-12</v>
      </c>
      <c r="AC72" s="56">
        <f t="shared" si="82"/>
        <v>9.1636455272818898E-3</v>
      </c>
      <c r="AD72" s="56">
        <f t="shared" si="82"/>
        <v>202383.83864776907</v>
      </c>
      <c r="AE72" s="56">
        <f t="shared" si="72"/>
        <v>9.1636451123653824E-3</v>
      </c>
      <c r="AF72" s="64">
        <f>IFERROR(s_RadSpec!$G$16*AF16,".")*$B$72</f>
        <v>6.0625435406249997</v>
      </c>
      <c r="AG72" s="64">
        <f>IFERROR(s_RadSpec!$J$16*AG16,".")*$B$72</f>
        <v>2.7450314398220543E-7</v>
      </c>
      <c r="AH72" s="73">
        <f t="shared" si="73"/>
        <v>0.99767152921104285</v>
      </c>
      <c r="AI72" s="73">
        <f t="shared" si="73"/>
        <v>2.7450314398220543E-7</v>
      </c>
      <c r="AJ72" s="73">
        <f t="shared" si="74"/>
        <v>0.99767152985021534</v>
      </c>
    </row>
    <row r="73" spans="1:36" x14ac:dyDescent="0.25">
      <c r="A73" s="55" t="s">
        <v>315</v>
      </c>
      <c r="B73" s="60">
        <v>1</v>
      </c>
      <c r="C73" s="56">
        <f>IFERROR(C7/$B59,0)</f>
        <v>4865.3514000048654</v>
      </c>
      <c r="D73" s="56">
        <f>IFERROR(D7/$B59,0)</f>
        <v>99154.384629243243</v>
      </c>
      <c r="E73" s="56">
        <f>IFERROR(E7/$B59,0)</f>
        <v>16594.489932919259</v>
      </c>
      <c r="F73" s="56">
        <f t="shared" si="67"/>
        <v>3624.7479787746202</v>
      </c>
      <c r="G73" s="64">
        <f>IFERROR(s_RadSpec!$I$7*G7,".")*$B$73</f>
        <v>1.1418496925000001E-5</v>
      </c>
      <c r="H73" s="64">
        <f>IFERROR(s_RadSpec!$G$7*H7,".")*$B$73</f>
        <v>5.6028788043746651E-7</v>
      </c>
      <c r="I73" s="64">
        <f>IFERROR(s_RadSpec!$F$7*I7,".")*$B$73</f>
        <v>3.3477979874387681E-6</v>
      </c>
      <c r="J73" s="73">
        <f t="shared" si="68"/>
        <v>1.1418496925000001E-5</v>
      </c>
      <c r="K73" s="73">
        <f t="shared" si="68"/>
        <v>5.6028788043746651E-7</v>
      </c>
      <c r="L73" s="73">
        <f t="shared" si="68"/>
        <v>3.3477979874387681E-6</v>
      </c>
      <c r="M73" s="73">
        <f t="shared" si="69"/>
        <v>1.5326582792876236E-5</v>
      </c>
      <c r="N73" s="56">
        <f t="shared" ref="N73:AD73" si="83">IFERROR(N7/$B59,0)</f>
        <v>16594.489932919259</v>
      </c>
      <c r="O73" s="56">
        <f t="shared" si="83"/>
        <v>76525.810022494145</v>
      </c>
      <c r="P73" s="56">
        <f t="shared" si="83"/>
        <v>26044.730986862778</v>
      </c>
      <c r="Q73" s="56">
        <f t="shared" si="83"/>
        <v>18333.543435043466</v>
      </c>
      <c r="R73" s="56">
        <f t="shared" si="83"/>
        <v>25925.542796089037</v>
      </c>
      <c r="S73" s="64">
        <f>IFERROR(s_RadSpec!$F$7*S7,".")*$B$73</f>
        <v>3.3477979874387681E-6</v>
      </c>
      <c r="T73" s="64">
        <f>IFERROR(s_RadSpec!$M$7*T7,".")*$B$73</f>
        <v>7.2596422022413151E-7</v>
      </c>
      <c r="U73" s="64">
        <f>IFERROR(s_RadSpec!$N$7*U7,".")*$B$73</f>
        <v>2.1330610029346235E-6</v>
      </c>
      <c r="V73" s="64">
        <f>IFERROR(s_RadSpec!$O$7*V7,".")*$B$73</f>
        <v>3.0302380004625808E-6</v>
      </c>
      <c r="W73" s="64">
        <f>IFERROR(s_RadSpec!$K$7*W7,".")*$B$73</f>
        <v>2.1428673812908809E-6</v>
      </c>
      <c r="X73" s="73">
        <f t="shared" si="71"/>
        <v>3.3477979874387681E-6</v>
      </c>
      <c r="Y73" s="73">
        <f t="shared" si="71"/>
        <v>7.2596422022413151E-7</v>
      </c>
      <c r="Z73" s="73">
        <f t="shared" si="71"/>
        <v>2.1330610029346235E-6</v>
      </c>
      <c r="AA73" s="73">
        <f t="shared" si="71"/>
        <v>3.0302380004625808E-6</v>
      </c>
      <c r="AB73" s="73">
        <f t="shared" si="71"/>
        <v>2.1428673812908809E-6</v>
      </c>
      <c r="AC73" s="56">
        <f t="shared" si="83"/>
        <v>0.31961007570763672</v>
      </c>
      <c r="AD73" s="56">
        <f t="shared" si="83"/>
        <v>150559.27952383706</v>
      </c>
      <c r="AE73" s="56">
        <f t="shared" si="72"/>
        <v>0.3196093972347856</v>
      </c>
      <c r="AF73" s="64">
        <f>IFERROR(s_RadSpec!$G$7*AF7,".")*$B$73</f>
        <v>0.1738211784375</v>
      </c>
      <c r="AG73" s="64">
        <f>IFERROR(s_RadSpec!$J$7*AG7,".")*$B$73</f>
        <v>3.6899087306806843E-7</v>
      </c>
      <c r="AH73" s="73">
        <f t="shared" si="73"/>
        <v>0.15955282570141405</v>
      </c>
      <c r="AI73" s="73">
        <f t="shared" si="73"/>
        <v>3.6899087306806843E-7</v>
      </c>
      <c r="AJ73" s="73">
        <f t="shared" si="74"/>
        <v>0.15955313581869346</v>
      </c>
    </row>
    <row r="74" spans="1:36" x14ac:dyDescent="0.25">
      <c r="A74" s="55" t="s">
        <v>316</v>
      </c>
      <c r="B74" s="62">
        <v>1.9000000000000001E-8</v>
      </c>
      <c r="C74" s="56">
        <f>IFERROR(C12/$B60,0)</f>
        <v>0</v>
      </c>
      <c r="D74" s="56">
        <f>IFERROR(D12/$B60,0)</f>
        <v>0</v>
      </c>
      <c r="E74" s="56">
        <f>IFERROR(E12/$B60,0)</f>
        <v>3880526047.062716</v>
      </c>
      <c r="F74" s="56">
        <f t="shared" si="67"/>
        <v>3880526047.062716</v>
      </c>
      <c r="G74" s="64">
        <f>IFERROR(s_RadSpec!$I$12*G12,".")*$B$74</f>
        <v>0</v>
      </c>
      <c r="H74" s="64">
        <f>IFERROR(s_RadSpec!$G$12*H12,".")*$B$74</f>
        <v>0</v>
      </c>
      <c r="I74" s="64">
        <f>IFERROR(s_RadSpec!$F$12*I12,".")*$B$74</f>
        <v>1.4316357969572497E-11</v>
      </c>
      <c r="J74" s="73">
        <f t="shared" si="68"/>
        <v>0</v>
      </c>
      <c r="K74" s="73">
        <f t="shared" si="68"/>
        <v>0</v>
      </c>
      <c r="L74" s="73">
        <f t="shared" si="68"/>
        <v>1.4316357969572497E-11</v>
      </c>
      <c r="M74" s="73">
        <f t="shared" si="69"/>
        <v>1.4316357969572497E-11</v>
      </c>
      <c r="N74" s="56">
        <f t="shared" ref="N74:AD74" si="84">IFERROR(N12/$B60,0)</f>
        <v>3880526047.062716</v>
      </c>
      <c r="O74" s="56">
        <f t="shared" si="84"/>
        <v>30635967491.480095</v>
      </c>
      <c r="P74" s="56">
        <f t="shared" si="84"/>
        <v>7964446097.0097523</v>
      </c>
      <c r="Q74" s="56">
        <f t="shared" si="84"/>
        <v>4769114383.6751995</v>
      </c>
      <c r="R74" s="56">
        <f t="shared" si="84"/>
        <v>51990078573.620018</v>
      </c>
      <c r="S74" s="64">
        <f>IFERROR(s_RadSpec!$F$12*S12,".")*$B$74</f>
        <v>1.4316357969572497E-11</v>
      </c>
      <c r="T74" s="64">
        <f>IFERROR(s_RadSpec!$M$12*T12,".")*$B$74</f>
        <v>1.813391400661654E-12</v>
      </c>
      <c r="U74" s="64">
        <f>IFERROR(s_RadSpec!$N$12*U12,".")*$B$74</f>
        <v>6.9753752267666282E-12</v>
      </c>
      <c r="V74" s="64">
        <f>IFERROR(s_RadSpec!$O$12*V12,".")*$B$74</f>
        <v>1.1648913305616278E-11</v>
      </c>
      <c r="W74" s="64">
        <f>IFERROR(s_RadSpec!$K$12*W12,".")*$B$74</f>
        <v>1.0685692640631788E-12</v>
      </c>
      <c r="X74" s="73">
        <f t="shared" si="71"/>
        <v>1.4316357969572497E-11</v>
      </c>
      <c r="Y74" s="73">
        <f t="shared" si="71"/>
        <v>1.813391400661654E-12</v>
      </c>
      <c r="Z74" s="73">
        <f t="shared" si="71"/>
        <v>6.9753752267666282E-12</v>
      </c>
      <c r="AA74" s="73">
        <f t="shared" si="71"/>
        <v>1.1648913305616278E-11</v>
      </c>
      <c r="AB74" s="73">
        <f t="shared" si="71"/>
        <v>1.0685692640631788E-12</v>
      </c>
      <c r="AC74" s="56">
        <f t="shared" si="84"/>
        <v>0</v>
      </c>
      <c r="AD74" s="56">
        <f t="shared" si="84"/>
        <v>84462357429.47142</v>
      </c>
      <c r="AE74" s="56">
        <f t="shared" si="72"/>
        <v>84462357429.47142</v>
      </c>
      <c r="AF74" s="64">
        <f>IFERROR(s_RadSpec!$G$12*AF12,".")*$B$74</f>
        <v>0</v>
      </c>
      <c r="AG74" s="64">
        <f>IFERROR(s_RadSpec!$J$12*AG12,".")*$B$74</f>
        <v>6.5774863135202041E-13</v>
      </c>
      <c r="AH74" s="73">
        <f t="shared" si="73"/>
        <v>0</v>
      </c>
      <c r="AI74" s="73">
        <f t="shared" si="73"/>
        <v>6.5774863135202041E-13</v>
      </c>
      <c r="AJ74" s="73">
        <f t="shared" si="74"/>
        <v>6.5774863135202041E-13</v>
      </c>
    </row>
    <row r="75" spans="1:36" x14ac:dyDescent="0.25">
      <c r="A75" s="55" t="s">
        <v>317</v>
      </c>
      <c r="B75" s="60">
        <v>1</v>
      </c>
      <c r="C75" s="56">
        <f>IFERROR(C18/$B61,0)</f>
        <v>12.664961118569364</v>
      </c>
      <c r="D75" s="56">
        <f>IFERROR(D18/$B61,0)</f>
        <v>3111.2217626012548</v>
      </c>
      <c r="E75" s="56">
        <f>IFERROR(E18/$B61,0)</f>
        <v>397366.94583399</v>
      </c>
      <c r="F75" s="56">
        <f t="shared" si="67"/>
        <v>12.613214048440216</v>
      </c>
      <c r="G75" s="64">
        <f>IFERROR(s_RadSpec!$I$18*G18,".")*$B$75</f>
        <v>4.3865116899999999E-3</v>
      </c>
      <c r="H75" s="64">
        <f>IFERROR(s_RadSpec!$G$18*H18,".")*$B$75</f>
        <v>1.785632919768186E-5</v>
      </c>
      <c r="I75" s="64">
        <f>IFERROR(s_RadSpec!$F$18*I18,".")*$B$75</f>
        <v>1.3980780380059461E-7</v>
      </c>
      <c r="J75" s="73">
        <f t="shared" si="68"/>
        <v>4.3865116899999999E-3</v>
      </c>
      <c r="K75" s="73">
        <f t="shared" si="68"/>
        <v>1.785632919768186E-5</v>
      </c>
      <c r="L75" s="73">
        <f t="shared" si="68"/>
        <v>1.3980780380059461E-7</v>
      </c>
      <c r="M75" s="73">
        <f t="shared" si="69"/>
        <v>4.4045078270014831E-3</v>
      </c>
      <c r="N75" s="56">
        <f t="shared" ref="N75:AD75" si="85">IFERROR(N18/$B61,0)</f>
        <v>397366.94583399</v>
      </c>
      <c r="O75" s="56">
        <f t="shared" si="85"/>
        <v>3960095.2955493489</v>
      </c>
      <c r="P75" s="56">
        <f t="shared" si="85"/>
        <v>976750.45602320589</v>
      </c>
      <c r="Q75" s="56">
        <f t="shared" si="85"/>
        <v>519451.24937339174</v>
      </c>
      <c r="R75" s="56">
        <f t="shared" si="85"/>
        <v>6924794.1212073518</v>
      </c>
      <c r="S75" s="64">
        <f>IFERROR(s_RadSpec!$F$18*S18,".")*$B$75</f>
        <v>1.3980780380059461E-7</v>
      </c>
      <c r="T75" s="64">
        <f>IFERROR(s_RadSpec!$M$18*T18,".")*$B$75</f>
        <v>1.4028702809863406E-8</v>
      </c>
      <c r="U75" s="64">
        <f>IFERROR(s_RadSpec!$N$18*U18,".")*$B$75</f>
        <v>5.6877372984487336E-8</v>
      </c>
      <c r="V75" s="64">
        <f>IFERROR(s_RadSpec!$O$18*V18,".")*$B$75</f>
        <v>1.069494010593205E-7</v>
      </c>
      <c r="W75" s="64">
        <f>IFERROR(s_RadSpec!$K$18*W18,".")*$B$75</f>
        <v>8.0226211823195489E-9</v>
      </c>
      <c r="X75" s="73">
        <f t="shared" si="71"/>
        <v>1.3980780380059461E-7</v>
      </c>
      <c r="Y75" s="73">
        <f t="shared" si="71"/>
        <v>1.4028702809863406E-8</v>
      </c>
      <c r="Z75" s="73">
        <f t="shared" si="71"/>
        <v>5.6877372984487336E-8</v>
      </c>
      <c r="AA75" s="73">
        <f t="shared" si="71"/>
        <v>1.069494010593205E-7</v>
      </c>
      <c r="AB75" s="73">
        <f t="shared" si="71"/>
        <v>8.0226211823195489E-9</v>
      </c>
      <c r="AC75" s="56">
        <f t="shared" si="85"/>
        <v>1.0028581457152885E-2</v>
      </c>
      <c r="AD75" s="56">
        <f t="shared" si="85"/>
        <v>19051216.096172679</v>
      </c>
      <c r="AE75" s="56">
        <f t="shared" si="72"/>
        <v>1.0028581451873828E-2</v>
      </c>
      <c r="AF75" s="64">
        <f>IFERROR(s_RadSpec!$G$18*AF18,".")*$B$75</f>
        <v>5.5396668250000003</v>
      </c>
      <c r="AG75" s="64">
        <f>IFERROR(s_RadSpec!$J$18*AG18,".")*$B$75</f>
        <v>2.9160868114430133E-9</v>
      </c>
      <c r="AH75" s="73">
        <f t="shared" si="73"/>
        <v>0.99607216472315763</v>
      </c>
      <c r="AI75" s="73">
        <f t="shared" si="73"/>
        <v>2.9160868114430133E-9</v>
      </c>
      <c r="AJ75" s="73">
        <f t="shared" si="74"/>
        <v>0.99607216473461158</v>
      </c>
    </row>
    <row r="76" spans="1:36" x14ac:dyDescent="0.25">
      <c r="A76" s="55" t="s">
        <v>318</v>
      </c>
      <c r="B76" s="60">
        <v>1.339E-6</v>
      </c>
      <c r="C76" s="56">
        <f>IFERROR(C27/$B62,0)</f>
        <v>0</v>
      </c>
      <c r="D76" s="56">
        <f>IFERROR(D27/$B62,0)</f>
        <v>0</v>
      </c>
      <c r="E76" s="56">
        <f>IFERROR(E27/$B62,0)</f>
        <v>3594488282.2813702</v>
      </c>
      <c r="F76" s="56">
        <f t="shared" si="67"/>
        <v>3594488282.2813702</v>
      </c>
      <c r="G76" s="64">
        <f>IFERROR(s_RadSpec!$I$27*G27,".")*$B$76</f>
        <v>0</v>
      </c>
      <c r="H76" s="64">
        <f>IFERROR(s_RadSpec!$G$27*H27,".")*$B$76</f>
        <v>0</v>
      </c>
      <c r="I76" s="64">
        <f>IFERROR(s_RadSpec!$F$27*I27,".")*$B$76</f>
        <v>1.5455607484896298E-11</v>
      </c>
      <c r="J76" s="73">
        <f t="shared" si="68"/>
        <v>0</v>
      </c>
      <c r="K76" s="73">
        <f t="shared" si="68"/>
        <v>0</v>
      </c>
      <c r="L76" s="73">
        <f t="shared" si="68"/>
        <v>1.5455607484896298E-11</v>
      </c>
      <c r="M76" s="73">
        <f t="shared" si="69"/>
        <v>1.5455607484896298E-11</v>
      </c>
      <c r="N76" s="56">
        <f t="shared" ref="N76:AD76" si="86">IFERROR(N27/$B62,0)</f>
        <v>3594488282.2813702</v>
      </c>
      <c r="O76" s="56">
        <f t="shared" si="86"/>
        <v>31397272725.903416</v>
      </c>
      <c r="P76" s="56">
        <f t="shared" si="86"/>
        <v>9053502944.4361</v>
      </c>
      <c r="Q76" s="56">
        <f t="shared" si="86"/>
        <v>4953986860.4334974</v>
      </c>
      <c r="R76" s="56">
        <f t="shared" si="86"/>
        <v>23763102056.033272</v>
      </c>
      <c r="S76" s="64">
        <f>IFERROR(s_RadSpec!$F$27*S27,".")*$B$76</f>
        <v>1.5455607484896298E-11</v>
      </c>
      <c r="T76" s="64">
        <f>IFERROR(s_RadSpec!$M$27*T27,".")*$B$76</f>
        <v>1.7694212005288576E-12</v>
      </c>
      <c r="U76" s="64">
        <f>IFERROR(s_RadSpec!$N$27*U27,".")*$B$76</f>
        <v>6.1362988824277953E-12</v>
      </c>
      <c r="V76" s="64">
        <f>IFERROR(s_RadSpec!$O$27*V27,".")*$B$76</f>
        <v>1.1214200110966519E-11</v>
      </c>
      <c r="W76" s="64">
        <f>IFERROR(s_RadSpec!$K$27*W27,".")*$B$76</f>
        <v>2.337868173481795E-12</v>
      </c>
      <c r="X76" s="73">
        <f t="shared" si="71"/>
        <v>1.5455607484896298E-11</v>
      </c>
      <c r="Y76" s="73">
        <f t="shared" si="71"/>
        <v>1.7694212005288576E-12</v>
      </c>
      <c r="Z76" s="73">
        <f t="shared" si="71"/>
        <v>6.1362988824277953E-12</v>
      </c>
      <c r="AA76" s="73">
        <f t="shared" si="71"/>
        <v>1.1214200110966519E-11</v>
      </c>
      <c r="AB76" s="73">
        <f t="shared" si="71"/>
        <v>2.337868173481795E-12</v>
      </c>
      <c r="AC76" s="56">
        <f t="shared" si="86"/>
        <v>0</v>
      </c>
      <c r="AD76" s="56">
        <f t="shared" si="86"/>
        <v>63274580199.646706</v>
      </c>
      <c r="AE76" s="56">
        <f t="shared" si="72"/>
        <v>63274580199.646698</v>
      </c>
      <c r="AF76" s="64">
        <f>IFERROR(s_RadSpec!$G$27*AF27,".")*$B$76</f>
        <v>0</v>
      </c>
      <c r="AG76" s="64">
        <f>IFERROR(s_RadSpec!$J$27*AG27,".")*$B$76</f>
        <v>8.7799871330177839E-13</v>
      </c>
      <c r="AH76" s="73">
        <f t="shared" si="73"/>
        <v>0</v>
      </c>
      <c r="AI76" s="73">
        <f t="shared" si="73"/>
        <v>8.7799871330177839E-13</v>
      </c>
      <c r="AJ76" s="73">
        <f t="shared" si="74"/>
        <v>8.7799871330177839E-13</v>
      </c>
    </row>
  </sheetData>
  <sheetProtection algorithmName="SHA-512" hashValue="qjOWzL65sAXfKwsCdB2i77vDToWMHLKVCOzB1B/pBVwFbjaEK3aAUW0sCPz3KT/Mm+Om+xDitnHeA/ovlfkbPQ==" saltValue="wId51p4B7i5IVeTNV+PwLQ==" spinCount="100000" sheet="1" objects="1" scenarios="1" formatColumns="0" formatRows="0" autoFilter="0"/>
  <autoFilter ref="A1:AJ76" xr:uid="{00000000-0009-0000-0000-000009000000}"/>
  <pageMargins left="0.7" right="0.7" top="0.75" bottom="0.75" header="0.3" footer="0.3"/>
  <pageSetup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9" tint="-0.499984740745262"/>
  </sheetPr>
  <dimension ref="A1:AJ76"/>
  <sheetViews>
    <sheetView zoomScale="90" zoomScaleNormal="90" workbookViewId="0">
      <pane xSplit="2" ySplit="1" topLeftCell="C2" activePane="bottomRight" state="frozen"/>
      <selection activeCell="AA1390" sqref="AA1390"/>
      <selection pane="topRight" activeCell="AA1390" sqref="AA1390"/>
      <selection pane="bottomLeft" activeCell="AA1390" sqref="AA1390"/>
      <selection pane="bottomRight" activeCell="C2" sqref="C2"/>
    </sheetView>
  </sheetViews>
  <sheetFormatPr defaultColWidth="9.140625" defaultRowHeight="15" x14ac:dyDescent="0.25"/>
  <cols>
    <col min="1" max="1" width="15.42578125" style="3" customWidth="1"/>
    <col min="2" max="2" width="13.28515625" style="3" bestFit="1" customWidth="1"/>
    <col min="3" max="3" width="14.42578125" style="2" bestFit="1" customWidth="1"/>
    <col min="4" max="4" width="14.5703125" style="2" bestFit="1" customWidth="1"/>
    <col min="5" max="5" width="14.28515625" style="2" bestFit="1" customWidth="1"/>
    <col min="6" max="8" width="14.140625" style="2" bestFit="1" customWidth="1"/>
    <col min="9" max="9" width="14" style="2" bestFit="1" customWidth="1"/>
    <col min="10" max="11" width="14.5703125" style="2" bestFit="1" customWidth="1"/>
    <col min="12" max="12" width="14.42578125" style="2" bestFit="1" customWidth="1"/>
    <col min="13" max="13" width="14.28515625" style="2" bestFit="1" customWidth="1"/>
    <col min="14" max="14" width="13.5703125" style="2" bestFit="1" customWidth="1"/>
    <col min="15" max="16" width="15.42578125" style="2" bestFit="1" customWidth="1"/>
    <col min="17" max="17" width="16.42578125" style="2" bestFit="1" customWidth="1"/>
    <col min="18" max="18" width="13.85546875" style="2" bestFit="1" customWidth="1"/>
    <col min="19" max="19" width="13.140625" style="2" bestFit="1" customWidth="1"/>
    <col min="20" max="21" width="14.85546875" style="2" bestFit="1" customWidth="1"/>
    <col min="22" max="22" width="16" style="2" bestFit="1" customWidth="1"/>
    <col min="23" max="24" width="13.5703125" style="2" bestFit="1" customWidth="1"/>
    <col min="25" max="25" width="15.42578125" style="2" bestFit="1" customWidth="1"/>
    <col min="26" max="26" width="13" style="2" bestFit="1" customWidth="1"/>
    <col min="27" max="27" width="14.140625" style="2" bestFit="1" customWidth="1"/>
    <col min="28" max="28" width="11.7109375" style="2" bestFit="1" customWidth="1"/>
    <col min="29" max="29" width="11.28515625" style="2" bestFit="1" customWidth="1"/>
    <col min="30" max="30" width="11.5703125" style="2" bestFit="1" customWidth="1"/>
    <col min="31" max="31" width="10.7109375" style="2" bestFit="1" customWidth="1"/>
    <col min="32" max="32" width="11" style="2" bestFit="1" customWidth="1"/>
    <col min="33" max="33" width="11.42578125" style="2" bestFit="1" customWidth="1"/>
    <col min="34" max="34" width="11.5703125" style="2" bestFit="1" customWidth="1"/>
    <col min="35" max="35" width="12" style="2" bestFit="1" customWidth="1"/>
    <col min="36" max="36" width="11.42578125" style="2" bestFit="1" customWidth="1"/>
    <col min="37" max="16384" width="9.140625" style="2"/>
  </cols>
  <sheetData>
    <row r="1" spans="1:36" x14ac:dyDescent="0.25">
      <c r="A1" s="47" t="s">
        <v>51</v>
      </c>
      <c r="B1" s="47" t="s">
        <v>274</v>
      </c>
      <c r="C1" s="48" t="s">
        <v>364</v>
      </c>
      <c r="D1" s="48" t="s">
        <v>365</v>
      </c>
      <c r="E1" s="48" t="s">
        <v>366</v>
      </c>
      <c r="F1" s="48" t="s">
        <v>367</v>
      </c>
      <c r="G1" s="65" t="s">
        <v>376</v>
      </c>
      <c r="H1" s="65" t="s">
        <v>377</v>
      </c>
      <c r="I1" s="65" t="s">
        <v>378</v>
      </c>
      <c r="J1" s="66" t="s">
        <v>379</v>
      </c>
      <c r="K1" s="66" t="s">
        <v>380</v>
      </c>
      <c r="L1" s="66" t="s">
        <v>381</v>
      </c>
      <c r="M1" s="66" t="s">
        <v>382</v>
      </c>
      <c r="N1" s="48" t="s">
        <v>368</v>
      </c>
      <c r="O1" s="50" t="s">
        <v>369</v>
      </c>
      <c r="P1" s="50" t="s">
        <v>370</v>
      </c>
      <c r="Q1" s="50" t="s">
        <v>371</v>
      </c>
      <c r="R1" s="50" t="s">
        <v>372</v>
      </c>
      <c r="S1" s="67" t="s">
        <v>394</v>
      </c>
      <c r="T1" s="67" t="s">
        <v>395</v>
      </c>
      <c r="U1" s="67" t="s">
        <v>396</v>
      </c>
      <c r="V1" s="67" t="s">
        <v>397</v>
      </c>
      <c r="W1" s="67" t="s">
        <v>398</v>
      </c>
      <c r="X1" s="68" t="s">
        <v>399</v>
      </c>
      <c r="Y1" s="68" t="s">
        <v>400</v>
      </c>
      <c r="Z1" s="68" t="s">
        <v>401</v>
      </c>
      <c r="AA1" s="68" t="s">
        <v>402</v>
      </c>
      <c r="AB1" s="68" t="s">
        <v>403</v>
      </c>
      <c r="AC1" s="50" t="s">
        <v>373</v>
      </c>
      <c r="AD1" s="50" t="s">
        <v>374</v>
      </c>
      <c r="AE1" s="50" t="s">
        <v>375</v>
      </c>
      <c r="AF1" s="67" t="s">
        <v>404</v>
      </c>
      <c r="AG1" s="67" t="s">
        <v>405</v>
      </c>
      <c r="AH1" s="68" t="s">
        <v>406</v>
      </c>
      <c r="AI1" s="68" t="s">
        <v>407</v>
      </c>
      <c r="AJ1" s="68" t="s">
        <v>408</v>
      </c>
    </row>
    <row r="2" spans="1:36" x14ac:dyDescent="0.25">
      <c r="A2" s="49" t="s">
        <v>12</v>
      </c>
      <c r="B2" s="50" t="s">
        <v>289</v>
      </c>
      <c r="C2" s="48">
        <f>IFERROR((s_TR/(s_RadSpec!I2*s_EF_w*s_ED_com*s_IRS_w*(1/1000)))*1,".")</f>
        <v>201.39364401659481</v>
      </c>
      <c r="D2" s="48">
        <f>IFERROR(IF(A2="H-3",(s_TR/(s_RadSpec!G2*s_EF_w*s_ED_com*(s_ET_w_o+s_ET_w_i)*(1/24)*s_IRA_w*(1/17)*1000))*1,(s_TR/(s_RadSpec!G2*s_EF_w*s_ED_com*(s_ET_w_o+s_ET_w_i)*(1/24)*s_IRA_w*(1/s_PEF_wind)*1000))*1),".")</f>
        <v>1579.7913613208443</v>
      </c>
      <c r="E2" s="48">
        <f>IFERROR((s_TR/(s_RadSpec!F2*s_EF_w*(1/365)*s_ED_com*s_RadSpec!Q2*(s_ET_w_o+s_ET_w_i)*(1/24)*s_RadSpec!V2))*1,".")</f>
        <v>2051.2286804300215</v>
      </c>
      <c r="F2" s="48">
        <f t="shared" ref="F2:F30" si="0">(IF(AND(ISNUMBER(C2),ISNUMBER(D2),ISNUMBER(E2)),1/((1/C2)+(1/D2)+(1/E2)),IF(AND(ISNUMBER(C2),ISNUMBER(D2),NOT(ISNUMBER(E2))), 1/((1/C2)+(1/D2)),IF(AND(ISNUMBER(C2),NOT(ISNUMBER(D2)),ISNUMBER(E2)),1/((1/C2)+(1/E2)),IF(AND(NOT(ISNUMBER(C2)),ISNUMBER(D2),ISNUMBER(E2)),1/((1/D2)+(1/E2)),IF(AND(ISNUMBER(C2),NOT(ISNUMBER(D2)),NOT(ISNUMBER(E2))),1/((1/C2)),IF(AND(NOT(ISNUMBER(C2)),NOT(ISNUMBER(D2)),ISNUMBER(E2)),1/((1/E2)),IF(AND(NOT(ISNUMBER(C2)),ISNUMBER(D2),NOT(ISNUMBER(E2))),1/((1/D2)),IF(AND(NOT(ISNUMBER(C2)),NOT(ISNUMBER(D2)),NOT(ISNUMBER(E2))),".")))))))))</f>
        <v>164.31402763400447</v>
      </c>
      <c r="G2" s="69">
        <f t="shared" ref="G2:G30" si="1">s_C*s_EF_w*s_ED_com*s_IRS_w*(1/1000)*1</f>
        <v>3055525</v>
      </c>
      <c r="H2" s="69">
        <f t="shared" ref="H2:H30" si="2">s_C*s_EF_w*s_ED_com*(s_ET_w_o+s_ET_w_i)*(1/24)*s_IRA_w*(1/s_PEF_wind)*1000*1</f>
        <v>1231.1313567072434</v>
      </c>
      <c r="I2" s="69">
        <f>s_C*s_EF_w*(1/365)*s_ED_com*(s_ET_w_o+s_ET_w_i)*(1/24)*s_RadSpec!V2*s_RadSpec!Q2*1</f>
        <v>657.09577560893558</v>
      </c>
      <c r="J2" s="11"/>
      <c r="K2" s="11"/>
      <c r="L2" s="11"/>
      <c r="M2" s="11"/>
      <c r="N2" s="48">
        <f>IFERROR((s_TR/(s_RadSpec!F2*s_EF_w*(1/365)*s_ED_com*s_RadSpec!Q2*(s_ET_w_o+s_ET_w_i)*(1/24)*s_RadSpec!V2))*1,".")</f>
        <v>2051.2286804300215</v>
      </c>
      <c r="O2" s="48">
        <f>IFERROR((s_TR/(s_RadSpec!M2*s_EF_w*(1/365)*s_ED_com*s_RadSpec!R2*(s_ET_w_o+s_ET_w_i)*(1/24)*s_RadSpec!W2))*1,".")</f>
        <v>14806.341488526072</v>
      </c>
      <c r="P2" s="48">
        <f>IFERROR((s_TR/(s_RadSpec!N2*s_EF_w*(1/365)*s_ED_com*s_RadSpec!S2*(s_ET_w_o+s_ET_w_i)*(1/24)*s_RadSpec!X2))*1,".")</f>
        <v>3884.2447303557651</v>
      </c>
      <c r="Q2" s="48">
        <f>IFERROR((s_TR/(s_RadSpec!O2*s_EF_w*(1/365)*s_ED_com*s_RadSpec!T2*(s_ET_w_o+s_ET_w_i)*(1/24)*s_RadSpec!Y2))*1,".")</f>
        <v>2402.7280902312823</v>
      </c>
      <c r="R2" s="48">
        <f>IFERROR((s_TR/(s_RadSpec!K2*s_EF_w*(1/365)*s_ED_com*s_RadSpec!P2*(s_ET_w_o+s_ET_w_i)*(1/24)*s_RadSpec!U2))*1,".")</f>
        <v>112480.61359788748</v>
      </c>
      <c r="S2" s="69">
        <f>s_C*s_EF_w*(1/365)*s_ED_com*(s_ET_w_o+s_ET_w_i)*(1/24)*s_RadSpec!V2*s_RadSpec!Q2*1</f>
        <v>657.09577560893558</v>
      </c>
      <c r="T2" s="69">
        <f>s_C*s_EF_w*(1/365)*s_ED_com*(s_ET_w_o+s_ET_w_i)*(1/24)*s_RadSpec!W2*s_RadSpec!R2*1</f>
        <v>324.98344748858455</v>
      </c>
      <c r="U2" s="69">
        <f>s_C*s_EF_w*(1/365)*s_ED_com*(s_ET_w_o+s_ET_w_i)*(1/24)*s_RadSpec!X2*s_RadSpec!S2*1</f>
        <v>478.48784539281121</v>
      </c>
      <c r="V2" s="69">
        <f>s_C*s_EF_w*(1/365)*s_ED_com*(s_ET_w_o+s_ET_w_i)*(1/24)*s_RadSpec!Y2*s_RadSpec!T2*1</f>
        <v>575.64454363552409</v>
      </c>
      <c r="W2" s="69">
        <f>s_C*s_EF_w*(1/365)*s_ED_com*(s_ET_w_o+s_ET_w_i)*(1/24)*s_RadSpec!U2*s_RadSpec!P2*1</f>
        <v>41.067905995632309</v>
      </c>
      <c r="X2" s="11"/>
      <c r="Y2" s="11"/>
      <c r="Z2" s="11"/>
      <c r="AA2" s="11"/>
      <c r="AB2" s="11"/>
      <c r="AC2" s="48">
        <f>IFERROR(s_TR/(s_RadSpec!G2*s_EF_w*s_ED_com*(s_ET_w_o+s_ET_w_i)*(1/24)*s_IRA_w),".")</f>
        <v>5.0922330715076833E-3</v>
      </c>
      <c r="AD2" s="48">
        <f>IFERROR(s_TR/(s_RadSpec!J2*s_EF_w*(1/365)*s_ED_com*(s_ET_w_o+s_ET_w_i)*(1/24)*s_GSF_a),".")</f>
        <v>15465.613066734286</v>
      </c>
      <c r="AE2" s="48">
        <f t="shared" ref="AE2" si="3">IFERROR(IF(AND(ISNUMBER(AC2),ISNUMBER(AD2)),1/((1/AC2)+(1/AD2)),IF(AND(ISNUMBER(AC2),NOT(ISNUMBER(AD2))),1/((1/AC2)),IF(AND(NOT(ISNUMBER(AC2)),ISNUMBER(AD2)),1/((1/AD2)),IF(AND(NOT(ISNUMBER(AC2)),NOT(ISNUMBER(AD2))),".")))),".")</f>
        <v>5.0922313948312389E-3</v>
      </c>
      <c r="AF2" s="69">
        <f t="shared" ref="AF2:AF30" si="4">s_C*s_EF_w*s_ED_com*(s_ET_w_o+s_ET_w_i)*(1/24)*s_IRA_w*1</f>
        <v>381940625</v>
      </c>
      <c r="AG2" s="69">
        <f t="shared" ref="AG2:AG30" si="5">s_C*s_EF_w*(1/365)*s_ED_com*(s_ET_w_o+s_ET_w_i)*(1/24)*s_GSF_a*1</f>
        <v>69760.844748858435</v>
      </c>
      <c r="AH2" s="11"/>
      <c r="AI2" s="11"/>
      <c r="AJ2" s="11"/>
    </row>
    <row r="3" spans="1:36" x14ac:dyDescent="0.25">
      <c r="A3" s="51" t="s">
        <v>13</v>
      </c>
      <c r="B3" s="50" t="s">
        <v>275</v>
      </c>
      <c r="C3" s="48">
        <f>IFERROR((s_TR/(s_RadSpec!I3*s_EF_w*s_ED_com*s_IRS_w*(1/1000)))*1,".")</f>
        <v>199.7562973172729</v>
      </c>
      <c r="D3" s="48">
        <f>IFERROR(IF(A3="H-3",(s_TR/(s_RadSpec!G3*s_EF_w*s_ED_com*(s_ET_w_o+s_ET_w_i)*(1/24)*s_IRA_w*(1/17)*1000))*1,(s_TR/(s_RadSpec!G3*s_EF_w*s_ED_com*(s_ET_w_o+s_ET_w_i)*(1/24)*s_IRA_w*(1/s_PEF_wind)*1000))*1),".")</f>
        <v>1195.685226411463</v>
      </c>
      <c r="E3" s="48">
        <f>IFERROR((s_TR/(s_RadSpec!F3*s_EF_w*(1/365)*s_ED_com*s_RadSpec!Q3*(s_ET_w_o+s_ET_w_i)*(1/24)*s_RadSpec!V3))*1,".")</f>
        <v>400833.45258403098</v>
      </c>
      <c r="F3" s="48">
        <f t="shared" si="0"/>
        <v>171.08829191875577</v>
      </c>
      <c r="G3" s="69">
        <f t="shared" si="1"/>
        <v>3055525</v>
      </c>
      <c r="H3" s="69">
        <f t="shared" si="2"/>
        <v>1231.1313567072434</v>
      </c>
      <c r="I3" s="69">
        <f>s_C*s_EF_w*(1/365)*s_ED_com*(s_ET_w_o+s_ET_w_i)*(1/24)*s_RadSpec!V3*s_RadSpec!Q3*1</f>
        <v>5.008470905046245</v>
      </c>
      <c r="J3" s="4"/>
      <c r="K3" s="4"/>
      <c r="L3" s="4"/>
      <c r="M3" s="4"/>
      <c r="N3" s="48">
        <f>IFERROR((s_TR/(s_RadSpec!F3*s_EF_w*(1/365)*s_ED_com*s_RadSpec!Q3*(s_ET_w_o+s_ET_w_i)*(1/24)*s_RadSpec!V3))*1,".")</f>
        <v>400833.45258403098</v>
      </c>
      <c r="O3" s="48">
        <f>IFERROR((s_TR/(s_RadSpec!M3*s_EF_w*(1/365)*s_ED_com*s_RadSpec!R3*(s_ET_w_o+s_ET_w_i)*(1/24)*s_RadSpec!W3))*1,".")</f>
        <v>1130747.4982238049</v>
      </c>
      <c r="P3" s="48">
        <f>IFERROR((s_TR/(s_RadSpec!N3*s_EF_w*(1/365)*s_ED_com*s_RadSpec!S3*(s_ET_w_o+s_ET_w_i)*(1/24)*s_RadSpec!X3))*1,".")</f>
        <v>457364.95043918426</v>
      </c>
      <c r="Q3" s="48">
        <f>IFERROR((s_TR/(s_RadSpec!O3*s_EF_w*(1/365)*s_ED_com*s_RadSpec!T3*(s_ET_w_o+s_ET_w_i)*(1/24)*s_RadSpec!Y3))*1,".")</f>
        <v>439233.3143148825</v>
      </c>
      <c r="R3" s="48">
        <f>IFERROR((s_TR/(s_RadSpec!K3*s_EF_w*(1/365)*s_ED_com*s_RadSpec!P3*(s_ET_w_o+s_ET_w_i)*(1/24)*s_RadSpec!U3))*1,".")</f>
        <v>1290759.2694386942</v>
      </c>
      <c r="S3" s="69">
        <f>s_C*s_EF_w*(1/365)*s_ED_com*(s_ET_w_o+s_ET_w_i)*(1/24)*s_RadSpec!V3*s_RadSpec!Q3*1</f>
        <v>5.008470905046245</v>
      </c>
      <c r="T3" s="69">
        <f>s_C*s_EF_w*(1/365)*s_ED_com*(s_ET_w_o+s_ET_w_i)*(1/24)*s_RadSpec!W3*s_RadSpec!R3*1</f>
        <v>3.5719595716073429</v>
      </c>
      <c r="U3" s="69">
        <f>s_C*s_EF_w*(1/365)*s_ED_com*(s_ET_w_o+s_ET_w_i)*(1/24)*s_RadSpec!X3*s_RadSpec!S3*1</f>
        <v>4.7114600371430511</v>
      </c>
      <c r="V3" s="69">
        <f>s_C*s_EF_w*(1/365)*s_ED_com*(s_ET_w_o+s_ET_w_i)*(1/24)*s_RadSpec!Y3*s_RadSpec!T3*1</f>
        <v>4.5706065992916667</v>
      </c>
      <c r="W3" s="69">
        <f>s_C*s_EF_w*(1/365)*s_ED_com*(s_ET_w_o+s_ET_w_i)*(1/24)*s_RadSpec!U3*s_RadSpec!P3*1</f>
        <v>2.3038395288869444</v>
      </c>
      <c r="X3" s="11"/>
      <c r="Y3" s="11"/>
      <c r="Z3" s="11"/>
      <c r="AA3" s="11"/>
      <c r="AB3" s="11"/>
      <c r="AC3" s="48">
        <f>IFERROR(s_TR/(s_RadSpec!G3*s_EF_w*s_ED_com*(s_ET_w_o+s_ET_w_i)*(1/24)*s_IRA_w),".")</f>
        <v>3.8541215011803258E-3</v>
      </c>
      <c r="AD3" s="48">
        <f>IFERROR(s_TR/(s_RadSpec!J3*s_EF_w*(1/365)*s_ED_com*(s_ET_w_o+s_ET_w_i)*(1/24)*s_GSF_a),".")</f>
        <v>13723.008777524785</v>
      </c>
      <c r="AE3" s="48">
        <f>IFERROR(IF(AND(ISNUMBER(AC3),ISNUMBER(AD3)),1/((1/AC3)+(1/AD3)),IF(AND(ISNUMBER(AC3),NOT(ISNUMBER(AD3))),1/((1/AC3)),IF(AND(NOT(ISNUMBER(AC3)),ISNUMBER(AD3)),1/((1/AD3)),IF(AND(NOT(ISNUMBER(AC3)),NOT(ISNUMBER(AD3))),".")))),".")</f>
        <v>3.8541204187465378E-3</v>
      </c>
      <c r="AF3" s="69">
        <f t="shared" si="4"/>
        <v>381940625</v>
      </c>
      <c r="AG3" s="69">
        <f t="shared" si="5"/>
        <v>69760.844748858435</v>
      </c>
      <c r="AH3" s="10"/>
      <c r="AI3" s="10"/>
      <c r="AJ3" s="10"/>
    </row>
    <row r="4" spans="1:36" x14ac:dyDescent="0.25">
      <c r="A4" s="49" t="s">
        <v>14</v>
      </c>
      <c r="B4" s="50" t="s">
        <v>289</v>
      </c>
      <c r="C4" s="48" t="str">
        <f>IFERROR((s_TR/(s_RadSpec!I4*s_EF_w*s_ED_com*s_IRS_w*(1/1000)))*1,".")</f>
        <v>.</v>
      </c>
      <c r="D4" s="48" t="str">
        <f>IFERROR(IF(A4="H-3",(s_TR/(s_RadSpec!G4*s_EF_w*s_ED_com*(s_ET_w_o+s_ET_w_i)*(1/24)*s_IRA_w*(1/17)*1000))*1,(s_TR/(s_RadSpec!G4*s_EF_w*s_ED_com*(s_ET_w_o+s_ET_w_i)*(1/24)*s_IRA_w*(1/s_PEF_wind)*1000))*1),".")</f>
        <v>.</v>
      </c>
      <c r="E4" s="48">
        <f>IFERROR((s_TR/(s_RadSpec!F4*s_EF_w*(1/365)*s_ED_com*s_RadSpec!Q4*(s_ET_w_o+s_ET_w_i)*(1/24)*s_RadSpec!V4))*1,".")</f>
        <v>44095.638253448538</v>
      </c>
      <c r="F4" s="48">
        <f t="shared" si="0"/>
        <v>44095.638253448538</v>
      </c>
      <c r="G4" s="69">
        <f t="shared" si="1"/>
        <v>3055525</v>
      </c>
      <c r="H4" s="69">
        <f t="shared" si="2"/>
        <v>1231.1313567072434</v>
      </c>
      <c r="I4" s="69">
        <f>s_C*s_EF_w*(1/365)*s_ED_com*(s_ET_w_o+s_ET_w_i)*(1/24)*s_RadSpec!V4*s_RadSpec!Q4*1</f>
        <v>1345.3877201565551</v>
      </c>
      <c r="J4" s="4"/>
      <c r="K4" s="4"/>
      <c r="L4" s="4"/>
      <c r="M4" s="4"/>
      <c r="N4" s="48">
        <f>IFERROR((s_TR/(s_RadSpec!F4*s_EF_w*(1/365)*s_ED_com*s_RadSpec!Q4*(s_ET_w_o+s_ET_w_i)*(1/24)*s_RadSpec!V4))*1,".")</f>
        <v>44095.638253448538</v>
      </c>
      <c r="O4" s="48">
        <f>IFERROR((s_TR/(s_RadSpec!M4*s_EF_w*(1/365)*s_ED_com*s_RadSpec!R4*(s_ET_w_o+s_ET_w_i)*(1/24)*s_RadSpec!W4))*1,".")</f>
        <v>310940.3555484417</v>
      </c>
      <c r="P4" s="48">
        <f>IFERROR((s_TR/(s_RadSpec!N4*s_EF_w*(1/365)*s_ED_com*s_RadSpec!S4*(s_ET_w_o+s_ET_w_i)*(1/24)*s_RadSpec!X4))*1,".")</f>
        <v>81084.150028887088</v>
      </c>
      <c r="Q4" s="48">
        <f>IFERROR((s_TR/(s_RadSpec!O4*s_EF_w*(1/365)*s_ED_com*s_RadSpec!T4*(s_ET_w_o+s_ET_w_i)*(1/24)*s_RadSpec!Y4))*1,".")</f>
        <v>48056.821361261245</v>
      </c>
      <c r="R4" s="48">
        <f>IFERROR((s_TR/(s_RadSpec!K4*s_EF_w*(1/365)*s_ED_com*s_RadSpec!P4*(s_ET_w_o+s_ET_w_i)*(1/24)*s_RadSpec!U4))*1,".")</f>
        <v>585591.17437149212</v>
      </c>
      <c r="S4" s="69">
        <f>s_C*s_EF_w*(1/365)*s_ED_com*(s_ET_w_o+s_ET_w_i)*(1/24)*s_RadSpec!V4*s_RadSpec!Q4*1</f>
        <v>1345.3877201565551</v>
      </c>
      <c r="T4" s="69">
        <f>s_C*s_EF_w*(1/365)*s_ED_com*(s_ET_w_o+s_ET_w_i)*(1/24)*s_RadSpec!W4*s_RadSpec!R4*1</f>
        <v>824.44634703196311</v>
      </c>
      <c r="U4" s="69">
        <f>s_C*s_EF_w*(1/365)*s_ED_com*(s_ET_w_o+s_ET_w_i)*(1/24)*s_RadSpec!X4*s_RadSpec!S4*1</f>
        <v>1146.0710208741032</v>
      </c>
      <c r="V4" s="69">
        <f>s_C*s_EF_w*(1/365)*s_ED_com*(s_ET_w_o+s_ET_w_i)*(1/24)*s_RadSpec!Y4*s_RadSpec!T4*1</f>
        <v>1316.5718905497292</v>
      </c>
      <c r="W4" s="69">
        <f>s_C*s_EF_w*(1/365)*s_ED_com*(s_ET_w_o+s_ET_w_i)*(1/24)*s_RadSpec!U4*s_RadSpec!P4*1</f>
        <v>446.4281277863339</v>
      </c>
      <c r="X4" s="11"/>
      <c r="Y4" s="11"/>
      <c r="Z4" s="11"/>
      <c r="AA4" s="11"/>
      <c r="AB4" s="11"/>
      <c r="AC4" s="48" t="str">
        <f>IFERROR(s_TR/(s_RadSpec!G4*s_EF_w*s_ED_com*(s_ET_w_o+s_ET_w_i)*(1/24)*s_IRA_w),".")</f>
        <v>.</v>
      </c>
      <c r="AD4" s="48">
        <f>IFERROR(s_TR/(s_RadSpec!J4*s_EF_w*(1/365)*s_ED_com*(s_ET_w_o+s_ET_w_i)*(1/24)*s_GSF_a),".")</f>
        <v>815829.5888073945</v>
      </c>
      <c r="AE4" s="48">
        <f t="shared" ref="AE4:AE30" si="6">IFERROR(IF(AND(ISNUMBER(AC4),ISNUMBER(AD4)),1/((1/AC4)+(1/AD4)),IF(AND(ISNUMBER(AC4),NOT(ISNUMBER(AD4))),1/((1/AC4)),IF(AND(NOT(ISNUMBER(AC4)),ISNUMBER(AD4)),1/((1/AD4)),IF(AND(NOT(ISNUMBER(AC4)),NOT(ISNUMBER(AD4))),".")))),".")</f>
        <v>815829.5888073945</v>
      </c>
      <c r="AF4" s="69">
        <f t="shared" si="4"/>
        <v>381940625</v>
      </c>
      <c r="AG4" s="69">
        <f t="shared" si="5"/>
        <v>69760.844748858435</v>
      </c>
      <c r="AH4" s="10"/>
      <c r="AI4" s="10"/>
      <c r="AJ4" s="10"/>
    </row>
    <row r="5" spans="1:36" x14ac:dyDescent="0.25">
      <c r="A5" s="49" t="s">
        <v>15</v>
      </c>
      <c r="B5" s="50" t="s">
        <v>289</v>
      </c>
      <c r="C5" s="48" t="str">
        <f>IFERROR((s_TR/(s_RadSpec!I5*s_EF_w*s_ED_com*s_IRS_w*(1/1000)))*1,".")</f>
        <v>.</v>
      </c>
      <c r="D5" s="48" t="str">
        <f>IFERROR(IF(A5="H-3",(s_TR/(s_RadSpec!G5*s_EF_w*s_ED_com*(s_ET_w_o+s_ET_w_i)*(1/24)*s_IRA_w*(1/17)*1000))*1,(s_TR/(s_RadSpec!G5*s_EF_w*s_ED_com*(s_ET_w_o+s_ET_w_i)*(1/24)*s_IRA_w*(1/s_PEF_wind)*1000))*1),".")</f>
        <v>.</v>
      </c>
      <c r="E5" s="48" t="str">
        <f>IFERROR((s_TR/(s_RadSpec!F5*s_EF_w*(1/365)*s_ED_com*s_RadSpec!Q5*(s_ET_w_o+s_ET_w_i)*(1/24)*s_RadSpec!V5))*1,".")</f>
        <v>.</v>
      </c>
      <c r="F5" s="48" t="str">
        <f t="shared" si="0"/>
        <v>.</v>
      </c>
      <c r="G5" s="69">
        <f t="shared" si="1"/>
        <v>3055525</v>
      </c>
      <c r="H5" s="69">
        <f t="shared" si="2"/>
        <v>1231.1313567072434</v>
      </c>
      <c r="I5" s="69">
        <f>s_C*s_EF_w*(1/365)*s_ED_com*(s_ET_w_o+s_ET_w_i)*(1/24)*s_RadSpec!V5*s_RadSpec!Q5*1</f>
        <v>0</v>
      </c>
      <c r="J5" s="4"/>
      <c r="K5" s="4"/>
      <c r="L5" s="4"/>
      <c r="M5" s="4"/>
      <c r="N5" s="48" t="str">
        <f>IFERROR((s_TR/(s_RadSpec!F5*s_EF_w*(1/365)*s_ED_com*s_RadSpec!Q5*(s_ET_w_o+s_ET_w_i)*(1/24)*s_RadSpec!V5))*1,".")</f>
        <v>.</v>
      </c>
      <c r="O5" s="48" t="str">
        <f>IFERROR((s_TR/(s_RadSpec!M5*s_EF_w*(1/365)*s_ED_com*s_RadSpec!R5*(s_ET_w_o+s_ET_w_i)*(1/24)*s_RadSpec!W5))*1,".")</f>
        <v>.</v>
      </c>
      <c r="P5" s="48" t="str">
        <f>IFERROR((s_TR/(s_RadSpec!N5*s_EF_w*(1/365)*s_ED_com*s_RadSpec!S5*(s_ET_w_o+s_ET_w_i)*(1/24)*s_RadSpec!X5))*1,".")</f>
        <v>.</v>
      </c>
      <c r="Q5" s="48" t="str">
        <f>IFERROR((s_TR/(s_RadSpec!O5*s_EF_w*(1/365)*s_ED_com*s_RadSpec!T5*(s_ET_w_o+s_ET_w_i)*(1/24)*s_RadSpec!Y5))*1,".")</f>
        <v>.</v>
      </c>
      <c r="R5" s="48" t="str">
        <f>IFERROR((s_TR/(s_RadSpec!K5*s_EF_w*(1/365)*s_ED_com*s_RadSpec!P5*(s_ET_w_o+s_ET_w_i)*(1/24)*s_RadSpec!U5))*1,".")</f>
        <v>.</v>
      </c>
      <c r="S5" s="69">
        <f>s_C*s_EF_w*(1/365)*s_ED_com*(s_ET_w_o+s_ET_w_i)*(1/24)*s_RadSpec!V5*s_RadSpec!Q5*1</f>
        <v>0</v>
      </c>
      <c r="T5" s="69">
        <f>s_C*s_EF_w*(1/365)*s_ED_com*(s_ET_w_o+s_ET_w_i)*(1/24)*s_RadSpec!W5*s_RadSpec!R5*1</f>
        <v>0</v>
      </c>
      <c r="U5" s="69">
        <f>s_C*s_EF_w*(1/365)*s_ED_com*(s_ET_w_o+s_ET_w_i)*(1/24)*s_RadSpec!X5*s_RadSpec!S5*1</f>
        <v>0</v>
      </c>
      <c r="V5" s="69">
        <f>s_C*s_EF_w*(1/365)*s_ED_com*(s_ET_w_o+s_ET_w_i)*(1/24)*s_RadSpec!Y5*s_RadSpec!T5*1</f>
        <v>0</v>
      </c>
      <c r="W5" s="69">
        <f>s_C*s_EF_w*(1/365)*s_ED_com*(s_ET_w_o+s_ET_w_i)*(1/24)*s_RadSpec!U5*s_RadSpec!P5*1</f>
        <v>0</v>
      </c>
      <c r="X5" s="11"/>
      <c r="Y5" s="11"/>
      <c r="Z5" s="11"/>
      <c r="AA5" s="11"/>
      <c r="AB5" s="11"/>
      <c r="AC5" s="48" t="str">
        <f>IFERROR(s_TR/(s_RadSpec!G5*s_EF_w*s_ED_com*(s_ET_w_o+s_ET_w_i)*(1/24)*s_IRA_w),".")</f>
        <v>.</v>
      </c>
      <c r="AD5" s="48">
        <f>IFERROR(s_TR/(s_RadSpec!J5*s_EF_w*(1/365)*s_ED_com*(s_ET_w_o+s_ET_w_i)*(1/24)*s_GSF_a),".")</f>
        <v>25834603.645567492</v>
      </c>
      <c r="AE5" s="48">
        <f t="shared" si="6"/>
        <v>25834603.645567495</v>
      </c>
      <c r="AF5" s="69">
        <f t="shared" si="4"/>
        <v>381940625</v>
      </c>
      <c r="AG5" s="69">
        <f t="shared" si="5"/>
        <v>69760.844748858435</v>
      </c>
      <c r="AH5" s="10"/>
      <c r="AI5" s="10"/>
      <c r="AJ5" s="10"/>
    </row>
    <row r="6" spans="1:36" x14ac:dyDescent="0.25">
      <c r="A6" s="49" t="s">
        <v>16</v>
      </c>
      <c r="B6" s="50" t="s">
        <v>289</v>
      </c>
      <c r="C6" s="48" t="str">
        <f>IFERROR((s_TR/(s_RadSpec!I6*s_EF_w*s_ED_com*s_IRS_w*(1/1000)))*1,".")</f>
        <v>.</v>
      </c>
      <c r="D6" s="48" t="str">
        <f>IFERROR(IF(A6="H-3",(s_TR/(s_RadSpec!G6*s_EF_w*s_ED_com*(s_ET_w_o+s_ET_w_i)*(1/24)*s_IRA_w*(1/17)*1000))*1,(s_TR/(s_RadSpec!G6*s_EF_w*s_ED_com*(s_ET_w_o+s_ET_w_i)*(1/24)*s_IRA_w*(1/s_PEF_wind)*1000))*1),".")</f>
        <v>.</v>
      </c>
      <c r="E6" s="48">
        <f>IFERROR((s_TR/(s_RadSpec!F6*s_EF_w*(1/365)*s_ED_com*s_RadSpec!Q6*(s_ET_w_o+s_ET_w_i)*(1/24)*s_RadSpec!V6))*1,".")</f>
        <v>7.9027948573215285</v>
      </c>
      <c r="F6" s="48">
        <f t="shared" si="0"/>
        <v>7.9027948573215285</v>
      </c>
      <c r="G6" s="69">
        <f t="shared" si="1"/>
        <v>3055525</v>
      </c>
      <c r="H6" s="69">
        <f t="shared" si="2"/>
        <v>1231.1313567072434</v>
      </c>
      <c r="I6" s="69">
        <f>s_C*s_EF_w*(1/365)*s_ED_com*(s_ET_w_o+s_ET_w_i)*(1/24)*s_RadSpec!V6*s_RadSpec!Q6*1</f>
        <v>2617.6339589686504</v>
      </c>
      <c r="J6" s="4"/>
      <c r="K6" s="4"/>
      <c r="L6" s="4"/>
      <c r="M6" s="4"/>
      <c r="N6" s="48">
        <f>IFERROR((s_TR/(s_RadSpec!F6*s_EF_w*(1/365)*s_ED_com*s_RadSpec!Q6*(s_ET_w_o+s_ET_w_i)*(1/24)*s_RadSpec!V6))*1,".")</f>
        <v>7.9027948573215285</v>
      </c>
      <c r="O6" s="48">
        <f>IFERROR((s_TR/(s_RadSpec!M6*s_EF_w*(1/365)*s_ED_com*s_RadSpec!R6*(s_ET_w_o+s_ET_w_i)*(1/24)*s_RadSpec!W6))*1,".")</f>
        <v>72.381338284307233</v>
      </c>
      <c r="P6" s="48">
        <f>IFERROR((s_TR/(s_RadSpec!N6*s_EF_w*(1/365)*s_ED_com*s_RadSpec!S6*(s_ET_w_o+s_ET_w_i)*(1/24)*s_RadSpec!X6))*1,".")</f>
        <v>18.13820510280733</v>
      </c>
      <c r="Q6" s="48">
        <f>IFERROR((s_TR/(s_RadSpec!O6*s_EF_w*(1/365)*s_ED_com*s_RadSpec!T6*(s_ET_w_o+s_ET_w_i)*(1/24)*s_RadSpec!Y6))*1,".")</f>
        <v>9.6729236847468929</v>
      </c>
      <c r="R6" s="48">
        <f>IFERROR((s_TR/(s_RadSpec!K6*s_EF_w*(1/365)*s_ED_com*s_RadSpec!P6*(s_ET_w_o+s_ET_w_i)*(1/24)*s_RadSpec!U6))*1,".")</f>
        <v>124.17876756188345</v>
      </c>
      <c r="S6" s="69">
        <f>s_C*s_EF_w*(1/365)*s_ED_com*(s_ET_w_o+s_ET_w_i)*(1/24)*s_RadSpec!V6*s_RadSpec!Q6*1</f>
        <v>2617.6339589686504</v>
      </c>
      <c r="T6" s="69">
        <f>s_C*s_EF_w*(1/365)*s_ED_com*(s_ET_w_o+s_ET_w_i)*(1/24)*s_RadSpec!W6*s_RadSpec!R6*1</f>
        <v>1402.1783238124015</v>
      </c>
      <c r="U6" s="69">
        <f>s_C*s_EF_w*(1/365)*s_ED_com*(s_ET_w_o+s_ET_w_i)*(1/24)*s_RadSpec!X6*s_RadSpec!S6*1</f>
        <v>1984.2285635268079</v>
      </c>
      <c r="V6" s="69">
        <f>s_C*s_EF_w*(1/365)*s_ED_com*(s_ET_w_o+s_ET_w_i)*(1/24)*s_RadSpec!Y6*s_RadSpec!T6*1</f>
        <v>2399.4175900881255</v>
      </c>
      <c r="W6" s="69">
        <f>s_C*s_EF_w*(1/365)*s_ED_com*(s_ET_w_o+s_ET_w_i)*(1/24)*s_RadSpec!U6*s_RadSpec!P6*1</f>
        <v>834.75192636986253</v>
      </c>
      <c r="X6" s="11"/>
      <c r="Y6" s="11"/>
      <c r="Z6" s="11"/>
      <c r="AA6" s="11"/>
      <c r="AB6" s="11"/>
      <c r="AC6" s="48" t="str">
        <f>IFERROR(s_TR/(s_RadSpec!G6*s_EF_w*s_ED_com*(s_ET_w_o+s_ET_w_i)*(1/24)*s_IRA_w),".")</f>
        <v>.</v>
      </c>
      <c r="AD6" s="48">
        <f>IFERROR(s_TR/(s_RadSpec!J6*s_EF_w*(1/365)*s_ED_com*(s_ET_w_o+s_ET_w_i)*(1/24)*s_GSF_a),".")</f>
        <v>315.7562667791583</v>
      </c>
      <c r="AE6" s="48">
        <f t="shared" si="6"/>
        <v>315.7562667791583</v>
      </c>
      <c r="AF6" s="69">
        <f t="shared" si="4"/>
        <v>381940625</v>
      </c>
      <c r="AG6" s="69">
        <f t="shared" si="5"/>
        <v>69760.844748858435</v>
      </c>
      <c r="AH6" s="10"/>
      <c r="AI6" s="10"/>
      <c r="AJ6" s="10"/>
    </row>
    <row r="7" spans="1:36" x14ac:dyDescent="0.25">
      <c r="A7" s="49" t="s">
        <v>17</v>
      </c>
      <c r="B7" s="50" t="s">
        <v>289</v>
      </c>
      <c r="C7" s="48">
        <f>IFERROR((s_TR/(s_RadSpec!I7*s_EF_w*s_ED_com*s_IRS_w*(1/1000)))*1,".")</f>
        <v>4865.3514000048654</v>
      </c>
      <c r="D7" s="48">
        <f>IFERROR(IF(A7="H-3",(s_TR/(s_RadSpec!G7*s_EF_w*s_ED_com*(s_ET_w_o+s_ET_w_i)*(1/24)*s_IRA_w*(1/17)*1000))*1,(s_TR/(s_RadSpec!G7*s_EF_w*s_ED_com*(s_ET_w_o+s_ET_w_i)*(1/24)*s_IRA_w*(1/s_PEF_wind)*1000))*1),".")</f>
        <v>99154.384629243243</v>
      </c>
      <c r="E7" s="48">
        <f>IFERROR((s_TR/(s_RadSpec!F7*s_EF_w*(1/365)*s_ED_com*s_RadSpec!Q7*(s_ET_w_o+s_ET_w_i)*(1/24)*s_RadSpec!V7))*1,".")</f>
        <v>16594.489932919259</v>
      </c>
      <c r="F7" s="48">
        <f t="shared" si="0"/>
        <v>3624.7479787746202</v>
      </c>
      <c r="G7" s="69">
        <f t="shared" si="1"/>
        <v>3055525</v>
      </c>
      <c r="H7" s="69">
        <f t="shared" si="2"/>
        <v>1231.1313567072434</v>
      </c>
      <c r="I7" s="69">
        <f>s_C*s_EF_w*(1/365)*s_ED_com*(s_ET_w_o+s_ET_w_i)*(1/24)*s_RadSpec!V7*s_RadSpec!Q7*1</f>
        <v>1209.7766747586847</v>
      </c>
      <c r="J7" s="4"/>
      <c r="K7" s="4"/>
      <c r="L7" s="4"/>
      <c r="M7" s="4"/>
      <c r="N7" s="48">
        <f>IFERROR((s_TR/(s_RadSpec!F7*s_EF_w*(1/365)*s_ED_com*s_RadSpec!Q7*(s_ET_w_o+s_ET_w_i)*(1/24)*s_RadSpec!V7))*1,".")</f>
        <v>16594.489932919259</v>
      </c>
      <c r="O7" s="48">
        <f>IFERROR((s_TR/(s_RadSpec!M7*s_EF_w*(1/365)*s_ED_com*s_RadSpec!R7*(s_ET_w_o+s_ET_w_i)*(1/24)*s_RadSpec!W7))*1,".")</f>
        <v>76525.810022494145</v>
      </c>
      <c r="P7" s="48">
        <f>IFERROR((s_TR/(s_RadSpec!N7*s_EF_w*(1/365)*s_ED_com*s_RadSpec!S7*(s_ET_w_o+s_ET_w_i)*(1/24)*s_RadSpec!X7))*1,".")</f>
        <v>26044.730986862778</v>
      </c>
      <c r="Q7" s="48">
        <f>IFERROR((s_TR/(s_RadSpec!O7*s_EF_w*(1/365)*s_ED_com*s_RadSpec!T7*(s_ET_w_o+s_ET_w_i)*(1/24)*s_RadSpec!Y7))*1,".")</f>
        <v>18333.543435043466</v>
      </c>
      <c r="R7" s="48">
        <f>IFERROR((s_TR/(s_RadSpec!K7*s_EF_w*(1/365)*s_ED_com*s_RadSpec!P7*(s_ET_w_o+s_ET_w_i)*(1/24)*s_RadSpec!U7))*1,".")</f>
        <v>25925.542796089037</v>
      </c>
      <c r="S7" s="69">
        <f>s_C*s_EF_w*(1/365)*s_ED_com*(s_ET_w_o+s_ET_w_i)*(1/24)*s_RadSpec!V7*s_RadSpec!Q7*1</f>
        <v>1209.7766747586847</v>
      </c>
      <c r="T7" s="69">
        <f>s_C*s_EF_w*(1/365)*s_ED_com*(s_ET_w_o+s_ET_w_i)*(1/24)*s_RadSpec!W7*s_RadSpec!R7*1</f>
        <v>760.44646031579998</v>
      </c>
      <c r="U7" s="69">
        <f>s_C*s_EF_w*(1/365)*s_ED_com*(s_ET_w_o+s_ET_w_i)*(1/24)*s_RadSpec!X7*s_RadSpec!S7*1</f>
        <v>1037.9702760084922</v>
      </c>
      <c r="V7" s="69">
        <f>s_C*s_EF_w*(1/365)*s_ED_com*(s_ET_w_o+s_ET_w_i)*(1/24)*s_RadSpec!Y7*s_RadSpec!T7*1</f>
        <v>1128.3483884379054</v>
      </c>
      <c r="W7" s="69">
        <f>s_C*s_EF_w*(1/365)*s_ED_com*(s_ET_w_o+s_ET_w_i)*(1/24)*s_RadSpec!U7*s_RadSpec!P7*1</f>
        <v>444.36469964114707</v>
      </c>
      <c r="X7" s="11"/>
      <c r="Y7" s="11"/>
      <c r="Z7" s="11"/>
      <c r="AA7" s="11"/>
      <c r="AB7" s="11"/>
      <c r="AC7" s="48">
        <f>IFERROR(s_TR/(s_RadSpec!G7*s_EF_w*s_ED_com*(s_ET_w_o+s_ET_w_i)*(1/24)*s_IRA_w),".")</f>
        <v>0.31961007570763672</v>
      </c>
      <c r="AD7" s="48">
        <f>IFERROR(s_TR/(s_RadSpec!J7*s_EF_w*(1/365)*s_ED_com*(s_ET_w_o+s_ET_w_i)*(1/24)*s_GSF_a),".")</f>
        <v>150559.27952383706</v>
      </c>
      <c r="AE7" s="48">
        <f t="shared" si="6"/>
        <v>0.3196093972347856</v>
      </c>
      <c r="AF7" s="69">
        <f t="shared" si="4"/>
        <v>381940625</v>
      </c>
      <c r="AG7" s="69">
        <f t="shared" si="5"/>
        <v>69760.844748858435</v>
      </c>
      <c r="AH7" s="10"/>
      <c r="AI7" s="10"/>
      <c r="AJ7" s="10"/>
    </row>
    <row r="8" spans="1:36" x14ac:dyDescent="0.25">
      <c r="A8" s="49" t="s">
        <v>18</v>
      </c>
      <c r="B8" s="50" t="s">
        <v>289</v>
      </c>
      <c r="C8" s="48">
        <f>IFERROR((s_TR/(s_RadSpec!I8*s_EF_w*s_ED_com*s_IRS_w*(1/1000)))*1,".")</f>
        <v>57339.61393237939</v>
      </c>
      <c r="D8" s="48">
        <f>IFERROR(IF(A8="H-3",(s_TR/(s_RadSpec!G8*s_EF_w*s_ED_com*(s_ET_w_o+s_ET_w_i)*(1/24)*s_IRA_w*(1/17)*1000))*1,(s_TR/(s_RadSpec!G8*s_EF_w*s_ED_com*(s_ET_w_o+s_ET_w_i)*(1/24)*s_IRA_w*(1/s_PEF_wind)*1000))*1),".")</f>
        <v>609799.46546984604</v>
      </c>
      <c r="E8" s="48">
        <f>IFERROR((s_TR/(s_RadSpec!F8*s_EF_w*(1/365)*s_ED_com*s_RadSpec!Q8*(s_ET_w_o+s_ET_w_i)*(1/24)*s_RadSpec!V8))*1,".")</f>
        <v>48.621175280198329</v>
      </c>
      <c r="F8" s="48">
        <f t="shared" si="0"/>
        <v>48.576112002081118</v>
      </c>
      <c r="G8" s="69">
        <f t="shared" si="1"/>
        <v>3055525</v>
      </c>
      <c r="H8" s="69">
        <f t="shared" si="2"/>
        <v>1231.1313567072434</v>
      </c>
      <c r="I8" s="69">
        <f>s_C*s_EF_w*(1/365)*s_ED_com*(s_ET_w_o+s_ET_w_i)*(1/24)*s_RadSpec!V8*s_RadSpec!Q8*1</f>
        <v>2104.4521499238954</v>
      </c>
      <c r="J8" s="4"/>
      <c r="K8" s="4"/>
      <c r="L8" s="4"/>
      <c r="M8" s="4"/>
      <c r="N8" s="48">
        <f>IFERROR((s_TR/(s_RadSpec!F8*s_EF_w*(1/365)*s_ED_com*s_RadSpec!Q8*(s_ET_w_o+s_ET_w_i)*(1/24)*s_RadSpec!V8))*1,".")</f>
        <v>48.621175280198329</v>
      </c>
      <c r="O8" s="48">
        <f>IFERROR((s_TR/(s_RadSpec!M8*s_EF_w*(1/365)*s_ED_com*s_RadSpec!R8*(s_ET_w_o+s_ET_w_i)*(1/24)*s_RadSpec!W8))*1,".")</f>
        <v>411.73665618841255</v>
      </c>
      <c r="P8" s="48">
        <f>IFERROR((s_TR/(s_RadSpec!N8*s_EF_w*(1/365)*s_ED_com*s_RadSpec!S8*(s_ET_w_o+s_ET_w_i)*(1/24)*s_RadSpec!X8))*1,".")</f>
        <v>107.5758797106832</v>
      </c>
      <c r="Q8" s="48">
        <f>IFERROR((s_TR/(s_RadSpec!O8*s_EF_w*(1/365)*s_ED_com*s_RadSpec!T8*(s_ET_w_o+s_ET_w_i)*(1/24)*s_RadSpec!Y8))*1,".")</f>
        <v>65.197737906794941</v>
      </c>
      <c r="R8" s="48">
        <f>IFERROR((s_TR/(s_RadSpec!K8*s_EF_w*(1/365)*s_ED_com*s_RadSpec!P8*(s_ET_w_o+s_ET_w_i)*(1/24)*s_RadSpec!U8))*1,".")</f>
        <v>746.60607342686501</v>
      </c>
      <c r="S8" s="69">
        <f>s_C*s_EF_w*(1/365)*s_ED_com*(s_ET_w_o+s_ET_w_i)*(1/24)*s_RadSpec!V8*s_RadSpec!Q8*1</f>
        <v>2104.4521499238954</v>
      </c>
      <c r="T8" s="69">
        <f>s_C*s_EF_w*(1/365)*s_ED_com*(s_ET_w_o+s_ET_w_i)*(1/24)*s_RadSpec!W8*s_RadSpec!R8*1</f>
        <v>1146.4032153729072</v>
      </c>
      <c r="U8" s="69">
        <f>s_C*s_EF_w*(1/365)*s_ED_com*(s_ET_w_o+s_ET_w_i)*(1/24)*s_RadSpec!X8*s_RadSpec!S8*1</f>
        <v>1570.615590345727</v>
      </c>
      <c r="V8" s="69">
        <f>s_C*s_EF_w*(1/365)*s_ED_com*(s_ET_w_o+s_ET_w_i)*(1/24)*s_RadSpec!Y8*s_RadSpec!T8*1</f>
        <v>1713.0708847835867</v>
      </c>
      <c r="W8" s="69">
        <f>s_C*s_EF_w*(1/365)*s_ED_com*(s_ET_w_o+s_ET_w_i)*(1/24)*s_RadSpec!U8*s_RadSpec!P8*1</f>
        <v>618.71225402261359</v>
      </c>
      <c r="X8" s="11"/>
      <c r="Y8" s="11"/>
      <c r="Z8" s="11"/>
      <c r="AA8" s="11"/>
      <c r="AB8" s="11"/>
      <c r="AC8" s="48">
        <f>IFERROR(s_TR/(s_RadSpec!G8*s_EF_w*s_ED_com*(s_ET_w_o+s_ET_w_i)*(1/24)*s_IRA_w),".")</f>
        <v>1.9656019656019659</v>
      </c>
      <c r="AD8" s="48">
        <f>IFERROR(s_TR/(s_RadSpec!J8*s_EF_w*(1/365)*s_ED_com*(s_ET_w_o+s_ET_w_i)*(1/24)*s_GSF_a),".")</f>
        <v>1495.6875794802233</v>
      </c>
      <c r="AE8" s="48">
        <f t="shared" si="6"/>
        <v>1.9630222020525383</v>
      </c>
      <c r="AF8" s="69">
        <f t="shared" si="4"/>
        <v>381940625</v>
      </c>
      <c r="AG8" s="69">
        <f t="shared" si="5"/>
        <v>69760.844748858435</v>
      </c>
      <c r="AH8" s="10"/>
      <c r="AI8" s="10"/>
      <c r="AJ8" s="10"/>
    </row>
    <row r="9" spans="1:36" x14ac:dyDescent="0.25">
      <c r="A9" s="49" t="s">
        <v>19</v>
      </c>
      <c r="B9" s="50" t="s">
        <v>289</v>
      </c>
      <c r="C9" s="48">
        <f>IFERROR((s_TR/(s_RadSpec!I9*s_EF_w*s_ED_com*s_IRS_w*(1/1000)))*1,".")</f>
        <v>123467.46015087723</v>
      </c>
      <c r="D9" s="48">
        <f>IFERROR(IF(A9="H-3",(s_TR/(s_RadSpec!G9*s_EF_w*s_ED_com*(s_ET_w_o+s_ET_w_i)*(1/24)*s_IRA_w*(1/17)*1000))*1,(s_TR/(s_RadSpec!G9*s_EF_w*s_ED_com*(s_ET_w_o+s_ET_w_i)*(1/24)*s_IRA_w*(1/s_PEF_wind)*1000))*1),".")</f>
        <v>730180.58972117468</v>
      </c>
      <c r="E9" s="48">
        <f>IFERROR((s_TR/(s_RadSpec!F9*s_EF_w*(1/365)*s_ED_com*s_RadSpec!Q9*(s_ET_w_o+s_ET_w_i)*(1/24)*s_RadSpec!V9))*1,".")</f>
        <v>1.770204538622089</v>
      </c>
      <c r="F9" s="48">
        <f t="shared" si="0"/>
        <v>1.7701748673835866</v>
      </c>
      <c r="G9" s="69">
        <f t="shared" si="1"/>
        <v>3055525</v>
      </c>
      <c r="H9" s="69">
        <f t="shared" si="2"/>
        <v>1231.1313567072434</v>
      </c>
      <c r="I9" s="69">
        <f>s_C*s_EF_w*(1/365)*s_ED_com*(s_ET_w_o+s_ET_w_i)*(1/24)*s_RadSpec!V9*s_RadSpec!Q9*1</f>
        <v>4273.1030407405951</v>
      </c>
      <c r="J9" s="4"/>
      <c r="K9" s="4"/>
      <c r="L9" s="4"/>
      <c r="M9" s="4"/>
      <c r="N9" s="48">
        <f>IFERROR((s_TR/(s_RadSpec!F9*s_EF_w*(1/365)*s_ED_com*s_RadSpec!Q9*(s_ET_w_o+s_ET_w_i)*(1/24)*s_RadSpec!V9))*1,".")</f>
        <v>1.770204538622089</v>
      </c>
      <c r="O9" s="48">
        <f>IFERROR((s_TR/(s_RadSpec!M9*s_EF_w*(1/365)*s_ED_com*s_RadSpec!R9*(s_ET_w_o+s_ET_w_i)*(1/24)*s_RadSpec!W9))*1,".")</f>
        <v>20.075260887433725</v>
      </c>
      <c r="P9" s="48">
        <f>IFERROR((s_TR/(s_RadSpec!N9*s_EF_w*(1/365)*s_ED_com*s_RadSpec!S9*(s_ET_w_o+s_ET_w_i)*(1/24)*s_RadSpec!X9))*1,".")</f>
        <v>4.9161744827673406</v>
      </c>
      <c r="Q9" s="48">
        <f>IFERROR((s_TR/(s_RadSpec!O9*s_EF_w*(1/365)*s_ED_com*s_RadSpec!T9*(s_ET_w_o+s_ET_w_i)*(1/24)*s_RadSpec!Y9))*1,".")</f>
        <v>2.5146990620780523</v>
      </c>
      <c r="R9" s="48">
        <f>IFERROR((s_TR/(s_RadSpec!K9*s_EF_w*(1/365)*s_ED_com*s_RadSpec!P9*(s_ET_w_o+s_ET_w_i)*(1/24)*s_RadSpec!U9))*1,".")</f>
        <v>36.722643535194543</v>
      </c>
      <c r="S9" s="69">
        <f>s_C*s_EF_w*(1/365)*s_ED_com*(s_ET_w_o+s_ET_w_i)*(1/24)*s_RadSpec!V9*s_RadSpec!Q9*1</f>
        <v>4273.1030407405951</v>
      </c>
      <c r="T9" s="69">
        <f>s_C*s_EF_w*(1/365)*s_ED_com*(s_ET_w_o+s_ET_w_i)*(1/24)*s_RadSpec!W9*s_RadSpec!R9*1</f>
        <v>2086.3056373490363</v>
      </c>
      <c r="U9" s="69">
        <f>s_C*s_EF_w*(1/365)*s_ED_com*(s_ET_w_o+s_ET_w_i)*(1/24)*s_RadSpec!X9*s_RadSpec!S9*1</f>
        <v>2965.104626189921</v>
      </c>
      <c r="V9" s="69">
        <f>s_C*s_EF_w*(1/365)*s_ED_com*(s_ET_w_o+s_ET_w_i)*(1/24)*s_RadSpec!Y9*s_RadSpec!T9*1</f>
        <v>3597.0435573630134</v>
      </c>
      <c r="W9" s="69">
        <f>s_C*s_EF_w*(1/365)*s_ED_com*(s_ET_w_o+s_ET_w_i)*(1/24)*s_RadSpec!U9*s_RadSpec!P9*1</f>
        <v>1177.8523116438348</v>
      </c>
      <c r="X9" s="11"/>
      <c r="Y9" s="11"/>
      <c r="Z9" s="11"/>
      <c r="AA9" s="11"/>
      <c r="AB9" s="11"/>
      <c r="AC9" s="48">
        <f>IFERROR(s_TR/(s_RadSpec!G9*s_EF_w*s_ED_com*(s_ET_w_o+s_ET_w_i)*(1/24)*s_IRA_w),".")</f>
        <v>2.3536334215945867</v>
      </c>
      <c r="AD9" s="48">
        <f>IFERROR(s_TR/(s_RadSpec!J9*s_EF_w*(1/365)*s_ED_com*(s_ET_w_o+s_ET_w_i)*(1/24)*s_GSF_a),".")</f>
        <v>119.02854035654136</v>
      </c>
      <c r="AE9" s="48">
        <f t="shared" si="6"/>
        <v>2.3079958282740685</v>
      </c>
      <c r="AF9" s="69">
        <f t="shared" si="4"/>
        <v>381940625</v>
      </c>
      <c r="AG9" s="69">
        <f t="shared" si="5"/>
        <v>69760.844748858435</v>
      </c>
      <c r="AH9" s="10"/>
      <c r="AI9" s="10"/>
      <c r="AJ9" s="10"/>
    </row>
    <row r="10" spans="1:36" x14ac:dyDescent="0.25">
      <c r="A10" s="51" t="s">
        <v>20</v>
      </c>
      <c r="B10" s="50" t="s">
        <v>275</v>
      </c>
      <c r="C10" s="48">
        <f>IFERROR((s_TR/(s_RadSpec!I10*s_EF_w*s_ED_com*s_IRS_w*(1/1000)))*1,".")</f>
        <v>572.06110756751025</v>
      </c>
      <c r="D10" s="48">
        <f>IFERROR(IF(A10="H-3",(s_TR/(s_RadSpec!G10*s_EF_w*s_ED_com*(s_ET_w_o+s_ET_w_i)*(1/24)*s_IRA_w*(1/17)*1000))*1,(s_TR/(s_RadSpec!G10*s_EF_w*s_ED_com*(s_ET_w_o+s_ET_w_i)*(1/24)*s_IRA_w*(1/s_PEF_wind)*1000))*1),".")</f>
        <v>401183.85886174068</v>
      </c>
      <c r="E10" s="48">
        <f>IFERROR((s_TR/(s_RadSpec!F10*s_EF_w*(1/365)*s_ED_com*s_RadSpec!Q10*(s_ET_w_o+s_ET_w_i)*(1/24)*s_RadSpec!V10))*1,".")</f>
        <v>45043.189346158862</v>
      </c>
      <c r="F10" s="48">
        <f t="shared" si="0"/>
        <v>564.09261551981729</v>
      </c>
      <c r="G10" s="69">
        <f t="shared" si="1"/>
        <v>3055525</v>
      </c>
      <c r="H10" s="69">
        <f t="shared" si="2"/>
        <v>1231.1313567072434</v>
      </c>
      <c r="I10" s="69">
        <f>s_C*s_EF_w*(1/365)*s_ED_com*(s_ET_w_o+s_ET_w_i)*(1/24)*s_RadSpec!V10*s_RadSpec!Q10*1</f>
        <v>2233.1977739726026</v>
      </c>
      <c r="J10" s="4"/>
      <c r="K10" s="4"/>
      <c r="L10" s="4"/>
      <c r="M10" s="4"/>
      <c r="N10" s="48">
        <f>IFERROR((s_TR/(s_RadSpec!F10*s_EF_w*(1/365)*s_ED_com*s_RadSpec!Q10*(s_ET_w_o+s_ET_w_i)*(1/24)*s_RadSpec!V10))*1,".")</f>
        <v>45043.189346158862</v>
      </c>
      <c r="O10" s="48">
        <f>IFERROR((s_TR/(s_RadSpec!M10*s_EF_w*(1/365)*s_ED_com*s_RadSpec!R10*(s_ET_w_o+s_ET_w_i)*(1/24)*s_RadSpec!W10))*1,".")</f>
        <v>201453.37408933809</v>
      </c>
      <c r="P10" s="48">
        <f>IFERROR((s_TR/(s_RadSpec!N10*s_EF_w*(1/365)*s_ED_com*s_RadSpec!S10*(s_ET_w_o+s_ET_w_i)*(1/24)*s_RadSpec!X10))*1,".")</f>
        <v>65277.528591987262</v>
      </c>
      <c r="Q10" s="48">
        <f>IFERROR((s_TR/(s_RadSpec!O10*s_EF_w*(1/365)*s_ED_com*s_RadSpec!T10*(s_ET_w_o+s_ET_w_i)*(1/24)*s_RadSpec!Y10))*1,".")</f>
        <v>46733.764038253066</v>
      </c>
      <c r="R10" s="48">
        <f>IFERROR((s_TR/(s_RadSpec!K10*s_EF_w*(1/365)*s_ED_com*s_RadSpec!P10*(s_ET_w_o+s_ET_w_i)*(1/24)*s_RadSpec!U10))*1,".")</f>
        <v>117745.0633625421</v>
      </c>
      <c r="S10" s="69">
        <f>s_C*s_EF_w*(1/365)*s_ED_com*(s_ET_w_o+s_ET_w_i)*(1/24)*s_RadSpec!V10*s_RadSpec!Q10*1</f>
        <v>2233.1977739726026</v>
      </c>
      <c r="T10" s="69">
        <f>s_C*s_EF_w*(1/365)*s_ED_com*(s_ET_w_o+s_ET_w_i)*(1/24)*s_RadSpec!W10*s_RadSpec!R10*1</f>
        <v>1433.1303975580706</v>
      </c>
      <c r="U10" s="69">
        <f>s_C*s_EF_w*(1/365)*s_ED_com*(s_ET_w_o+s_ET_w_i)*(1/24)*s_RadSpec!X10*s_RadSpec!S10*1</f>
        <v>2006.8176743300053</v>
      </c>
      <c r="V10" s="69">
        <f>s_C*s_EF_w*(1/365)*s_ED_com*(s_ET_w_o+s_ET_w_i)*(1/24)*s_RadSpec!Y10*s_RadSpec!T10*1</f>
        <v>2194.1621485219898</v>
      </c>
      <c r="W10" s="69">
        <f>s_C*s_EF_w*(1/365)*s_ED_com*(s_ET_w_o+s_ET_w_i)*(1/24)*s_RadSpec!U10*s_RadSpec!P10*1</f>
        <v>852.50397244043347</v>
      </c>
      <c r="X10" s="11"/>
      <c r="Y10" s="11"/>
      <c r="Z10" s="11"/>
      <c r="AA10" s="11"/>
      <c r="AB10" s="11"/>
      <c r="AC10" s="48">
        <f>IFERROR(s_TR/(s_RadSpec!G10*s_EF_w*s_ED_com*(s_ET_w_o+s_ET_w_i)*(1/24)*s_IRA_w),".")</f>
        <v>1.29315918789603</v>
      </c>
      <c r="AD10" s="48">
        <f>IFERROR(s_TR/(s_RadSpec!J10*s_EF_w*(1/365)*s_ED_com*(s_ET_w_o+s_ET_w_i)*(1/24)*s_GSF_a),".")</f>
        <v>490671.60880790063</v>
      </c>
      <c r="AE10" s="48">
        <f t="shared" si="6"/>
        <v>1.2931557797993558</v>
      </c>
      <c r="AF10" s="69">
        <f t="shared" si="4"/>
        <v>381940625</v>
      </c>
      <c r="AG10" s="69">
        <f t="shared" si="5"/>
        <v>69760.844748858435</v>
      </c>
      <c r="AH10" s="10"/>
      <c r="AI10" s="10"/>
      <c r="AJ10" s="10"/>
    </row>
    <row r="11" spans="1:36" x14ac:dyDescent="0.25">
      <c r="A11" s="49" t="s">
        <v>21</v>
      </c>
      <c r="B11" s="50" t="s">
        <v>289</v>
      </c>
      <c r="C11" s="48" t="str">
        <f>IFERROR((s_TR/(s_RadSpec!I11*s_EF_w*s_ED_com*s_IRS_w*(1/1000)))*1,".")</f>
        <v>.</v>
      </c>
      <c r="D11" s="48" t="str">
        <f>IFERROR(IF(A11="H-3",(s_TR/(s_RadSpec!G11*s_EF_w*s_ED_com*(s_ET_w_o+s_ET_w_i)*(1/24)*s_IRA_w*(1/17)*1000))*1,(s_TR/(s_RadSpec!G11*s_EF_w*s_ED_com*(s_ET_w_o+s_ET_w_i)*(1/24)*s_IRA_w*(1/s_PEF_wind)*1000))*1),".")</f>
        <v>.</v>
      </c>
      <c r="E11" s="48">
        <f>IFERROR((s_TR/(s_RadSpec!F11*s_EF_w*(1/365)*s_ED_com*s_RadSpec!Q11*(s_ET_w_o+s_ET_w_i)*(1/24)*s_RadSpec!V11))*1,".")</f>
        <v>709.42571502794306</v>
      </c>
      <c r="F11" s="48">
        <f t="shared" si="0"/>
        <v>709.42571502794306</v>
      </c>
      <c r="G11" s="69">
        <f t="shared" si="1"/>
        <v>3055525</v>
      </c>
      <c r="H11" s="69">
        <f t="shared" si="2"/>
        <v>1231.1313567072434</v>
      </c>
      <c r="I11" s="69">
        <f>s_C*s_EF_w*(1/365)*s_ED_com*(s_ET_w_o+s_ET_w_i)*(1/24)*s_RadSpec!V11*s_RadSpec!Q11*1</f>
        <v>746.85139672307264</v>
      </c>
      <c r="J11" s="4"/>
      <c r="K11" s="4"/>
      <c r="L11" s="4"/>
      <c r="M11" s="4"/>
      <c r="N11" s="48">
        <f>IFERROR((s_TR/(s_RadSpec!F11*s_EF_w*(1/365)*s_ED_com*s_RadSpec!Q11*(s_ET_w_o+s_ET_w_i)*(1/24)*s_RadSpec!V11))*1,".")</f>
        <v>709.42571502794306</v>
      </c>
      <c r="O11" s="48">
        <f>IFERROR((s_TR/(s_RadSpec!M11*s_EF_w*(1/365)*s_ED_com*s_RadSpec!R11*(s_ET_w_o+s_ET_w_i)*(1/24)*s_RadSpec!W11))*1,".")</f>
        <v>3677.4492926136886</v>
      </c>
      <c r="P11" s="48">
        <f>IFERROR((s_TR/(s_RadSpec!N11*s_EF_w*(1/365)*s_ED_com*s_RadSpec!S11*(s_ET_w_o+s_ET_w_i)*(1/24)*s_RadSpec!X11))*1,".")</f>
        <v>1034.4019530920518</v>
      </c>
      <c r="Q11" s="48">
        <f>IFERROR((s_TR/(s_RadSpec!O11*s_EF_w*(1/365)*s_ED_com*s_RadSpec!T11*(s_ET_w_o+s_ET_w_i)*(1/24)*s_RadSpec!Y11))*1,".")</f>
        <v>688.92942310004071</v>
      </c>
      <c r="R11" s="48">
        <f>IFERROR((s_TR/(s_RadSpec!K11*s_EF_w*(1/365)*s_ED_com*s_RadSpec!P11*(s_ET_w_o+s_ET_w_i)*(1/24)*s_RadSpec!U11))*1,".")</f>
        <v>6947.44336982204</v>
      </c>
      <c r="S11" s="69">
        <f>s_C*s_EF_w*(1/365)*s_ED_com*(s_ET_w_o+s_ET_w_i)*(1/24)*s_RadSpec!V11*s_RadSpec!Q11*1</f>
        <v>746.85139672307264</v>
      </c>
      <c r="T11" s="69">
        <f>s_C*s_EF_w*(1/365)*s_ED_com*(s_ET_w_o+s_ET_w_i)*(1/24)*s_RadSpec!W11*s_RadSpec!R11*1</f>
        <v>590.24214736729436</v>
      </c>
      <c r="U11" s="69">
        <f>s_C*s_EF_w*(1/365)*s_ED_com*(s_ET_w_o+s_ET_w_i)*(1/24)*s_RadSpec!X11*s_RadSpec!S11*1</f>
        <v>760.529993732653</v>
      </c>
      <c r="V11" s="69">
        <f>s_C*s_EF_w*(1/365)*s_ED_com*(s_ET_w_o+s_ET_w_i)*(1/24)*s_RadSpec!Y11*s_RadSpec!T11*1</f>
        <v>798.41119923095368</v>
      </c>
      <c r="W11" s="69">
        <f>s_C*s_EF_w*(1/365)*s_ED_com*(s_ET_w_o+s_ET_w_i)*(1/24)*s_RadSpec!U11*s_RadSpec!P11*1</f>
        <v>317.05798424988416</v>
      </c>
      <c r="X11" s="11"/>
      <c r="Y11" s="11"/>
      <c r="Z11" s="11"/>
      <c r="AA11" s="11"/>
      <c r="AB11" s="11"/>
      <c r="AC11" s="48" t="str">
        <f>IFERROR(s_TR/(s_RadSpec!G11*s_EF_w*s_ED_com*(s_ET_w_o+s_ET_w_i)*(1/24)*s_IRA_w),".")</f>
        <v>.</v>
      </c>
      <c r="AD11" s="48">
        <f>IFERROR(s_TR/(s_RadSpec!J11*s_EF_w*(1/365)*s_ED_com*(s_ET_w_o+s_ET_w_i)*(1/24)*s_GSF_a),".")</f>
        <v>6910.1675404557436</v>
      </c>
      <c r="AE11" s="48">
        <f t="shared" si="6"/>
        <v>6910.1675404557436</v>
      </c>
      <c r="AF11" s="69">
        <f t="shared" si="4"/>
        <v>381940625</v>
      </c>
      <c r="AG11" s="69">
        <f t="shared" si="5"/>
        <v>69760.844748858435</v>
      </c>
      <c r="AH11" s="10"/>
      <c r="AI11" s="10"/>
      <c r="AJ11" s="10"/>
    </row>
    <row r="12" spans="1:36" x14ac:dyDescent="0.25">
      <c r="A12" s="49" t="s">
        <v>22</v>
      </c>
      <c r="B12" s="50" t="s">
        <v>289</v>
      </c>
      <c r="C12" s="48" t="str">
        <f>IFERROR((s_TR/(s_RadSpec!I12*s_EF_w*s_ED_com*s_IRS_w*(1/1000)))*1,".")</f>
        <v>.</v>
      </c>
      <c r="D12" s="48" t="str">
        <f>IFERROR(IF(A12="H-3",(s_TR/(s_RadSpec!G12*s_EF_w*s_ED_com*(s_ET_w_o+s_ET_w_i)*(1/24)*s_IRA_w*(1/17)*1000))*1,(s_TR/(s_RadSpec!G12*s_EF_w*s_ED_com*(s_ET_w_o+s_ET_w_i)*(1/24)*s_IRA_w*(1/s_PEF_wind)*1000))*1),".")</f>
        <v>.</v>
      </c>
      <c r="E12" s="48">
        <f>IFERROR((s_TR/(s_RadSpec!F12*s_EF_w*(1/365)*s_ED_com*s_RadSpec!Q12*(s_ET_w_o+s_ET_w_i)*(1/24)*s_RadSpec!V12))*1,".")</f>
        <v>73.729994894191606</v>
      </c>
      <c r="F12" s="48">
        <f t="shared" si="0"/>
        <v>73.729994894191606</v>
      </c>
      <c r="G12" s="69">
        <f t="shared" si="1"/>
        <v>3055525</v>
      </c>
      <c r="H12" s="69">
        <f t="shared" si="2"/>
        <v>1231.1313567072434</v>
      </c>
      <c r="I12" s="69">
        <f>s_C*s_EF_w*(1/365)*s_ED_com*(s_ET_w_o+s_ET_w_i)*(1/24)*s_RadSpec!V12*s_RadSpec!Q12*1</f>
        <v>1558.7372561928739</v>
      </c>
      <c r="J12" s="4"/>
      <c r="K12" s="4"/>
      <c r="L12" s="4"/>
      <c r="M12" s="4"/>
      <c r="N12" s="48">
        <f>IFERROR((s_TR/(s_RadSpec!F12*s_EF_w*(1/365)*s_ED_com*s_RadSpec!Q12*(s_ET_w_o+s_ET_w_i)*(1/24)*s_RadSpec!V12))*1,".")</f>
        <v>73.729994894191606</v>
      </c>
      <c r="O12" s="48">
        <f>IFERROR((s_TR/(s_RadSpec!M12*s_EF_w*(1/365)*s_ED_com*s_RadSpec!R12*(s_ET_w_o+s_ET_w_i)*(1/24)*s_RadSpec!W12))*1,".")</f>
        <v>582.08338233812185</v>
      </c>
      <c r="P12" s="48">
        <f>IFERROR((s_TR/(s_RadSpec!N12*s_EF_w*(1/365)*s_ED_com*s_RadSpec!S12*(s_ET_w_o+s_ET_w_i)*(1/24)*s_RadSpec!X12))*1,".")</f>
        <v>151.3244758431853</v>
      </c>
      <c r="Q12" s="48">
        <f>IFERROR((s_TR/(s_RadSpec!O12*s_EF_w*(1/365)*s_ED_com*s_RadSpec!T12*(s_ET_w_o+s_ET_w_i)*(1/24)*s_RadSpec!Y12))*1,".")</f>
        <v>90.613173289828794</v>
      </c>
      <c r="R12" s="48">
        <f>IFERROR((s_TR/(s_RadSpec!K12*s_EF_w*(1/365)*s_ED_com*s_RadSpec!P12*(s_ET_w_o+s_ET_w_i)*(1/24)*s_RadSpec!U12))*1,".")</f>
        <v>987.81149289878044</v>
      </c>
      <c r="S12" s="69">
        <f>s_C*s_EF_w*(1/365)*s_ED_com*(s_ET_w_o+s_ET_w_i)*(1/24)*s_RadSpec!V12*s_RadSpec!Q12*1</f>
        <v>1558.7372561928739</v>
      </c>
      <c r="T12" s="69">
        <f>s_C*s_EF_w*(1/365)*s_ED_com*(s_ET_w_o+s_ET_w_i)*(1/24)*s_RadSpec!W12*s_RadSpec!R12*1</f>
        <v>868.83028555600288</v>
      </c>
      <c r="U12" s="69">
        <f>s_C*s_EF_w*(1/365)*s_ED_com*(s_ET_w_o+s_ET_w_i)*(1/24)*s_RadSpec!X12*s_RadSpec!S12*1</f>
        <v>1198.241761796043</v>
      </c>
      <c r="V12" s="69">
        <f>s_C*s_EF_w*(1/365)*s_ED_com*(s_ET_w_o+s_ET_w_i)*(1/24)*s_RadSpec!Y12*s_RadSpec!T12*1</f>
        <v>1356.7978790285224</v>
      </c>
      <c r="W12" s="69">
        <f>s_C*s_EF_w*(1/365)*s_ED_com*(s_ET_w_o+s_ET_w_i)*(1/24)*s_RadSpec!U12*s_RadSpec!P12*1</f>
        <v>503.30523573409522</v>
      </c>
      <c r="X12" s="11"/>
      <c r="Y12" s="11"/>
      <c r="Z12" s="11"/>
      <c r="AA12" s="11"/>
      <c r="AB12" s="11"/>
      <c r="AC12" s="48" t="str">
        <f>IFERROR(s_TR/(s_RadSpec!G12*s_EF_w*s_ED_com*(s_ET_w_o+s_ET_w_i)*(1/24)*s_IRA_w),".")</f>
        <v>.</v>
      </c>
      <c r="AD12" s="48">
        <f>IFERROR(s_TR/(s_RadSpec!J12*s_EF_w*(1/365)*s_ED_com*(s_ET_w_o+s_ET_w_i)*(1/24)*s_GSF_a),".")</f>
        <v>1604.7847911599572</v>
      </c>
      <c r="AE12" s="48">
        <f t="shared" si="6"/>
        <v>1604.7847911599572</v>
      </c>
      <c r="AF12" s="69">
        <f t="shared" si="4"/>
        <v>381940625</v>
      </c>
      <c r="AG12" s="69">
        <f t="shared" si="5"/>
        <v>69760.844748858435</v>
      </c>
      <c r="AH12" s="10"/>
      <c r="AI12" s="10"/>
      <c r="AJ12" s="10"/>
    </row>
    <row r="13" spans="1:36" x14ac:dyDescent="0.25">
      <c r="A13" s="49" t="s">
        <v>23</v>
      </c>
      <c r="B13" s="50" t="s">
        <v>289</v>
      </c>
      <c r="C13" s="48">
        <f>IFERROR((s_TR/(s_RadSpec!I13*s_EF_w*s_ED_com*s_IRS_w*(1/1000)))*1,".")</f>
        <v>386.92952078778848</v>
      </c>
      <c r="D13" s="48">
        <f>IFERROR(IF(A13="H-3",(s_TR/(s_RadSpec!G13*s_EF_w*s_ED_com*(s_ET_w_o+s_ET_w_i)*(1/24)*s_IRA_w*(1/17)*1000))*1,(s_TR/(s_RadSpec!G13*s_EF_w*s_ED_com*(s_ET_w_o+s_ET_w_i)*(1/24)*s_IRA_w*(1/s_PEF_wind)*1000))*1),".")</f>
        <v>1573.676039922183</v>
      </c>
      <c r="E13" s="48">
        <f>IFERROR((s_TR/(s_RadSpec!F13*s_EF_w*(1/365)*s_ED_com*s_RadSpec!Q13*(s_ET_w_o+s_ET_w_i)*(1/24)*s_RadSpec!V13))*1,".")</f>
        <v>5296.2293819483139</v>
      </c>
      <c r="F13" s="48">
        <f t="shared" si="0"/>
        <v>293.36539101318334</v>
      </c>
      <c r="G13" s="69">
        <f t="shared" si="1"/>
        <v>3055525</v>
      </c>
      <c r="H13" s="69">
        <f t="shared" si="2"/>
        <v>1231.1313567072434</v>
      </c>
      <c r="I13" s="69">
        <f>s_C*s_EF_w*(1/365)*s_ED_com*(s_ET_w_o+s_ET_w_i)*(1/24)*s_RadSpec!V13*s_RadSpec!Q13*1</f>
        <v>202.79019285571425</v>
      </c>
      <c r="J13" s="4"/>
      <c r="K13" s="4"/>
      <c r="L13" s="4"/>
      <c r="M13" s="4"/>
      <c r="N13" s="48">
        <f>IFERROR((s_TR/(s_RadSpec!F13*s_EF_w*(1/365)*s_ED_com*s_RadSpec!Q13*(s_ET_w_o+s_ET_w_i)*(1/24)*s_RadSpec!V13))*1,".")</f>
        <v>5296.2293819483139</v>
      </c>
      <c r="O13" s="48">
        <f>IFERROR((s_TR/(s_RadSpec!M13*s_EF_w*(1/365)*s_ED_com*s_RadSpec!R13*(s_ET_w_o+s_ET_w_i)*(1/24)*s_RadSpec!W13))*1,".")</f>
        <v>34432.115228614341</v>
      </c>
      <c r="P13" s="48">
        <f>IFERROR((s_TR/(s_RadSpec!N13*s_EF_w*(1/365)*s_ED_com*s_RadSpec!S13*(s_ET_w_o+s_ET_w_i)*(1/24)*s_RadSpec!X13))*1,".")</f>
        <v>8596.5587252885889</v>
      </c>
      <c r="Q13" s="48">
        <f>IFERROR((s_TR/(s_RadSpec!O13*s_EF_w*(1/365)*s_ED_com*s_RadSpec!T13*(s_ET_w_o+s_ET_w_i)*(1/24)*s_RadSpec!Y13))*1,".")</f>
        <v>5690.1724804873502</v>
      </c>
      <c r="R13" s="48">
        <f>IFERROR((s_TR/(s_RadSpec!K13*s_EF_w*(1/365)*s_ED_com*s_RadSpec!P13*(s_ET_w_o+s_ET_w_i)*(1/24)*s_RadSpec!U13))*1,".")</f>
        <v>273467.48104980658</v>
      </c>
      <c r="S13" s="69">
        <f>s_C*s_EF_w*(1/365)*s_ED_com*(s_ET_w_o+s_ET_w_i)*(1/24)*s_RadSpec!V13*s_RadSpec!Q13*1</f>
        <v>202.79019285571425</v>
      </c>
      <c r="T13" s="69">
        <f>s_C*s_EF_w*(1/365)*s_ED_com*(s_ET_w_o+s_ET_w_i)*(1/24)*s_RadSpec!W13*s_RadSpec!R13*1</f>
        <v>92.989721776935752</v>
      </c>
      <c r="U13" s="69">
        <f>s_C*s_EF_w*(1/365)*s_ED_com*(s_ET_w_o+s_ET_w_i)*(1/24)*s_RadSpec!X13*s_RadSpec!S13*1</f>
        <v>156.52386747371779</v>
      </c>
      <c r="V13" s="69">
        <f>s_C*s_EF_w*(1/365)*s_ED_com*(s_ET_w_o+s_ET_w_i)*(1/24)*s_RadSpec!Y13*s_RadSpec!T13*1</f>
        <v>189.60659554593357</v>
      </c>
      <c r="W13" s="69">
        <f>s_C*s_EF_w*(1/365)*s_ED_com*(s_ET_w_o+s_ET_w_i)*(1/24)*s_RadSpec!U13*s_RadSpec!P13*1</f>
        <v>9.665832509532553</v>
      </c>
      <c r="X13" s="11"/>
      <c r="Y13" s="11"/>
      <c r="Z13" s="11"/>
      <c r="AA13" s="11"/>
      <c r="AB13" s="11"/>
      <c r="AC13" s="48">
        <f>IFERROR(s_TR/(s_RadSpec!G13*s_EF_w*s_ED_com*(s_ET_w_o+s_ET_w_i)*(1/24)*s_IRA_w),".")</f>
        <v>5.0725212015534605E-3</v>
      </c>
      <c r="AD13" s="48">
        <f>IFERROR(s_TR/(s_RadSpec!J13*s_EF_w*(1/365)*s_ED_com*(s_ET_w_o+s_ET_w_i)*(1/24)*s_GSF_a),".")</f>
        <v>10381.027948903833</v>
      </c>
      <c r="AE13" s="48">
        <f t="shared" si="6"/>
        <v>5.0725187229493287E-3</v>
      </c>
      <c r="AF13" s="69">
        <f t="shared" si="4"/>
        <v>381940625</v>
      </c>
      <c r="AG13" s="69">
        <f t="shared" si="5"/>
        <v>69760.844748858435</v>
      </c>
      <c r="AH13" s="10"/>
      <c r="AI13" s="10"/>
      <c r="AJ13" s="10"/>
    </row>
    <row r="14" spans="1:36" x14ac:dyDescent="0.25">
      <c r="A14" s="49" t="s">
        <v>24</v>
      </c>
      <c r="B14" s="50" t="s">
        <v>289</v>
      </c>
      <c r="C14" s="48">
        <f>IFERROR((s_TR/(s_RadSpec!I14*s_EF_w*s_ED_com*s_IRS_w*(1/1000)))*1,".")</f>
        <v>7040.1216533021679</v>
      </c>
      <c r="D14" s="48">
        <f>IFERROR(IF(A14="H-3",(s_TR/(s_RadSpec!G14*s_EF_w*s_ED_com*(s_ET_w_o+s_ET_w_i)*(1/24)*s_IRA_w*(1/17)*1000))*1,(s_TR/(s_RadSpec!G14*s_EF_w*s_ED_com*(s_ET_w_o+s_ET_w_i)*(1/24)*s_IRA_w*(1/s_PEF_wind)*1000))*1),".")</f>
        <v>2953024.0458588176</v>
      </c>
      <c r="E14" s="48">
        <f>IFERROR((s_TR/(s_RadSpec!F14*s_EF_w*(1/365)*s_ED_com*s_RadSpec!Q14*(s_ET_w_o+s_ET_w_i)*(1/24)*s_RadSpec!V14))*1,".")</f>
        <v>51.193253233970175</v>
      </c>
      <c r="F14" s="48">
        <f t="shared" si="0"/>
        <v>50.822806854803218</v>
      </c>
      <c r="G14" s="69">
        <f t="shared" si="1"/>
        <v>3055525</v>
      </c>
      <c r="H14" s="69">
        <f t="shared" si="2"/>
        <v>1231.1313567072434</v>
      </c>
      <c r="I14" s="69">
        <f>s_C*s_EF_w*(1/365)*s_ED_com*(s_ET_w_o+s_ET_w_i)*(1/24)*s_RadSpec!V14*s_RadSpec!Q14*1</f>
        <v>1350.8785119204431</v>
      </c>
      <c r="J14" s="4"/>
      <c r="K14" s="4"/>
      <c r="L14" s="4"/>
      <c r="M14" s="4"/>
      <c r="N14" s="48">
        <f>IFERROR((s_TR/(s_RadSpec!F14*s_EF_w*(1/365)*s_ED_com*s_RadSpec!Q14*(s_ET_w_o+s_ET_w_i)*(1/24)*s_RadSpec!V14))*1,".")</f>
        <v>51.193253233970175</v>
      </c>
      <c r="O14" s="48">
        <f>IFERROR((s_TR/(s_RadSpec!M14*s_EF_w*(1/365)*s_ED_com*s_RadSpec!R14*(s_ET_w_o+s_ET_w_i)*(1/24)*s_RadSpec!W14))*1,".")</f>
        <v>391.94180488247326</v>
      </c>
      <c r="P14" s="48">
        <f>IFERROR((s_TR/(s_RadSpec!N14*s_EF_w*(1/365)*s_ED_com*s_RadSpec!S14*(s_ET_w_o+s_ET_w_i)*(1/24)*s_RadSpec!X14))*1,".")</f>
        <v>105.56260049413056</v>
      </c>
      <c r="Q14" s="48">
        <f>IFERROR((s_TR/(s_RadSpec!O14*s_EF_w*(1/365)*s_ED_com*s_RadSpec!T14*(s_ET_w_o+s_ET_w_i)*(1/24)*s_RadSpec!Y14))*1,".")</f>
        <v>63.658769357939534</v>
      </c>
      <c r="R14" s="48">
        <f>IFERROR((s_TR/(s_RadSpec!K14*s_EF_w*(1/365)*s_ED_com*s_RadSpec!P14*(s_ET_w_o+s_ET_w_i)*(1/24)*s_RadSpec!U14))*1,".")</f>
        <v>1108.5671084088765</v>
      </c>
      <c r="S14" s="69">
        <f>s_C*s_EF_w*(1/365)*s_ED_com*(s_ET_w_o+s_ET_w_i)*(1/24)*s_RadSpec!V14*s_RadSpec!Q14*1</f>
        <v>1350.8785119204431</v>
      </c>
      <c r="T14" s="69">
        <f>s_C*s_EF_w*(1/365)*s_ED_com*(s_ET_w_o+s_ET_w_i)*(1/24)*s_RadSpec!W14*s_RadSpec!R14*1</f>
        <v>743.83347325663817</v>
      </c>
      <c r="U14" s="69">
        <f>s_C*s_EF_w*(1/365)*s_ED_com*(s_ET_w_o+s_ET_w_i)*(1/24)*s_RadSpec!X14*s_RadSpec!S14*1</f>
        <v>1006.0727044867969</v>
      </c>
      <c r="V14" s="69">
        <f>s_C*s_EF_w*(1/365)*s_ED_com*(s_ET_w_o+s_ET_w_i)*(1/24)*s_RadSpec!Y14*s_RadSpec!T14*1</f>
        <v>1148.0960785388124</v>
      </c>
      <c r="W14" s="69">
        <f>s_C*s_EF_w*(1/365)*s_ED_com*(s_ET_w_o+s_ET_w_i)*(1/24)*s_RadSpec!U14*s_RadSpec!P14*1</f>
        <v>266.58124750631725</v>
      </c>
      <c r="X14" s="11"/>
      <c r="Y14" s="11"/>
      <c r="Z14" s="11"/>
      <c r="AA14" s="11"/>
      <c r="AB14" s="11"/>
      <c r="AC14" s="48">
        <f>IFERROR(s_TR/(s_RadSpec!G14*s_EF_w*s_ED_com*(s_ET_w_o+s_ET_w_i)*(1/24)*s_IRA_w),".")</f>
        <v>9.5186535864501973</v>
      </c>
      <c r="AD14" s="48">
        <f>IFERROR(s_TR/(s_RadSpec!J14*s_EF_w*(1/365)*s_ED_com*(s_ET_w_o+s_ET_w_i)*(1/24)*s_GSF_a),".")</f>
        <v>933.01441346509137</v>
      </c>
      <c r="AE14" s="48">
        <f t="shared" si="6"/>
        <v>9.4225245812554252</v>
      </c>
      <c r="AF14" s="69">
        <f t="shared" si="4"/>
        <v>381940625</v>
      </c>
      <c r="AG14" s="69">
        <f t="shared" si="5"/>
        <v>69760.844748858435</v>
      </c>
      <c r="AH14" s="10"/>
      <c r="AI14" s="10"/>
      <c r="AJ14" s="10"/>
    </row>
    <row r="15" spans="1:36" x14ac:dyDescent="0.25">
      <c r="A15" s="49" t="s">
        <v>25</v>
      </c>
      <c r="B15" s="50" t="s">
        <v>289</v>
      </c>
      <c r="C15" s="48">
        <f>IFERROR((s_TR/(s_RadSpec!I15*s_EF_w*s_ED_com*s_IRS_w*(1/1000)))*1,".")</f>
        <v>148909.23981833068</v>
      </c>
      <c r="D15" s="48">
        <f>IFERROR(IF(A15="H-3",(s_TR/(s_RadSpec!G15*s_EF_w*s_ED_com*(s_ET_w_o+s_ET_w_i)*(1/24)*s_IRA_w*(1/17)*1000))*1,(s_TR/(s_RadSpec!G15*s_EF_w*s_ED_com*(s_ET_w_o+s_ET_w_i)*(1/24)*s_IRA_w*(1/s_PEF_wind)*1000))*1),".")</f>
        <v>217010485.93232954</v>
      </c>
      <c r="E15" s="48" t="str">
        <f>IFERROR((s_TR/(s_RadSpec!F15*s_EF_w*(1/365)*s_ED_com*s_RadSpec!Q15*(s_ET_w_o+s_ET_w_i)*(1/24)*s_RadSpec!V15))*1,".")</f>
        <v>.</v>
      </c>
      <c r="F15" s="48">
        <f t="shared" si="0"/>
        <v>148807.13066626893</v>
      </c>
      <c r="G15" s="69">
        <f t="shared" si="1"/>
        <v>3055525</v>
      </c>
      <c r="H15" s="69">
        <f t="shared" si="2"/>
        <v>1231.1313567072434</v>
      </c>
      <c r="I15" s="69">
        <f>s_C*s_EF_w*(1/365)*s_ED_com*(s_ET_w_o+s_ET_w_i)*(1/24)*s_RadSpec!V15*s_RadSpec!Q15*1</f>
        <v>0</v>
      </c>
      <c r="J15" s="4"/>
      <c r="K15" s="4"/>
      <c r="L15" s="4"/>
      <c r="M15" s="4"/>
      <c r="N15" s="48" t="str">
        <f>IFERROR((s_TR/(s_RadSpec!F15*s_EF_w*(1/365)*s_ED_com*s_RadSpec!Q15*(s_ET_w_o+s_ET_w_i)*(1/24)*s_RadSpec!V15))*1,".")</f>
        <v>.</v>
      </c>
      <c r="O15" s="48" t="str">
        <f>IFERROR((s_TR/(s_RadSpec!M15*s_EF_w*(1/365)*s_ED_com*s_RadSpec!R15*(s_ET_w_o+s_ET_w_i)*(1/24)*s_RadSpec!W15))*1,".")</f>
        <v>.</v>
      </c>
      <c r="P15" s="48" t="str">
        <f>IFERROR((s_TR/(s_RadSpec!N15*s_EF_w*(1/365)*s_ED_com*s_RadSpec!S15*(s_ET_w_o+s_ET_w_i)*(1/24)*s_RadSpec!X15))*1,".")</f>
        <v>.</v>
      </c>
      <c r="Q15" s="48" t="str">
        <f>IFERROR((s_TR/(s_RadSpec!O15*s_EF_w*(1/365)*s_ED_com*s_RadSpec!T15*(s_ET_w_o+s_ET_w_i)*(1/24)*s_RadSpec!Y15))*1,".")</f>
        <v>.</v>
      </c>
      <c r="R15" s="48" t="str">
        <f>IFERROR((s_TR/(s_RadSpec!K15*s_EF_w*(1/365)*s_ED_com*s_RadSpec!P15*(s_ET_w_o+s_ET_w_i)*(1/24)*s_RadSpec!U15))*1,".")</f>
        <v>.</v>
      </c>
      <c r="S15" s="69">
        <f>s_C*s_EF_w*(1/365)*s_ED_com*(s_ET_w_o+s_ET_w_i)*(1/24)*s_RadSpec!V15*s_RadSpec!Q15*1</f>
        <v>0</v>
      </c>
      <c r="T15" s="69">
        <f>s_C*s_EF_w*(1/365)*s_ED_com*(s_ET_w_o+s_ET_w_i)*(1/24)*s_RadSpec!W15*s_RadSpec!R15*1</f>
        <v>0</v>
      </c>
      <c r="U15" s="69">
        <f>s_C*s_EF_w*(1/365)*s_ED_com*(s_ET_w_o+s_ET_w_i)*(1/24)*s_RadSpec!X15*s_RadSpec!S15*1</f>
        <v>0</v>
      </c>
      <c r="V15" s="69">
        <f>s_C*s_EF_w*(1/365)*s_ED_com*(s_ET_w_o+s_ET_w_i)*(1/24)*s_RadSpec!Y15*s_RadSpec!T15*1</f>
        <v>0</v>
      </c>
      <c r="W15" s="69">
        <f>s_C*s_EF_w*(1/365)*s_ED_com*(s_ET_w_o+s_ET_w_i)*(1/24)*s_RadSpec!U15*s_RadSpec!P15*1</f>
        <v>0</v>
      </c>
      <c r="X15" s="11"/>
      <c r="Y15" s="11"/>
      <c r="Z15" s="11"/>
      <c r="AA15" s="11"/>
      <c r="AB15" s="11"/>
      <c r="AC15" s="48">
        <f>IFERROR(s_TR/(s_RadSpec!G15*s_EF_w*s_ED_com*(s_ET_w_o+s_ET_w_i)*(1/24)*s_IRA_w),".")</f>
        <v>699.50247886190959</v>
      </c>
      <c r="AD15" s="48">
        <f>IFERROR(s_TR/(s_RadSpec!J15*s_EF_w*(1/365)*s_ED_com*(s_ET_w_o+s_ET_w_i)*(1/24)*s_GSF_a),".")</f>
        <v>467146.25770067237</v>
      </c>
      <c r="AE15" s="48">
        <f t="shared" si="6"/>
        <v>698.45661340884624</v>
      </c>
      <c r="AF15" s="69">
        <f t="shared" si="4"/>
        <v>381940625</v>
      </c>
      <c r="AG15" s="69">
        <f t="shared" si="5"/>
        <v>69760.844748858435</v>
      </c>
      <c r="AH15" s="10"/>
      <c r="AI15" s="10"/>
      <c r="AJ15" s="10"/>
    </row>
    <row r="16" spans="1:36" x14ac:dyDescent="0.25">
      <c r="A16" s="49" t="s">
        <v>26</v>
      </c>
      <c r="B16" s="50" t="s">
        <v>289</v>
      </c>
      <c r="C16" s="48">
        <f>IFERROR((s_TR/(s_RadSpec!I16*s_EF_w*s_ED_com*s_IRS_w*(1/1000)))*1,".")</f>
        <v>30.333363666697</v>
      </c>
      <c r="D16" s="48">
        <f>IFERROR(IF(A16="H-3",(s_TR/(s_RadSpec!G16*s_EF_w*s_ED_com*(s_ET_w_o+s_ET_w_i)*(1/24)*s_IRA_w*(1/17)*1000))*1,(s_TR/(s_RadSpec!G16*s_EF_w*s_ED_com*(s_ET_w_o+s_ET_w_i)*(1/24)*s_IRA_w*(1/s_PEF_wind)*1000))*1),".")</f>
        <v>2842.8879509083722</v>
      </c>
      <c r="E16" s="48">
        <f>IFERROR((s_TR/(s_RadSpec!F16*s_EF_w*(1/365)*s_ED_com*s_RadSpec!Q16*(s_ET_w_o+s_ET_w_i)*(1/24)*s_RadSpec!V16))*1,".")</f>
        <v>257923839.69427079</v>
      </c>
      <c r="F16" s="48">
        <f t="shared" si="0"/>
        <v>30.013122764519576</v>
      </c>
      <c r="G16" s="69">
        <f t="shared" si="1"/>
        <v>3055525</v>
      </c>
      <c r="H16" s="69">
        <f t="shared" si="2"/>
        <v>1231.1313567072434</v>
      </c>
      <c r="I16" s="69">
        <f>s_C*s_EF_w*(1/365)*s_ED_com*(s_ET_w_o+s_ET_w_i)*(1/24)*s_RadSpec!V16*s_RadSpec!Q16*1</f>
        <v>0.14525204460208732</v>
      </c>
      <c r="J16" s="4"/>
      <c r="K16" s="4"/>
      <c r="L16" s="4"/>
      <c r="M16" s="4"/>
      <c r="N16" s="48">
        <f>IFERROR((s_TR/(s_RadSpec!F16*s_EF_w*(1/365)*s_ED_com*s_RadSpec!Q16*(s_ET_w_o+s_ET_w_i)*(1/24)*s_RadSpec!V16))*1,".")</f>
        <v>257923839.69427079</v>
      </c>
      <c r="O16" s="48">
        <f>IFERROR((s_TR/(s_RadSpec!M16*s_EF_w*(1/365)*s_ED_com*s_RadSpec!R16*(s_ET_w_o+s_ET_w_i)*(1/24)*s_RadSpec!W16))*1,".")</f>
        <v>714925191.55073071</v>
      </c>
      <c r="P16" s="48">
        <f>IFERROR((s_TR/(s_RadSpec!N16*s_EF_w*(1/365)*s_ED_com*s_RadSpec!S16*(s_ET_w_o+s_ET_w_i)*(1/24)*s_RadSpec!X16))*1,".")</f>
        <v>279027893.57777947</v>
      </c>
      <c r="Q16" s="48">
        <f>IFERROR((s_TR/(s_RadSpec!O16*s_EF_w*(1/365)*s_ED_com*s_RadSpec!T16*(s_ET_w_o+s_ET_w_i)*(1/24)*s_RadSpec!Y16))*1,".")</f>
        <v>277377820.63452315</v>
      </c>
      <c r="R16" s="48">
        <f>IFERROR((s_TR/(s_RadSpec!K16*s_EF_w*(1/365)*s_ED_com*s_RadSpec!P16*(s_ET_w_o+s_ET_w_i)*(1/24)*s_RadSpec!U16))*1,".")</f>
        <v>9279367840.0405693</v>
      </c>
      <c r="S16" s="69">
        <f>s_C*s_EF_w*(1/365)*s_ED_com*(s_ET_w_o+s_ET_w_i)*(1/24)*s_RadSpec!V16*s_RadSpec!Q16*1</f>
        <v>0.14525204460208732</v>
      </c>
      <c r="T16" s="69">
        <f>s_C*s_EF_w*(1/365)*s_ED_com*(s_ET_w_o+s_ET_w_i)*(1/24)*s_RadSpec!W16*s_RadSpec!R16*1</f>
        <v>8.1558025227180211E-2</v>
      </c>
      <c r="U16" s="69">
        <f>s_C*s_EF_w*(1/365)*s_ED_com*(s_ET_w_o+s_ET_w_i)*(1/24)*s_RadSpec!X16*s_RadSpec!S16*1</f>
        <v>0.13576261695128342</v>
      </c>
      <c r="V16" s="69">
        <f>s_C*s_EF_w*(1/365)*s_ED_com*(s_ET_w_o+s_ET_w_i)*(1/24)*s_RadSpec!Y16*s_RadSpec!T16*1</f>
        <v>0.13506474663876197</v>
      </c>
      <c r="W16" s="69">
        <f>s_C*s_EF_w*(1/365)*s_ED_com*(s_ET_w_o+s_ET_w_i)*(1/24)*s_RadSpec!U16*s_RadSpec!P16*1</f>
        <v>3.4880422374429215E-3</v>
      </c>
      <c r="X16" s="11"/>
      <c r="Y16" s="11"/>
      <c r="Z16" s="11"/>
      <c r="AA16" s="11"/>
      <c r="AB16" s="11"/>
      <c r="AC16" s="48">
        <f>IFERROR(s_TR/(s_RadSpec!G16*s_EF_w*s_ED_com*(s_ET_w_o+s_ET_w_i)*(1/24)*s_IRA_w),".")</f>
        <v>9.1636455272818898E-3</v>
      </c>
      <c r="AD16" s="48">
        <f>IFERROR(s_TR/(s_RadSpec!J16*s_EF_w*(1/365)*s_ED_com*(s_ET_w_o+s_ET_w_i)*(1/24)*s_GSF_a),".")</f>
        <v>202383.83864776907</v>
      </c>
      <c r="AE16" s="48">
        <f t="shared" si="6"/>
        <v>9.1636451123653824E-3</v>
      </c>
      <c r="AF16" s="69">
        <f t="shared" si="4"/>
        <v>381940625</v>
      </c>
      <c r="AG16" s="69">
        <f t="shared" si="5"/>
        <v>69760.844748858435</v>
      </c>
      <c r="AH16" s="10"/>
      <c r="AI16" s="10"/>
      <c r="AJ16" s="10"/>
    </row>
    <row r="17" spans="1:36" x14ac:dyDescent="0.25">
      <c r="A17" s="49" t="s">
        <v>27</v>
      </c>
      <c r="B17" s="50" t="s">
        <v>289</v>
      </c>
      <c r="C17" s="48">
        <f>IFERROR((s_TR/(s_RadSpec!I17*s_EF_w*s_ED_com*s_IRS_w*(1/1000)))*1,".")</f>
        <v>82449.746879277067</v>
      </c>
      <c r="D17" s="48">
        <f>IFERROR(IF(A17="H-3",(s_TR/(s_RadSpec!G17*s_EF_w*s_ED_com*(s_ET_w_o+s_ET_w_i)*(1/24)*s_IRA_w*(1/17)*1000))*1,(s_TR/(s_RadSpec!G17*s_EF_w*s_ED_com*(s_ET_w_o+s_ET_w_i)*(1/24)*s_IRA_w*(1/s_PEF_wind)*1000))*1),".")</f>
        <v>580761.3956855674</v>
      </c>
      <c r="E17" s="48">
        <f>IFERROR((s_TR/(s_RadSpec!F17*s_EF_w*(1/365)*s_ED_com*s_RadSpec!Q17*(s_ET_w_o+s_ET_w_i)*(1/24)*s_RadSpec!V17))*1,".")</f>
        <v>35.388679830087405</v>
      </c>
      <c r="F17" s="48">
        <f t="shared" si="0"/>
        <v>35.371342562464335</v>
      </c>
      <c r="G17" s="69">
        <f t="shared" si="1"/>
        <v>3055525</v>
      </c>
      <c r="H17" s="69">
        <f t="shared" si="2"/>
        <v>1231.1313567072434</v>
      </c>
      <c r="I17" s="69">
        <f>s_C*s_EF_w*(1/365)*s_ED_com*(s_ET_w_o+s_ET_w_i)*(1/24)*s_RadSpec!V17*s_RadSpec!Q17*1</f>
        <v>1579.8779546065007</v>
      </c>
      <c r="J17" s="4"/>
      <c r="K17" s="4"/>
      <c r="L17" s="4"/>
      <c r="M17" s="4"/>
      <c r="N17" s="48">
        <f>IFERROR((s_TR/(s_RadSpec!F17*s_EF_w*(1/365)*s_ED_com*s_RadSpec!Q17*(s_ET_w_o+s_ET_w_i)*(1/24)*s_RadSpec!V17))*1,".")</f>
        <v>35.388679830087405</v>
      </c>
      <c r="O17" s="48">
        <f>IFERROR((s_TR/(s_RadSpec!M17*s_EF_w*(1/365)*s_ED_com*s_RadSpec!R17*(s_ET_w_o+s_ET_w_i)*(1/24)*s_RadSpec!W17))*1,".")</f>
        <v>271.86776987846758</v>
      </c>
      <c r="P17" s="48">
        <f>IFERROR((s_TR/(s_RadSpec!N17*s_EF_w*(1/365)*s_ED_com*s_RadSpec!S17*(s_ET_w_o+s_ET_w_i)*(1/24)*s_RadSpec!X17))*1,".")</f>
        <v>73.543979522241784</v>
      </c>
      <c r="Q17" s="48">
        <f>IFERROR((s_TR/(s_RadSpec!O17*s_EF_w*(1/365)*s_ED_com*s_RadSpec!T17*(s_ET_w_o+s_ET_w_i)*(1/24)*s_RadSpec!Y17))*1,".")</f>
        <v>44.243911409036464</v>
      </c>
      <c r="R17" s="48">
        <f>IFERROR((s_TR/(s_RadSpec!K17*s_EF_w*(1/365)*s_ED_com*s_RadSpec!P17*(s_ET_w_o+s_ET_w_i)*(1/24)*s_RadSpec!U17))*1,".")</f>
        <v>528.02692046017091</v>
      </c>
      <c r="S17" s="69">
        <f>s_C*s_EF_w*(1/365)*s_ED_com*(s_ET_w_o+s_ET_w_i)*(1/24)*s_RadSpec!V17*s_RadSpec!Q17*1</f>
        <v>1579.8779546065007</v>
      </c>
      <c r="T17" s="69">
        <f>s_C*s_EF_w*(1/365)*s_ED_com*(s_ET_w_o+s_ET_w_i)*(1/24)*s_RadSpec!W17*s_RadSpec!R17*1</f>
        <v>903.97076032706775</v>
      </c>
      <c r="U17" s="69">
        <f>s_C*s_EF_w*(1/365)*s_ED_com*(s_ET_w_o+s_ET_w_i)*(1/24)*s_RadSpec!X17*s_RadSpec!S17*1</f>
        <v>1199.8320290204051</v>
      </c>
      <c r="V17" s="69">
        <f>s_C*s_EF_w*(1/365)*s_ED_com*(s_ET_w_o+s_ET_w_i)*(1/24)*s_RadSpec!Y17*s_RadSpec!T17*1</f>
        <v>1349.2910055175041</v>
      </c>
      <c r="W17" s="69">
        <f>s_C*s_EF_w*(1/365)*s_ED_com*(s_ET_w_o+s_ET_w_i)*(1/24)*s_RadSpec!U17*s_RadSpec!P17*1</f>
        <v>471.76751048560863</v>
      </c>
      <c r="X17" s="11"/>
      <c r="Y17" s="11"/>
      <c r="Z17" s="11"/>
      <c r="AA17" s="11"/>
      <c r="AB17" s="11"/>
      <c r="AC17" s="48">
        <f>IFERROR(s_TR/(s_RadSpec!G17*s_EF_w*s_ED_com*(s_ET_w_o+s_ET_w_i)*(1/24)*s_IRA_w),".")</f>
        <v>1.8720018720018716</v>
      </c>
      <c r="AD17" s="48">
        <f>IFERROR(s_TR/(s_RadSpec!J17*s_EF_w*(1/365)*s_ED_com*(s_ET_w_o+s_ET_w_i)*(1/24)*s_GSF_a),".")</f>
        <v>781.2526188350306</v>
      </c>
      <c r="AE17" s="48">
        <f t="shared" si="6"/>
        <v>1.8675269890571691</v>
      </c>
      <c r="AF17" s="69">
        <f t="shared" si="4"/>
        <v>381940625</v>
      </c>
      <c r="AG17" s="69">
        <f t="shared" si="5"/>
        <v>69760.844748858435</v>
      </c>
      <c r="AH17" s="10"/>
      <c r="AI17" s="10"/>
      <c r="AJ17" s="10"/>
    </row>
    <row r="18" spans="1:36" x14ac:dyDescent="0.25">
      <c r="A18" s="49" t="s">
        <v>28</v>
      </c>
      <c r="B18" s="50" t="s">
        <v>289</v>
      </c>
      <c r="C18" s="48">
        <f>IFERROR((s_TR/(s_RadSpec!I18*s_EF_w*s_ED_com*s_IRS_w*(1/1000)))*1,".")</f>
        <v>12.664961118569364</v>
      </c>
      <c r="D18" s="48">
        <f>IFERROR(IF(A18="H-3",(s_TR/(s_RadSpec!G18*s_EF_w*s_ED_com*(s_ET_w_o+s_ET_w_i)*(1/24)*s_IRA_w*(1/17)*1000))*1,(s_TR/(s_RadSpec!G18*s_EF_w*s_ED_com*(s_ET_w_o+s_ET_w_i)*(1/24)*s_IRA_w*(1/s_PEF_wind)*1000))*1),".")</f>
        <v>3111.2217626012548</v>
      </c>
      <c r="E18" s="48">
        <f>IFERROR((s_TR/(s_RadSpec!F18*s_EF_w*(1/365)*s_ED_com*s_RadSpec!Q18*(s_ET_w_o+s_ET_w_i)*(1/24)*s_RadSpec!V18))*1,".")</f>
        <v>397366.94583399</v>
      </c>
      <c r="F18" s="48">
        <f t="shared" si="0"/>
        <v>12.613214048440216</v>
      </c>
      <c r="G18" s="69">
        <f t="shared" si="1"/>
        <v>3055525</v>
      </c>
      <c r="H18" s="69">
        <f t="shared" si="2"/>
        <v>1231.1313567072434</v>
      </c>
      <c r="I18" s="69">
        <f>s_C*s_EF_w*(1/365)*s_ED_com*(s_ET_w_o+s_ET_w_i)*(1/24)*s_RadSpec!V18*s_RadSpec!Q18*1</f>
        <v>3101.9758884748444</v>
      </c>
      <c r="J18" s="4"/>
      <c r="K18" s="4"/>
      <c r="L18" s="4"/>
      <c r="M18" s="4"/>
      <c r="N18" s="48">
        <f>IFERROR((s_TR/(s_RadSpec!F18*s_EF_w*(1/365)*s_ED_com*s_RadSpec!Q18*(s_ET_w_o+s_ET_w_i)*(1/24)*s_RadSpec!V18))*1,".")</f>
        <v>397366.94583399</v>
      </c>
      <c r="O18" s="48">
        <f>IFERROR((s_TR/(s_RadSpec!M18*s_EF_w*(1/365)*s_ED_com*s_RadSpec!R18*(s_ET_w_o+s_ET_w_i)*(1/24)*s_RadSpec!W18))*1,".")</f>
        <v>3960095.2955493489</v>
      </c>
      <c r="P18" s="48">
        <f>IFERROR((s_TR/(s_RadSpec!N18*s_EF_w*(1/365)*s_ED_com*s_RadSpec!S18*(s_ET_w_o+s_ET_w_i)*(1/24)*s_RadSpec!X18))*1,".")</f>
        <v>976750.45602320589</v>
      </c>
      <c r="Q18" s="48">
        <f>IFERROR((s_TR/(s_RadSpec!O18*s_EF_w*(1/365)*s_ED_com*s_RadSpec!T18*(s_ET_w_o+s_ET_w_i)*(1/24)*s_RadSpec!Y18))*1,".")</f>
        <v>519451.24937339174</v>
      </c>
      <c r="R18" s="48">
        <f>IFERROR((s_TR/(s_RadSpec!K18*s_EF_w*(1/365)*s_ED_com*s_RadSpec!P18*(s_ET_w_o+s_ET_w_i)*(1/24)*s_RadSpec!U18))*1,".")</f>
        <v>6924794.1212073518</v>
      </c>
      <c r="S18" s="69">
        <f>s_C*s_EF_w*(1/365)*s_ED_com*(s_ET_w_o+s_ET_w_i)*(1/24)*s_RadSpec!V18*s_RadSpec!Q18*1</f>
        <v>3101.9758884748444</v>
      </c>
      <c r="T18" s="69">
        <f>s_C*s_EF_w*(1/365)*s_ED_com*(s_ET_w_o+s_ET_w_i)*(1/24)*s_RadSpec!W18*s_RadSpec!R18*1</f>
        <v>1567.6760655499434</v>
      </c>
      <c r="U18" s="69">
        <f>s_C*s_EF_w*(1/365)*s_ED_com*(s_ET_w_o+s_ET_w_i)*(1/24)*s_RadSpec!X18*s_RadSpec!S18*1</f>
        <v>2238.5919984147863</v>
      </c>
      <c r="V18" s="69">
        <f>s_C*s_EF_w*(1/365)*s_ED_com*(s_ET_w_o+s_ET_w_i)*(1/24)*s_RadSpec!Y18*s_RadSpec!T18*1</f>
        <v>2701.9229948381958</v>
      </c>
      <c r="W18" s="69">
        <f>s_C*s_EF_w*(1/365)*s_ED_com*(s_ET_w_o+s_ET_w_i)*(1/24)*s_RadSpec!U18*s_RadSpec!P18*1</f>
        <v>922.26201532389132</v>
      </c>
      <c r="X18" s="11"/>
      <c r="Y18" s="11"/>
      <c r="Z18" s="11"/>
      <c r="AA18" s="11"/>
      <c r="AB18" s="11"/>
      <c r="AC18" s="48">
        <f>IFERROR(s_TR/(s_RadSpec!G18*s_EF_w*s_ED_com*(s_ET_w_o+s_ET_w_i)*(1/24)*s_IRA_w),".")</f>
        <v>1.0028581457152885E-2</v>
      </c>
      <c r="AD18" s="48">
        <f>IFERROR(s_TR/(s_RadSpec!J18*s_EF_w*(1/365)*s_ED_com*(s_ET_w_o+s_ET_w_i)*(1/24)*s_GSF_a),".")</f>
        <v>19051216.096172679</v>
      </c>
      <c r="AE18" s="48">
        <f t="shared" si="6"/>
        <v>1.0028581451873828E-2</v>
      </c>
      <c r="AF18" s="69">
        <f t="shared" si="4"/>
        <v>381940625</v>
      </c>
      <c r="AG18" s="69">
        <f t="shared" si="5"/>
        <v>69760.844748858435</v>
      </c>
      <c r="AH18" s="10"/>
      <c r="AI18" s="10"/>
      <c r="AJ18" s="10"/>
    </row>
    <row r="19" spans="1:36" x14ac:dyDescent="0.25">
      <c r="A19" s="49" t="s">
        <v>29</v>
      </c>
      <c r="B19" s="50" t="s">
        <v>289</v>
      </c>
      <c r="C19" s="48" t="str">
        <f>IFERROR((s_TR/(s_RadSpec!I19*s_EF_w*s_ED_com*s_IRS_w*(1/1000)))*1,".")</f>
        <v>.</v>
      </c>
      <c r="D19" s="48" t="str">
        <f>IFERROR(IF(A19="H-3",(s_TR/(s_RadSpec!G19*s_EF_w*s_ED_com*(s_ET_w_o+s_ET_w_i)*(1/24)*s_IRA_w*(1/17)*1000))*1,(s_TR/(s_RadSpec!G19*s_EF_w*s_ED_com*(s_ET_w_o+s_ET_w_i)*(1/24)*s_IRA_w*(1/s_PEF_wind)*1000))*1),".")</f>
        <v>.</v>
      </c>
      <c r="E19" s="48">
        <f>IFERROR((s_TR/(s_RadSpec!F19*s_EF_w*(1/365)*s_ED_com*s_RadSpec!Q19*(s_ET_w_o+s_ET_w_i)*(1/24)*s_RadSpec!V19))*1,".")</f>
        <v>105751.1897797381</v>
      </c>
      <c r="F19" s="48">
        <f t="shared" si="0"/>
        <v>105751.1897797381</v>
      </c>
      <c r="G19" s="69">
        <f t="shared" si="1"/>
        <v>3055525</v>
      </c>
      <c r="H19" s="69">
        <f t="shared" si="2"/>
        <v>1231.1313567072434</v>
      </c>
      <c r="I19" s="69">
        <f>s_C*s_EF_w*(1/365)*s_ED_com*(s_ET_w_o+s_ET_w_i)*(1/24)*s_RadSpec!V19*s_RadSpec!Q19*1</f>
        <v>3039.978297455968</v>
      </c>
      <c r="J19" s="4"/>
      <c r="K19" s="4"/>
      <c r="L19" s="4"/>
      <c r="M19" s="4"/>
      <c r="N19" s="48">
        <f>IFERROR((s_TR/(s_RadSpec!F19*s_EF_w*(1/365)*s_ED_com*s_RadSpec!Q19*(s_ET_w_o+s_ET_w_i)*(1/24)*s_RadSpec!V19))*1,".")</f>
        <v>105751.1897797381</v>
      </c>
      <c r="O19" s="48">
        <f>IFERROR((s_TR/(s_RadSpec!M19*s_EF_w*(1/365)*s_ED_com*s_RadSpec!R19*(s_ET_w_o+s_ET_w_i)*(1/24)*s_RadSpec!W19))*1,".")</f>
        <v>1048736.4458487926</v>
      </c>
      <c r="P19" s="48">
        <f>IFERROR((s_TR/(s_RadSpec!N19*s_EF_w*(1/365)*s_ED_com*s_RadSpec!S19*(s_ET_w_o+s_ET_w_i)*(1/24)*s_RadSpec!X19))*1,".")</f>
        <v>258141.85645621814</v>
      </c>
      <c r="Q19" s="48">
        <f>IFERROR((s_TR/(s_RadSpec!O19*s_EF_w*(1/365)*s_ED_com*s_RadSpec!T19*(s_ET_w_o+s_ET_w_i)*(1/24)*s_RadSpec!Y19))*1,".")</f>
        <v>138250.04113033411</v>
      </c>
      <c r="R19" s="48">
        <f>IFERROR((s_TR/(s_RadSpec!K19*s_EF_w*(1/365)*s_ED_com*s_RadSpec!P19*(s_ET_w_o+s_ET_w_i)*(1/24)*s_RadSpec!U19))*1,".")</f>
        <v>1856118.3817684762</v>
      </c>
      <c r="S19" s="69">
        <f>s_C*s_EF_w*(1/365)*s_ED_com*(s_ET_w_o+s_ET_w_i)*(1/24)*s_RadSpec!V19*s_RadSpec!Q19*1</f>
        <v>3039.978297455968</v>
      </c>
      <c r="T19" s="69">
        <f>s_C*s_EF_w*(1/365)*s_ED_com*(s_ET_w_o+s_ET_w_i)*(1/24)*s_RadSpec!W19*s_RadSpec!R19*1</f>
        <v>1532.7078749530865</v>
      </c>
      <c r="U19" s="69">
        <f>s_C*s_EF_w*(1/365)*s_ED_com*(s_ET_w_o+s_ET_w_i)*(1/24)*s_RadSpec!X19*s_RadSpec!S19*1</f>
        <v>2211.0640623790714</v>
      </c>
      <c r="V19" s="69">
        <f>s_C*s_EF_w*(1/365)*s_ED_com*(s_ET_w_o+s_ET_w_i)*(1/24)*s_RadSpec!Y19*s_RadSpec!T19*1</f>
        <v>2647.3346212387314</v>
      </c>
      <c r="W19" s="69">
        <f>s_C*s_EF_w*(1/365)*s_ED_com*(s_ET_w_o+s_ET_w_i)*(1/24)*s_RadSpec!U19*s_RadSpec!P19*1</f>
        <v>890.06003556758526</v>
      </c>
      <c r="X19" s="11"/>
      <c r="Y19" s="11"/>
      <c r="Z19" s="11"/>
      <c r="AA19" s="11"/>
      <c r="AB19" s="11"/>
      <c r="AC19" s="48" t="str">
        <f>IFERROR(s_TR/(s_RadSpec!G19*s_EF_w*s_ED_com*(s_ET_w_o+s_ET_w_i)*(1/24)*s_IRA_w),".")</f>
        <v>.</v>
      </c>
      <c r="AD19" s="48">
        <f>IFERROR(s_TR/(s_RadSpec!J19*s_EF_w*(1/365)*s_ED_com*(s_ET_w_o+s_ET_w_i)*(1/24)*s_GSF_a),".")</f>
        <v>4942272.001760737</v>
      </c>
      <c r="AE19" s="48">
        <f t="shared" si="6"/>
        <v>4942272.001760737</v>
      </c>
      <c r="AF19" s="69">
        <f t="shared" si="4"/>
        <v>381940625</v>
      </c>
      <c r="AG19" s="69">
        <f t="shared" si="5"/>
        <v>69760.844748858435</v>
      </c>
      <c r="AH19" s="10"/>
      <c r="AI19" s="10"/>
      <c r="AJ19" s="10"/>
    </row>
    <row r="20" spans="1:36" x14ac:dyDescent="0.25">
      <c r="A20" s="49" t="s">
        <v>30</v>
      </c>
      <c r="B20" s="50" t="s">
        <v>289</v>
      </c>
      <c r="C20" s="48" t="str">
        <f>IFERROR((s_TR/(s_RadSpec!I20*s_EF_w*s_ED_com*s_IRS_w*(1/1000)))*1,".")</f>
        <v>.</v>
      </c>
      <c r="D20" s="48" t="str">
        <f>IFERROR(IF(A20="H-3",(s_TR/(s_RadSpec!G20*s_EF_w*s_ED_com*(s_ET_w_o+s_ET_w_i)*(1/24)*s_IRA_w*(1/17)*1000))*1,(s_TR/(s_RadSpec!G20*s_EF_w*s_ED_com*(s_ET_w_o+s_ET_w_i)*(1/24)*s_IRA_w*(1/s_PEF_wind)*1000))*1),".")</f>
        <v>.</v>
      </c>
      <c r="E20" s="48">
        <f>IFERROR((s_TR/(s_RadSpec!F20*s_EF_w*(1/365)*s_ED_com*s_RadSpec!Q20*(s_ET_w_o+s_ET_w_i)*(1/24)*s_RadSpec!V20))*1,".")</f>
        <v>46636.004487258768</v>
      </c>
      <c r="F20" s="48">
        <f t="shared" si="0"/>
        <v>46636.004487258768</v>
      </c>
      <c r="G20" s="69">
        <f t="shared" si="1"/>
        <v>3055525</v>
      </c>
      <c r="H20" s="69">
        <f t="shared" si="2"/>
        <v>1231.1313567072434</v>
      </c>
      <c r="I20" s="69">
        <f>s_C*s_EF_w*(1/365)*s_ED_com*(s_ET_w_o+s_ET_w_i)*(1/24)*s_RadSpec!V20*s_RadSpec!Q20*1</f>
        <v>3091.5920759191272</v>
      </c>
      <c r="J20" s="4"/>
      <c r="K20" s="4"/>
      <c r="L20" s="4"/>
      <c r="M20" s="4"/>
      <c r="N20" s="48">
        <f>IFERROR((s_TR/(s_RadSpec!F20*s_EF_w*(1/365)*s_ED_com*s_RadSpec!Q20*(s_ET_w_o+s_ET_w_i)*(1/24)*s_RadSpec!V20))*1,".")</f>
        <v>46636.004487258768</v>
      </c>
      <c r="O20" s="48">
        <f>IFERROR((s_TR/(s_RadSpec!M20*s_EF_w*(1/365)*s_ED_com*s_RadSpec!R20*(s_ET_w_o+s_ET_w_i)*(1/24)*s_RadSpec!W20))*1,".")</f>
        <v>464924.99772684817</v>
      </c>
      <c r="P20" s="48">
        <f>IFERROR((s_TR/(s_RadSpec!N20*s_EF_w*(1/365)*s_ED_com*s_RadSpec!S20*(s_ET_w_o+s_ET_w_i)*(1/24)*s_RadSpec!X20))*1,".")</f>
        <v>115410.19784331399</v>
      </c>
      <c r="Q20" s="48">
        <f>IFERROR((s_TR/(s_RadSpec!O20*s_EF_w*(1/365)*s_ED_com*s_RadSpec!T20*(s_ET_w_o+s_ET_w_i)*(1/24)*s_RadSpec!Y20))*1,".")</f>
        <v>61698.761674738846</v>
      </c>
      <c r="R20" s="48">
        <f>IFERROR((s_TR/(s_RadSpec!K20*s_EF_w*(1/365)*s_ED_com*s_RadSpec!P20*(s_ET_w_o+s_ET_w_i)*(1/24)*s_RadSpec!U20))*1,".")</f>
        <v>813140.81959956628</v>
      </c>
      <c r="S20" s="69">
        <f>s_C*s_EF_w*(1/365)*s_ED_com*(s_ET_w_o+s_ET_w_i)*(1/24)*s_RadSpec!V20*s_RadSpec!Q20*1</f>
        <v>3091.5920759191272</v>
      </c>
      <c r="T20" s="69">
        <f>s_C*s_EF_w*(1/365)*s_ED_com*(s_ET_w_o+s_ET_w_i)*(1/24)*s_RadSpec!W20*s_RadSpec!R20*1</f>
        <v>1567.6691695737256</v>
      </c>
      <c r="U20" s="69">
        <f>s_C*s_EF_w*(1/365)*s_ED_com*(s_ET_w_o+s_ET_w_i)*(1/24)*s_RadSpec!X20*s_RadSpec!S20*1</f>
        <v>2240.5541901692172</v>
      </c>
      <c r="V20" s="69">
        <f>s_C*s_EF_w*(1/365)*s_ED_com*(s_ET_w_o+s_ET_w_i)*(1/24)*s_RadSpec!Y20*s_RadSpec!T20*1</f>
        <v>2668.3523116438337</v>
      </c>
      <c r="W20" s="69">
        <f>s_C*s_EF_w*(1/365)*s_ED_com*(s_ET_w_o+s_ET_w_i)*(1/24)*s_RadSpec!U20*s_RadSpec!P20*1</f>
        <v>920.01430896514262</v>
      </c>
      <c r="X20" s="11"/>
      <c r="Y20" s="11"/>
      <c r="Z20" s="11"/>
      <c r="AA20" s="11"/>
      <c r="AB20" s="11"/>
      <c r="AC20" s="48" t="str">
        <f>IFERROR(s_TR/(s_RadSpec!G20*s_EF_w*s_ED_com*(s_ET_w_o+s_ET_w_i)*(1/24)*s_IRA_w),".")</f>
        <v>.</v>
      </c>
      <c r="AD20" s="48">
        <f>IFERROR(s_TR/(s_RadSpec!J20*s_EF_w*(1/365)*s_ED_com*(s_ET_w_o+s_ET_w_i)*(1/24)*s_GSF_a),".")</f>
        <v>2228867.7654999401</v>
      </c>
      <c r="AE20" s="48">
        <f t="shared" si="6"/>
        <v>2228867.7654999401</v>
      </c>
      <c r="AF20" s="69">
        <f t="shared" si="4"/>
        <v>381940625</v>
      </c>
      <c r="AG20" s="69">
        <f t="shared" si="5"/>
        <v>69760.844748858435</v>
      </c>
      <c r="AH20" s="10"/>
      <c r="AI20" s="10"/>
      <c r="AJ20" s="10"/>
    </row>
    <row r="21" spans="1:36" x14ac:dyDescent="0.25">
      <c r="A21" s="49" t="s">
        <v>31</v>
      </c>
      <c r="B21" s="50" t="s">
        <v>289</v>
      </c>
      <c r="C21" s="48" t="str">
        <f>IFERROR((s_TR/(s_RadSpec!I21*s_EF_w*s_ED_com*s_IRS_w*(1/1000)))*1,".")</f>
        <v>.</v>
      </c>
      <c r="D21" s="48">
        <f>IFERROR(IF(A21="H-3",(s_TR/(s_RadSpec!G21*s_EF_w*s_ED_com*(s_ET_w_o+s_ET_w_i)*(1/24)*s_IRA_w*(1/17)*1000))*1,(s_TR/(s_RadSpec!G21*s_EF_w*s_ED_com*(s_ET_w_o+s_ET_w_i)*(1/24)*s_IRA_w*(1/s_PEF_wind)*1000))*1),".")</f>
        <v>3246414.4204869489</v>
      </c>
      <c r="E21" s="48" t="str">
        <f>IFERROR((s_TR/(s_RadSpec!F21*s_EF_w*(1/365)*s_ED_com*s_RadSpec!Q21*(s_ET_w_o+s_ET_w_i)*(1/24)*s_RadSpec!V21))*1,".")</f>
        <v>.</v>
      </c>
      <c r="F21" s="48">
        <f t="shared" si="0"/>
        <v>3246414.4204869489</v>
      </c>
      <c r="G21" s="69">
        <f t="shared" si="1"/>
        <v>3055525</v>
      </c>
      <c r="H21" s="69">
        <f t="shared" si="2"/>
        <v>1231.1313567072434</v>
      </c>
      <c r="I21" s="69">
        <f>s_C*s_EF_w*(1/365)*s_ED_com*(s_ET_w_o+s_ET_w_i)*(1/24)*s_RadSpec!V21*s_RadSpec!Q21*1</f>
        <v>0</v>
      </c>
      <c r="J21" s="4"/>
      <c r="K21" s="4"/>
      <c r="L21" s="4"/>
      <c r="M21" s="4"/>
      <c r="N21" s="48" t="str">
        <f>IFERROR((s_TR/(s_RadSpec!F21*s_EF_w*(1/365)*s_ED_com*s_RadSpec!Q21*(s_ET_w_o+s_ET_w_i)*(1/24)*s_RadSpec!V21))*1,".")</f>
        <v>.</v>
      </c>
      <c r="O21" s="48" t="str">
        <f>IFERROR((s_TR/(s_RadSpec!M21*s_EF_w*(1/365)*s_ED_com*s_RadSpec!R21*(s_ET_w_o+s_ET_w_i)*(1/24)*s_RadSpec!W21))*1,".")</f>
        <v>.</v>
      </c>
      <c r="P21" s="48" t="str">
        <f>IFERROR((s_TR/(s_RadSpec!N21*s_EF_w*(1/365)*s_ED_com*s_RadSpec!S21*(s_ET_w_o+s_ET_w_i)*(1/24)*s_RadSpec!X21))*1,".")</f>
        <v>.</v>
      </c>
      <c r="Q21" s="48" t="str">
        <f>IFERROR((s_TR/(s_RadSpec!O21*s_EF_w*(1/365)*s_ED_com*s_RadSpec!T21*(s_ET_w_o+s_ET_w_i)*(1/24)*s_RadSpec!Y21))*1,".")</f>
        <v>.</v>
      </c>
      <c r="R21" s="48" t="str">
        <f>IFERROR((s_TR/(s_RadSpec!K21*s_EF_w*(1/365)*s_ED_com*s_RadSpec!P21*(s_ET_w_o+s_ET_w_i)*(1/24)*s_RadSpec!U21))*1,".")</f>
        <v>.</v>
      </c>
      <c r="S21" s="69">
        <f>s_C*s_EF_w*(1/365)*s_ED_com*(s_ET_w_o+s_ET_w_i)*(1/24)*s_RadSpec!V21*s_RadSpec!Q21*1</f>
        <v>0</v>
      </c>
      <c r="T21" s="69">
        <f>s_C*s_EF_w*(1/365)*s_ED_com*(s_ET_w_o+s_ET_w_i)*(1/24)*s_RadSpec!W21*s_RadSpec!R21*1</f>
        <v>0</v>
      </c>
      <c r="U21" s="69">
        <f>s_C*s_EF_w*(1/365)*s_ED_com*(s_ET_w_o+s_ET_w_i)*(1/24)*s_RadSpec!X21*s_RadSpec!S21*1</f>
        <v>0</v>
      </c>
      <c r="V21" s="69">
        <f>s_C*s_EF_w*(1/365)*s_ED_com*(s_ET_w_o+s_ET_w_i)*(1/24)*s_RadSpec!Y21*s_RadSpec!T21*1</f>
        <v>0</v>
      </c>
      <c r="W21" s="69">
        <f>s_C*s_EF_w*(1/365)*s_ED_com*(s_ET_w_o+s_ET_w_i)*(1/24)*s_RadSpec!U21*s_RadSpec!P21*1</f>
        <v>0</v>
      </c>
      <c r="X21" s="11"/>
      <c r="Y21" s="11"/>
      <c r="Z21" s="11"/>
      <c r="AA21" s="11"/>
      <c r="AB21" s="11"/>
      <c r="AC21" s="48">
        <f>IFERROR(s_TR/(s_RadSpec!G21*s_EF_w*s_ED_com*(s_ET_w_o+s_ET_w_i)*(1/24)*s_IRA_w),".")</f>
        <v>10.464355788096794</v>
      </c>
      <c r="AD21" s="48">
        <f>IFERROR(s_TR/(s_RadSpec!J21*s_EF_w*(1/365)*s_ED_com*(s_ET_w_o+s_ET_w_i)*(1/24)*s_GSF_a),".")</f>
        <v>20178506989.437328</v>
      </c>
      <c r="AE21" s="48">
        <f t="shared" si="6"/>
        <v>10.464355782670093</v>
      </c>
      <c r="AF21" s="69">
        <f t="shared" si="4"/>
        <v>381940625</v>
      </c>
      <c r="AG21" s="69">
        <f t="shared" si="5"/>
        <v>69760.844748858435</v>
      </c>
      <c r="AH21" s="10"/>
      <c r="AI21" s="10"/>
      <c r="AJ21" s="10"/>
    </row>
    <row r="22" spans="1:36" x14ac:dyDescent="0.25">
      <c r="A22" s="49" t="s">
        <v>32</v>
      </c>
      <c r="B22" s="50" t="s">
        <v>289</v>
      </c>
      <c r="C22" s="48">
        <f>IFERROR((s_TR/(s_RadSpec!I22*s_EF_w*s_ED_com*s_IRS_w*(1/1000)))*1,".")</f>
        <v>244.477856418155</v>
      </c>
      <c r="D22" s="48">
        <f>IFERROR(IF(A22="H-3",(s_TR/(s_RadSpec!G22*s_EF_w*s_ED_com*(s_ET_w_o+s_ET_w_i)*(1/24)*s_IRA_w*(1/17)*1000))*1,(s_TR/(s_RadSpec!G22*s_EF_w*s_ED_com*(s_ET_w_o+s_ET_w_i)*(1/24)*s_IRA_w*(1/s_PEF_wind)*1000))*1),".")</f>
        <v>1725.0338485709926</v>
      </c>
      <c r="E22" s="48">
        <f>IFERROR((s_TR/(s_RadSpec!F22*s_EF_w*(1/365)*s_ED_com*s_RadSpec!Q22*(s_ET_w_o+s_ET_w_i)*(1/24)*s_RadSpec!V22))*1,".")</f>
        <v>12514955716.541487</v>
      </c>
      <c r="F22" s="48">
        <f t="shared" si="0"/>
        <v>214.1305224351984</v>
      </c>
      <c r="G22" s="69">
        <f t="shared" si="1"/>
        <v>3055525</v>
      </c>
      <c r="H22" s="69">
        <f t="shared" si="2"/>
        <v>1231.1313567072434</v>
      </c>
      <c r="I22" s="69">
        <f>s_C*s_EF_w*(1/365)*s_ED_com*(s_ET_w_o+s_ET_w_i)*(1/24)*s_RadSpec!V22*s_RadSpec!Q22*1</f>
        <v>7.2691972679482725E-4</v>
      </c>
      <c r="J22" s="4"/>
      <c r="K22" s="4"/>
      <c r="L22" s="4"/>
      <c r="M22" s="4"/>
      <c r="N22" s="48">
        <f>IFERROR((s_TR/(s_RadSpec!F22*s_EF_w*(1/365)*s_ED_com*s_RadSpec!Q22*(s_ET_w_o+s_ET_w_i)*(1/24)*s_RadSpec!V22))*1,".")</f>
        <v>12514955716.541487</v>
      </c>
      <c r="O22" s="48">
        <f>IFERROR((s_TR/(s_RadSpec!M22*s_EF_w*(1/365)*s_ED_com*s_RadSpec!R22*(s_ET_w_o+s_ET_w_i)*(1/24)*s_RadSpec!W22))*1,".")</f>
        <v>15750037536.412928</v>
      </c>
      <c r="P22" s="48">
        <f>IFERROR((s_TR/(s_RadSpec!N22*s_EF_w*(1/365)*s_ED_com*s_RadSpec!S22*(s_ET_w_o+s_ET_w_i)*(1/24)*s_RadSpec!X22))*1,".")</f>
        <v>8861103343.2008705</v>
      </c>
      <c r="Q22" s="48">
        <f>IFERROR((s_TR/(s_RadSpec!O22*s_EF_w*(1/365)*s_ED_com*s_RadSpec!T22*(s_ET_w_o+s_ET_w_i)*(1/24)*s_RadSpec!Y22))*1,".")</f>
        <v>9096139581.7846565</v>
      </c>
      <c r="R22" s="48">
        <f>IFERROR((s_TR/(s_RadSpec!K22*s_EF_w*(1/365)*s_ED_com*s_RadSpec!P22*(s_ET_w_o+s_ET_w_i)*(1/24)*s_RadSpec!U22))*1,".")</f>
        <v>44506816494.688438</v>
      </c>
      <c r="S22" s="69">
        <f>s_C*s_EF_w*(1/365)*s_ED_com*(s_ET_w_o+s_ET_w_i)*(1/24)*s_RadSpec!V22*s_RadSpec!Q22*1</f>
        <v>7.2691972679482725E-4</v>
      </c>
      <c r="T22" s="69">
        <f>s_C*s_EF_w*(1/365)*s_ED_com*(s_ET_w_o+s_ET_w_i)*(1/24)*s_RadSpec!W22*s_RadSpec!R22*1</f>
        <v>7.9330269177233393E-4</v>
      </c>
      <c r="U22" s="69">
        <f>s_C*s_EF_w*(1/365)*s_ED_com*(s_ET_w_o+s_ET_w_i)*(1/24)*s_RadSpec!X22*s_RadSpec!S22*1</f>
        <v>1.0325861974988687E-3</v>
      </c>
      <c r="V22" s="69">
        <f>s_C*s_EF_w*(1/365)*s_ED_com*(s_ET_w_o+s_ET_w_i)*(1/24)*s_RadSpec!Y22*s_RadSpec!T22*1</f>
        <v>1.0020510367915829E-3</v>
      </c>
      <c r="W22" s="69">
        <f>s_C*s_EF_w*(1/365)*s_ED_com*(s_ET_w_o+s_ET_w_i)*(1/24)*s_RadSpec!U22*s_RadSpec!P22*1</f>
        <v>1.4121962382748741E-4</v>
      </c>
      <c r="X22" s="11"/>
      <c r="Y22" s="11"/>
      <c r="Z22" s="11"/>
      <c r="AA22" s="11"/>
      <c r="AB22" s="11"/>
      <c r="AC22" s="48">
        <f>IFERROR(s_TR/(s_RadSpec!G22*s_EF_w*s_ED_com*(s_ET_w_o+s_ET_w_i)*(1/24)*s_IRA_w),".")</f>
        <v>5.5604016000055604E-3</v>
      </c>
      <c r="AD22" s="48">
        <f>IFERROR(s_TR/(s_RadSpec!J22*s_EF_w*(1/365)*s_ED_com*(s_ET_w_o+s_ET_w_i)*(1/24)*s_GSF_a),".")</f>
        <v>43166.679509049485</v>
      </c>
      <c r="AE22" s="48">
        <f t="shared" si="6"/>
        <v>5.5604008837572341E-3</v>
      </c>
      <c r="AF22" s="69">
        <f t="shared" si="4"/>
        <v>381940625</v>
      </c>
      <c r="AG22" s="69">
        <f t="shared" si="5"/>
        <v>69760.844748858435</v>
      </c>
      <c r="AH22" s="10"/>
      <c r="AI22" s="10"/>
      <c r="AJ22" s="10"/>
    </row>
    <row r="23" spans="1:36" x14ac:dyDescent="0.25">
      <c r="A23" s="51" t="s">
        <v>33</v>
      </c>
      <c r="B23" s="50" t="s">
        <v>275</v>
      </c>
      <c r="C23" s="48">
        <f>IFERROR((s_TR/(s_RadSpec!I23*s_EF_w*s_ED_com*s_IRS_w*(1/1000)))*1,".")</f>
        <v>61.733730075438615</v>
      </c>
      <c r="D23" s="48">
        <f>IFERROR(IF(A23="H-3",(s_TR/(s_RadSpec!G23*s_EF_w*s_ED_com*(s_ET_w_o+s_ET_w_i)*(1/24)*s_IRA_w*(1/17)*1000))*1,(s_TR/(s_RadSpec!G23*s_EF_w*s_ED_com*(s_ET_w_o+s_ET_w_i)*(1/24)*s_IRA_w*(1/s_PEF_wind)*1000))*1),".")</f>
        <v>1602.6267160836946</v>
      </c>
      <c r="E23" s="48">
        <f>IFERROR((s_TR/(s_RadSpec!F23*s_EF_w*(1/365)*s_ED_com*s_RadSpec!Q23*(s_ET_w_o+s_ET_w_i)*(1/24)*s_RadSpec!V23))*1,".")</f>
        <v>700.43407599423983</v>
      </c>
      <c r="F23" s="48">
        <f t="shared" si="0"/>
        <v>54.793734733909069</v>
      </c>
      <c r="G23" s="69">
        <f t="shared" si="1"/>
        <v>3055525</v>
      </c>
      <c r="H23" s="69">
        <f t="shared" si="2"/>
        <v>1231.1313567072434</v>
      </c>
      <c r="I23" s="69">
        <f>s_C*s_EF_w*(1/365)*s_ED_com*(s_ET_w_o+s_ET_w_i)*(1/24)*s_RadSpec!V23*s_RadSpec!Q23*1</f>
        <v>3174.2155960239638</v>
      </c>
      <c r="J23" s="4"/>
      <c r="K23" s="4"/>
      <c r="L23" s="4"/>
      <c r="M23" s="4"/>
      <c r="N23" s="48">
        <f>IFERROR((s_TR/(s_RadSpec!F23*s_EF_w*(1/365)*s_ED_com*s_RadSpec!Q23*(s_ET_w_o+s_ET_w_i)*(1/24)*s_RadSpec!V23))*1,".")</f>
        <v>700.43407599423983</v>
      </c>
      <c r="O23" s="48">
        <f>IFERROR((s_TR/(s_RadSpec!M23*s_EF_w*(1/365)*s_ED_com*s_RadSpec!R23*(s_ET_w_o+s_ET_w_i)*(1/24)*s_RadSpec!W23))*1,".")</f>
        <v>4919.1033953105134</v>
      </c>
      <c r="P23" s="48">
        <f>IFERROR((s_TR/(s_RadSpec!N23*s_EF_w*(1/365)*s_ED_com*s_RadSpec!S23*(s_ET_w_o+s_ET_w_i)*(1/24)*s_RadSpec!X23))*1,".")</f>
        <v>1272.2160963188746</v>
      </c>
      <c r="Q23" s="48">
        <f>IFERROR((s_TR/(s_RadSpec!O23*s_EF_w*(1/365)*s_ED_com*s_RadSpec!T23*(s_ET_w_o+s_ET_w_i)*(1/24)*s_RadSpec!Y23))*1,".")</f>
        <v>742.28079282573026</v>
      </c>
      <c r="R23" s="48">
        <f>IFERROR((s_TR/(s_RadSpec!K23*s_EF_w*(1/365)*s_ED_com*s_RadSpec!P23*(s_ET_w_o+s_ET_w_i)*(1/24)*s_RadSpec!U23))*1,".")</f>
        <v>7850.5422140040164</v>
      </c>
      <c r="S23" s="69">
        <f>s_C*s_EF_w*(1/365)*s_ED_com*(s_ET_w_o+s_ET_w_i)*(1/24)*s_RadSpec!V23*s_RadSpec!Q23*1</f>
        <v>3174.2155960239638</v>
      </c>
      <c r="T23" s="69">
        <f>s_C*s_EF_w*(1/365)*s_ED_com*(s_ET_w_o+s_ET_w_i)*(1/24)*s_RadSpec!W23*s_RadSpec!R23*1</f>
        <v>1783.2483414525807</v>
      </c>
      <c r="U23" s="69">
        <f>s_C*s_EF_w*(1/365)*s_ED_com*(s_ET_w_o+s_ET_w_i)*(1/24)*s_RadSpec!X23*s_RadSpec!S23*1</f>
        <v>2521.8277751988235</v>
      </c>
      <c r="V23" s="69">
        <f>s_C*s_EF_w*(1/365)*s_ED_com*(s_ET_w_o+s_ET_w_i)*(1/24)*s_RadSpec!Y23*s_RadSpec!T23*1</f>
        <v>3081.6683845369503</v>
      </c>
      <c r="W23" s="69">
        <f>s_C*s_EF_w*(1/365)*s_ED_com*(s_ET_w_o+s_ET_w_i)*(1/24)*s_RadSpec!U23*s_RadSpec!P23*1</f>
        <v>1132.8281320704266</v>
      </c>
      <c r="X23" s="11"/>
      <c r="Y23" s="11"/>
      <c r="Z23" s="11"/>
      <c r="AA23" s="11"/>
      <c r="AB23" s="11"/>
      <c r="AC23" s="48">
        <f>IFERROR(s_TR/(s_RadSpec!G23*s_EF_w*s_ED_com*(s_ET_w_o+s_ET_w_i)*(1/24)*s_IRA_w),".")</f>
        <v>5.1658395942232992E-3</v>
      </c>
      <c r="AD23" s="48">
        <f>IFERROR(s_TR/(s_RadSpec!J23*s_EF_w*(1/365)*s_ED_com*(s_ET_w_o+s_ET_w_i)*(1/24)*s_GSF_a),".")</f>
        <v>27952.194108318923</v>
      </c>
      <c r="AE23" s="48">
        <f t="shared" si="6"/>
        <v>5.165838639525658E-3</v>
      </c>
      <c r="AF23" s="69">
        <f t="shared" si="4"/>
        <v>381940625</v>
      </c>
      <c r="AG23" s="69">
        <f t="shared" si="5"/>
        <v>69760.844748858435</v>
      </c>
      <c r="AH23" s="10"/>
      <c r="AI23" s="10"/>
      <c r="AJ23" s="10"/>
    </row>
    <row r="24" spans="1:36" x14ac:dyDescent="0.25">
      <c r="A24" s="49" t="s">
        <v>34</v>
      </c>
      <c r="B24" s="50" t="s">
        <v>289</v>
      </c>
      <c r="C24" s="48" t="str">
        <f>IFERROR((s_TR/(s_RadSpec!I24*s_EF_w*s_ED_com*s_IRS_w*(1/1000)))*1,".")</f>
        <v>.</v>
      </c>
      <c r="D24" s="48" t="str">
        <f>IFERROR(IF(A24="H-3",(s_TR/(s_RadSpec!G24*s_EF_w*s_ED_com*(s_ET_w_o+s_ET_w_i)*(1/24)*s_IRA_w*(1/17)*1000))*1,(s_TR/(s_RadSpec!G24*s_EF_w*s_ED_com*(s_ET_w_o+s_ET_w_i)*(1/24)*s_IRA_w*(1/s_PEF_wind)*1000))*1),".")</f>
        <v>.</v>
      </c>
      <c r="E24" s="48">
        <f>IFERROR((s_TR/(s_RadSpec!F24*s_EF_w*(1/365)*s_ED_com*s_RadSpec!Q24*(s_ET_w_o+s_ET_w_i)*(1/24)*s_RadSpec!V24))*1,".")</f>
        <v>6775.7817583539418</v>
      </c>
      <c r="F24" s="48">
        <f t="shared" si="0"/>
        <v>6775.7817583539427</v>
      </c>
      <c r="G24" s="69">
        <f t="shared" si="1"/>
        <v>3055525</v>
      </c>
      <c r="H24" s="69">
        <f t="shared" si="2"/>
        <v>1231.1313567072434</v>
      </c>
      <c r="I24" s="69">
        <f>s_C*s_EF_w*(1/365)*s_ED_com*(s_ET_w_o+s_ET_w_i)*(1/24)*s_RadSpec!V24*s_RadSpec!Q24*1</f>
        <v>2421.3638459478061</v>
      </c>
      <c r="J24" s="4"/>
      <c r="K24" s="4"/>
      <c r="L24" s="4"/>
      <c r="M24" s="4"/>
      <c r="N24" s="48">
        <f>IFERROR((s_TR/(s_RadSpec!F24*s_EF_w*(1/365)*s_ED_com*s_RadSpec!Q24*(s_ET_w_o+s_ET_w_i)*(1/24)*s_RadSpec!V24))*1,".")</f>
        <v>6775.7817583539418</v>
      </c>
      <c r="O24" s="48">
        <f>IFERROR((s_TR/(s_RadSpec!M24*s_EF_w*(1/365)*s_ED_com*s_RadSpec!R24*(s_ET_w_o+s_ET_w_i)*(1/24)*s_RadSpec!W24))*1,".")</f>
        <v>59693.903773865546</v>
      </c>
      <c r="P24" s="48">
        <f>IFERROR((s_TR/(s_RadSpec!N24*s_EF_w*(1/365)*s_ED_com*s_RadSpec!S24*(s_ET_w_o+s_ET_w_i)*(1/24)*s_RadSpec!X24))*1,".")</f>
        <v>14972.487624003021</v>
      </c>
      <c r="Q24" s="48">
        <f>IFERROR((s_TR/(s_RadSpec!O24*s_EF_w*(1/365)*s_ED_com*s_RadSpec!T24*(s_ET_w_o+s_ET_w_i)*(1/24)*s_RadSpec!Y24))*1,".")</f>
        <v>8078.8602051951102</v>
      </c>
      <c r="R24" s="48">
        <f>IFERROR((s_TR/(s_RadSpec!K24*s_EF_w*(1/365)*s_ED_com*s_RadSpec!P24*(s_ET_w_o+s_ET_w_i)*(1/24)*s_RadSpec!U24))*1,".")</f>
        <v>101560.04252953753</v>
      </c>
      <c r="S24" s="69">
        <f>s_C*s_EF_w*(1/365)*s_ED_com*(s_ET_w_o+s_ET_w_i)*(1/24)*s_RadSpec!V24*s_RadSpec!Q24*1</f>
        <v>2421.3638459478061</v>
      </c>
      <c r="T24" s="69">
        <f>s_C*s_EF_w*(1/365)*s_ED_com*(s_ET_w_o+s_ET_w_i)*(1/24)*s_RadSpec!W24*s_RadSpec!R24*1</f>
        <v>1335.5454286010788</v>
      </c>
      <c r="U24" s="69">
        <f>s_C*s_EF_w*(1/365)*s_ED_com*(s_ET_w_o+s_ET_w_i)*(1/24)*s_RadSpec!X24*s_RadSpec!S24*1</f>
        <v>1891.5342796526729</v>
      </c>
      <c r="V24" s="69">
        <f>s_C*s_EF_w*(1/365)*s_ED_com*(s_ET_w_o+s_ET_w_i)*(1/24)*s_RadSpec!Y24*s_RadSpec!T24*1</f>
        <v>2265.1346289954336</v>
      </c>
      <c r="W24" s="69">
        <f>s_C*s_EF_w*(1/365)*s_ED_com*(s_ET_w_o+s_ET_w_i)*(1/24)*s_RadSpec!U24*s_RadSpec!P24*1</f>
        <v>803.57428761343294</v>
      </c>
      <c r="X24" s="11"/>
      <c r="Y24" s="11"/>
      <c r="Z24" s="11"/>
      <c r="AA24" s="11"/>
      <c r="AB24" s="11"/>
      <c r="AC24" s="48" t="str">
        <f>IFERROR(s_TR/(s_RadSpec!G24*s_EF_w*s_ED_com*(s_ET_w_o+s_ET_w_i)*(1/24)*s_IRA_w),".")</f>
        <v>.</v>
      </c>
      <c r="AD24" s="48">
        <f>IFERROR(s_TR/(s_RadSpec!J24*s_EF_w*(1/365)*s_ED_com*(s_ET_w_o+s_ET_w_i)*(1/24)*s_GSF_a),".")</f>
        <v>249829.13415493842</v>
      </c>
      <c r="AE24" s="48">
        <f t="shared" si="6"/>
        <v>249829.13415493842</v>
      </c>
      <c r="AF24" s="69">
        <f t="shared" si="4"/>
        <v>381940625</v>
      </c>
      <c r="AG24" s="69">
        <f t="shared" si="5"/>
        <v>69760.844748858435</v>
      </c>
      <c r="AH24" s="10"/>
      <c r="AI24" s="10"/>
      <c r="AJ24" s="10"/>
    </row>
    <row r="25" spans="1:36" x14ac:dyDescent="0.25">
      <c r="A25" s="51" t="s">
        <v>35</v>
      </c>
      <c r="B25" s="50" t="s">
        <v>275</v>
      </c>
      <c r="C25" s="48" t="str">
        <f>IFERROR((s_TR/(s_RadSpec!I25*s_EF_w*s_ED_com*s_IRS_w*(1/1000)))*1,".")</f>
        <v>.</v>
      </c>
      <c r="D25" s="48">
        <f>IFERROR(IF(A25="H-3",(s_TR/(s_RadSpec!G25*s_EF_w*s_ED_com*(s_ET_w_o+s_ET_w_i)*(1/24)*s_IRA_w*(1/17)*1000))*1,(s_TR/(s_RadSpec!G25*s_EF_w*s_ED_com*(s_ET_w_o+s_ET_w_i)*(1/24)*s_IRA_w*(1/s_PEF_wind)*1000))*1),".")</f>
        <v>19791737.037179209</v>
      </c>
      <c r="E25" s="48">
        <f>IFERROR((s_TR/(s_RadSpec!F25*s_EF_w*(1/365)*s_ED_com*s_RadSpec!Q25*(s_ET_w_o+s_ET_w_i)*(1/24)*s_RadSpec!V25))*1,".")</f>
        <v>15112.223486896148</v>
      </c>
      <c r="F25" s="48">
        <f t="shared" si="0"/>
        <v>15100.693167474199</v>
      </c>
      <c r="G25" s="69">
        <f t="shared" si="1"/>
        <v>3055525</v>
      </c>
      <c r="H25" s="69">
        <f t="shared" si="2"/>
        <v>1231.1313567072434</v>
      </c>
      <c r="I25" s="69">
        <f>s_C*s_EF_w*(1/365)*s_ED_com*(s_ET_w_o+s_ET_w_i)*(1/24)*s_RadSpec!V25*s_RadSpec!Q25*1</f>
        <v>2171.3062928082186</v>
      </c>
      <c r="J25" s="4"/>
      <c r="K25" s="4"/>
      <c r="L25" s="4"/>
      <c r="M25" s="4"/>
      <c r="N25" s="48">
        <f>IFERROR((s_TR/(s_RadSpec!F25*s_EF_w*(1/365)*s_ED_com*s_RadSpec!Q25*(s_ET_w_o+s_ET_w_i)*(1/24)*s_RadSpec!V25))*1,".")</f>
        <v>15112.223486896148</v>
      </c>
      <c r="O25" s="48">
        <f>IFERROR((s_TR/(s_RadSpec!M25*s_EF_w*(1/365)*s_ED_com*s_RadSpec!R25*(s_ET_w_o+s_ET_w_i)*(1/24)*s_RadSpec!W25))*1,".")</f>
        <v>128406.87702228803</v>
      </c>
      <c r="P25" s="48">
        <f>IFERROR((s_TR/(s_RadSpec!N25*s_EF_w*(1/365)*s_ED_com*s_RadSpec!S25*(s_ET_w_o+s_ET_w_i)*(1/24)*s_RadSpec!X25))*1,".")</f>
        <v>32639.011626016832</v>
      </c>
      <c r="Q25" s="48">
        <f>IFERROR((s_TR/(s_RadSpec!O25*s_EF_w*(1/365)*s_ED_com*s_RadSpec!T25*(s_ET_w_o+s_ET_w_i)*(1/24)*s_RadSpec!Y25))*1,".")</f>
        <v>19041.93297821924</v>
      </c>
      <c r="R25" s="48">
        <f>IFERROR((s_TR/(s_RadSpec!K25*s_EF_w*(1/365)*s_ED_com*s_RadSpec!P25*(s_ET_w_o+s_ET_w_i)*(1/24)*s_RadSpec!U25))*1,".")</f>
        <v>234516.85866387293</v>
      </c>
      <c r="S25" s="69">
        <f>s_C*s_EF_w*(1/365)*s_ED_com*(s_ET_w_o+s_ET_w_i)*(1/24)*s_RadSpec!V25*s_RadSpec!Q25*1</f>
        <v>2171.3062928082186</v>
      </c>
      <c r="T25" s="69">
        <f>s_C*s_EF_w*(1/365)*s_ED_com*(s_ET_w_o+s_ET_w_i)*(1/24)*s_RadSpec!W25*s_RadSpec!R25*1</f>
        <v>1212.4834720283282</v>
      </c>
      <c r="U25" s="69">
        <f>s_C*s_EF_w*(1/365)*s_ED_com*(s_ET_w_o+s_ET_w_i)*(1/24)*s_RadSpec!X25*s_RadSpec!S25*1</f>
        <v>1690.33083506658</v>
      </c>
      <c r="V25" s="69">
        <f>s_C*s_EF_w*(1/365)*s_ED_com*(s_ET_w_o+s_ET_w_i)*(1/24)*s_RadSpec!Y25*s_RadSpec!T25*1</f>
        <v>1892.9210349896609</v>
      </c>
      <c r="W25" s="69">
        <f>s_C*s_EF_w*(1/365)*s_ED_com*(s_ET_w_o+s_ET_w_i)*(1/24)*s_RadSpec!U25*s_RadSpec!P25*1</f>
        <v>676.27313883299792</v>
      </c>
      <c r="X25" s="11"/>
      <c r="Y25" s="11"/>
      <c r="Z25" s="11"/>
      <c r="AA25" s="11"/>
      <c r="AB25" s="11"/>
      <c r="AC25" s="48">
        <f>IFERROR(s_TR/(s_RadSpec!G25*s_EF_w*s_ED_com*(s_ET_w_o+s_ET_w_i)*(1/24)*s_IRA_w),".")</f>
        <v>63.795853269537481</v>
      </c>
      <c r="AD25" s="48">
        <f>IFERROR(s_TR/(s_RadSpec!J25*s_EF_w*(1/365)*s_ED_com*(s_ET_w_o+s_ET_w_i)*(1/24)*s_GSF_a),".")</f>
        <v>490671.60880790063</v>
      </c>
      <c r="AE25" s="48">
        <f t="shared" si="6"/>
        <v>63.78755977602605</v>
      </c>
      <c r="AF25" s="69">
        <f t="shared" si="4"/>
        <v>381940625</v>
      </c>
      <c r="AG25" s="69">
        <f t="shared" si="5"/>
        <v>69760.844748858435</v>
      </c>
      <c r="AH25" s="10"/>
      <c r="AI25" s="10"/>
      <c r="AJ25" s="10"/>
    </row>
    <row r="26" spans="1:36" x14ac:dyDescent="0.25">
      <c r="A26" s="49" t="s">
        <v>36</v>
      </c>
      <c r="B26" s="50" t="s">
        <v>289</v>
      </c>
      <c r="C26" s="48">
        <f>IFERROR((s_TR/(s_RadSpec!I26*s_EF_w*s_ED_com*s_IRS_w*(1/1000)))*1,".")</f>
        <v>92.368513421144996</v>
      </c>
      <c r="D26" s="48">
        <f>IFERROR(IF(A26="H-3",(s_TR/(s_RadSpec!G26*s_EF_w*s_ED_com*(s_ET_w_o+s_ET_w_i)*(1/24)*s_IRA_w*(1/17)*1000))*1,(s_TR/(s_RadSpec!G26*s_EF_w*s_ED_com*(s_ET_w_o+s_ET_w_i)*(1/24)*s_IRA_w*(1/s_PEF_wind)*1000))*1),".")</f>
        <v>258.38960401264654</v>
      </c>
      <c r="E26" s="48">
        <f>IFERROR((s_TR/(s_RadSpec!F26*s_EF_w*(1/365)*s_ED_com*s_RadSpec!Q26*(s_ET_w_o+s_ET_w_i)*(1/24)*s_RadSpec!V26))*1,".")</f>
        <v>622.24927573188688</v>
      </c>
      <c r="F26" s="48">
        <f t="shared" si="0"/>
        <v>61.336907602744773</v>
      </c>
      <c r="G26" s="69">
        <f t="shared" si="1"/>
        <v>3055525</v>
      </c>
      <c r="H26" s="69">
        <f t="shared" si="2"/>
        <v>1231.1313567072434</v>
      </c>
      <c r="I26" s="69">
        <f>s_C*s_EF_w*(1/365)*s_ED_com*(s_ET_w_o+s_ET_w_i)*(1/24)*s_RadSpec!V26*s_RadSpec!Q26*1</f>
        <v>398.24637584785222</v>
      </c>
      <c r="J26" s="4"/>
      <c r="K26" s="4"/>
      <c r="L26" s="4"/>
      <c r="M26" s="4"/>
      <c r="N26" s="48">
        <f>IFERROR((s_TR/(s_RadSpec!F26*s_EF_w*(1/365)*s_ED_com*s_RadSpec!Q26*(s_ET_w_o+s_ET_w_i)*(1/24)*s_RadSpec!V26))*1,".")</f>
        <v>622.24927573188688</v>
      </c>
      <c r="O26" s="48">
        <f>IFERROR((s_TR/(s_RadSpec!M26*s_EF_w*(1/365)*s_ED_com*s_RadSpec!R26*(s_ET_w_o+s_ET_w_i)*(1/24)*s_RadSpec!W26))*1,".")</f>
        <v>3765.9890904493986</v>
      </c>
      <c r="P26" s="48">
        <f>IFERROR((s_TR/(s_RadSpec!N26*s_EF_w*(1/365)*s_ED_com*s_RadSpec!S26*(s_ET_w_o+s_ET_w_i)*(1/24)*s_RadSpec!X26))*1,".")</f>
        <v>1079.1063407108234</v>
      </c>
      <c r="Q26" s="48">
        <f>IFERROR((s_TR/(s_RadSpec!O26*s_EF_w*(1/365)*s_ED_com*s_RadSpec!T26*(s_ET_w_o+s_ET_w_i)*(1/24)*s_RadSpec!Y26))*1,".")</f>
        <v>709.77174226243289</v>
      </c>
      <c r="R26" s="48">
        <f>IFERROR((s_TR/(s_RadSpec!K26*s_EF_w*(1/365)*s_ED_com*s_RadSpec!P26*(s_ET_w_o+s_ET_w_i)*(1/24)*s_RadSpec!U26))*1,".")</f>
        <v>20979.470118523128</v>
      </c>
      <c r="S26" s="69">
        <f>s_C*s_EF_w*(1/365)*s_ED_com*(s_ET_w_o+s_ET_w_i)*(1/24)*s_RadSpec!V26*s_RadSpec!Q26*1</f>
        <v>398.24637584785222</v>
      </c>
      <c r="T26" s="69">
        <f>s_C*s_EF_w*(1/365)*s_ED_com*(s_ET_w_o+s_ET_w_i)*(1/24)*s_RadSpec!W26*s_RadSpec!R26*1</f>
        <v>218.12721277723409</v>
      </c>
      <c r="U26" s="69">
        <f>s_C*s_EF_w*(1/365)*s_ED_com*(s_ET_w_o+s_ET_w_i)*(1/24)*s_RadSpec!X26*s_RadSpec!S26*1</f>
        <v>301.78871817584485</v>
      </c>
      <c r="V26" s="69">
        <f>s_C*s_EF_w*(1/365)*s_ED_com*(s_ET_w_o+s_ET_w_i)*(1/24)*s_RadSpec!Y26*s_RadSpec!T26*1</f>
        <v>352.81346769537618</v>
      </c>
      <c r="W26" s="69">
        <f>s_C*s_EF_w*(1/365)*s_ED_com*(s_ET_w_o+s_ET_w_i)*(1/24)*s_RadSpec!U26*s_RadSpec!P26*1</f>
        <v>37.424010098349122</v>
      </c>
      <c r="X26" s="11"/>
      <c r="Y26" s="11"/>
      <c r="Z26" s="11"/>
      <c r="AA26" s="11"/>
      <c r="AB26" s="11"/>
      <c r="AC26" s="48">
        <f>IFERROR(s_TR/(s_RadSpec!G26*s_EF_w*s_ED_com*(s_ET_w_o+s_ET_w_i)*(1/24)*s_IRA_w),".")</f>
        <v>8.3288218881439203E-4</v>
      </c>
      <c r="AD26" s="48">
        <f>IFERROR(s_TR/(s_RadSpec!J26*s_EF_w*(1/365)*s_ED_com*(s_ET_w_o+s_ET_w_i)*(1/24)*s_GSF_a),".")</f>
        <v>2653.8269892723024</v>
      </c>
      <c r="AE26" s="48">
        <f t="shared" si="6"/>
        <v>8.3288192742111901E-4</v>
      </c>
      <c r="AF26" s="69">
        <f t="shared" si="4"/>
        <v>381940625</v>
      </c>
      <c r="AG26" s="69">
        <f t="shared" si="5"/>
        <v>69760.844748858435</v>
      </c>
      <c r="AH26" s="10"/>
      <c r="AI26" s="10"/>
      <c r="AJ26" s="10"/>
    </row>
    <row r="27" spans="1:36" x14ac:dyDescent="0.25">
      <c r="A27" s="49" t="s">
        <v>37</v>
      </c>
      <c r="B27" s="50" t="s">
        <v>289</v>
      </c>
      <c r="C27" s="48" t="str">
        <f>IFERROR((s_TR/(s_RadSpec!I27*s_EF_w*s_ED_com*s_IRS_w*(1/1000)))*1,".")</f>
        <v>.</v>
      </c>
      <c r="D27" s="48" t="str">
        <f>IFERROR(IF(A27="H-3",(s_TR/(s_RadSpec!G27*s_EF_w*s_ED_com*(s_ET_w_o+s_ET_w_i)*(1/24)*s_IRA_w*(1/17)*1000))*1,(s_TR/(s_RadSpec!G27*s_EF_w*s_ED_com*(s_ET_w_o+s_ET_w_i)*(1/24)*s_IRA_w*(1/s_PEF_wind)*1000))*1),".")</f>
        <v>.</v>
      </c>
      <c r="E27" s="48">
        <f>IFERROR((s_TR/(s_RadSpec!F27*s_EF_w*(1/365)*s_ED_com*s_RadSpec!Q27*(s_ET_w_o+s_ET_w_i)*(1/24)*s_RadSpec!V27))*1,".")</f>
        <v>4813.0198099747549</v>
      </c>
      <c r="F27" s="48">
        <f t="shared" si="0"/>
        <v>4813.0198099747549</v>
      </c>
      <c r="G27" s="69">
        <f t="shared" si="1"/>
        <v>3055525</v>
      </c>
      <c r="H27" s="69">
        <f t="shared" si="2"/>
        <v>1231.1313567072434</v>
      </c>
      <c r="I27" s="69">
        <f>s_C*s_EF_w*(1/365)*s_ED_com*(s_ET_w_o+s_ET_w_i)*(1/24)*s_RadSpec!V27*s_RadSpec!Q27*1</f>
        <v>1890.1580607384651</v>
      </c>
      <c r="J27" s="4"/>
      <c r="K27" s="4"/>
      <c r="L27" s="4"/>
      <c r="M27" s="4"/>
      <c r="N27" s="48">
        <f>IFERROR((s_TR/(s_RadSpec!F27*s_EF_w*(1/365)*s_ED_com*s_RadSpec!Q27*(s_ET_w_o+s_ET_w_i)*(1/24)*s_RadSpec!V27))*1,".")</f>
        <v>4813.0198099747549</v>
      </c>
      <c r="O27" s="48">
        <f>IFERROR((s_TR/(s_RadSpec!M27*s_EF_w*(1/365)*s_ED_com*s_RadSpec!R27*(s_ET_w_o+s_ET_w_i)*(1/24)*s_RadSpec!W27))*1,".")</f>
        <v>42040.948179984676</v>
      </c>
      <c r="P27" s="48">
        <f>IFERROR((s_TR/(s_RadSpec!N27*s_EF_w*(1/365)*s_ED_com*s_RadSpec!S27*(s_ET_w_o+s_ET_w_i)*(1/24)*s_RadSpec!X27))*1,".")</f>
        <v>12122.640442599939</v>
      </c>
      <c r="Q27" s="48">
        <f>IFERROR((s_TR/(s_RadSpec!O27*s_EF_w*(1/365)*s_ED_com*s_RadSpec!T27*(s_ET_w_o+s_ET_w_i)*(1/24)*s_RadSpec!Y27))*1,".")</f>
        <v>6633.3884061204526</v>
      </c>
      <c r="R27" s="48">
        <f>IFERROR((s_TR/(s_RadSpec!K27*s_EF_w*(1/365)*s_ED_com*s_RadSpec!P27*(s_ET_w_o+s_ET_w_i)*(1/24)*s_RadSpec!U27))*1,".")</f>
        <v>31818.793653028551</v>
      </c>
      <c r="S27" s="69">
        <f>s_C*s_EF_w*(1/365)*s_ED_com*(s_ET_w_o+s_ET_w_i)*(1/24)*s_RadSpec!V27*s_RadSpec!Q27*1</f>
        <v>1890.1580607384651</v>
      </c>
      <c r="T27" s="69">
        <f>s_C*s_EF_w*(1/365)*s_ED_com*(s_ET_w_o+s_ET_w_i)*(1/24)*s_RadSpec!W27*s_RadSpec!R27*1</f>
        <v>637.23848568668734</v>
      </c>
      <c r="U27" s="69">
        <f>s_C*s_EF_w*(1/365)*s_ED_com*(s_ET_w_o+s_ET_w_i)*(1/24)*s_RadSpec!X27*s_RadSpec!S27*1</f>
        <v>1039.413255371787</v>
      </c>
      <c r="V27" s="69">
        <f>s_C*s_EF_w*(1/365)*s_ED_com*(s_ET_w_o+s_ET_w_i)*(1/24)*s_RadSpec!Y27*s_RadSpec!T27*1</f>
        <v>1428.8226175306052</v>
      </c>
      <c r="W27" s="69">
        <f>s_C*s_EF_w*(1/365)*s_ED_com*(s_ET_w_o+s_ET_w_i)*(1/24)*s_RadSpec!U27*s_RadSpec!P27*1</f>
        <v>203.72188720137638</v>
      </c>
      <c r="X27" s="11"/>
      <c r="Y27" s="11"/>
      <c r="Z27" s="11"/>
      <c r="AA27" s="11"/>
      <c r="AB27" s="11"/>
      <c r="AC27" s="48" t="str">
        <f>IFERROR(s_TR/(s_RadSpec!G27*s_EF_w*s_ED_com*(s_ET_w_o+s_ET_w_i)*(1/24)*s_IRA_w),".")</f>
        <v>.</v>
      </c>
      <c r="AD27" s="48">
        <f>IFERROR(s_TR/(s_RadSpec!J27*s_EF_w*(1/365)*s_ED_com*(s_ET_w_o+s_ET_w_i)*(1/24)*s_GSF_a),".")</f>
        <v>84724.662887326936</v>
      </c>
      <c r="AE27" s="48">
        <f t="shared" si="6"/>
        <v>84724.662887326936</v>
      </c>
      <c r="AF27" s="69">
        <f t="shared" si="4"/>
        <v>381940625</v>
      </c>
      <c r="AG27" s="69">
        <f t="shared" si="5"/>
        <v>69760.844748858435</v>
      </c>
      <c r="AH27" s="10"/>
      <c r="AI27" s="10"/>
      <c r="AJ27" s="10"/>
    </row>
    <row r="28" spans="1:36" x14ac:dyDescent="0.25">
      <c r="A28" s="49" t="s">
        <v>38</v>
      </c>
      <c r="B28" s="50" t="s">
        <v>289</v>
      </c>
      <c r="C28" s="48" t="str">
        <f>IFERROR((s_TR/(s_RadSpec!I28*s_EF_w*s_ED_com*s_IRS_w*(1/1000)))*1,".")</f>
        <v>.</v>
      </c>
      <c r="D28" s="48" t="str">
        <f>IFERROR(IF(A28="H-3",(s_TR/(s_RadSpec!G28*s_EF_w*s_ED_com*(s_ET_w_o+s_ET_w_i)*(1/24)*s_IRA_w*(1/17)*1000))*1,(s_TR/(s_RadSpec!G28*s_EF_w*s_ED_com*(s_ET_w_o+s_ET_w_i)*(1/24)*s_IRA_w*(1/s_PEF_wind)*1000))*1),".")</f>
        <v>.</v>
      </c>
      <c r="E28" s="48">
        <f>IFERROR((s_TR/(s_RadSpec!F28*s_EF_w*(1/365)*s_ED_com*s_RadSpec!Q28*(s_ET_w_o+s_ET_w_i)*(1/24)*s_RadSpec!V28))*1,".")</f>
        <v>1.2600541394677989</v>
      </c>
      <c r="F28" s="48">
        <f t="shared" si="0"/>
        <v>1.2600541394677989</v>
      </c>
      <c r="G28" s="69">
        <f t="shared" si="1"/>
        <v>3055525</v>
      </c>
      <c r="H28" s="69">
        <f t="shared" si="2"/>
        <v>1231.1313567072434</v>
      </c>
      <c r="I28" s="69">
        <f>s_C*s_EF_w*(1/365)*s_ED_com*(s_ET_w_o+s_ET_w_i)*(1/24)*s_RadSpec!V28*s_RadSpec!Q28*1</f>
        <v>4271.4565239726026</v>
      </c>
      <c r="J28" s="4"/>
      <c r="K28" s="4"/>
      <c r="L28" s="4"/>
      <c r="M28" s="4"/>
      <c r="N28" s="48">
        <f>IFERROR((s_TR/(s_RadSpec!F28*s_EF_w*(1/365)*s_ED_com*s_RadSpec!Q28*(s_ET_w_o+s_ET_w_i)*(1/24)*s_RadSpec!V28))*1,".")</f>
        <v>1.2600541394677989</v>
      </c>
      <c r="O28" s="48">
        <f>IFERROR((s_TR/(s_RadSpec!M28*s_EF_w*(1/365)*s_ED_com*s_RadSpec!R28*(s_ET_w_o+s_ET_w_i)*(1/24)*s_RadSpec!W28))*1,".")</f>
        <v>15.219450357069858</v>
      </c>
      <c r="P28" s="48">
        <f>IFERROR((s_TR/(s_RadSpec!N28*s_EF_w*(1/365)*s_ED_com*s_RadSpec!S28*(s_ET_w_o+s_ET_w_i)*(1/24)*s_RadSpec!X28))*1,".")</f>
        <v>3.678507442101314</v>
      </c>
      <c r="Q28" s="48">
        <f>IFERROR((s_TR/(s_RadSpec!O28*s_EF_w*(1/365)*s_ED_com*s_RadSpec!T28*(s_ET_w_o+s_ET_w_i)*(1/24)*s_RadSpec!Y28))*1,".")</f>
        <v>2.0014254088400749</v>
      </c>
      <c r="R28" s="48">
        <f>IFERROR((s_TR/(s_RadSpec!K28*s_EF_w*(1/365)*s_ED_com*s_RadSpec!P28*(s_ET_w_o+s_ET_w_i)*(1/24)*s_RadSpec!U28))*1,".")</f>
        <v>27.462000560846835</v>
      </c>
      <c r="S28" s="69">
        <f>s_C*s_EF_w*(1/365)*s_ED_com*(s_ET_w_o+s_ET_w_i)*(1/24)*s_RadSpec!V28*s_RadSpec!Q28*1</f>
        <v>4271.4565239726026</v>
      </c>
      <c r="T28" s="69">
        <f>s_C*s_EF_w*(1/365)*s_ED_com*(s_ET_w_o+s_ET_w_i)*(1/24)*s_RadSpec!W28*s_RadSpec!R28*1</f>
        <v>1915.571372160477</v>
      </c>
      <c r="U28" s="69">
        <f>s_C*s_EF_w*(1/365)*s_ED_com*(s_ET_w_o+s_ET_w_i)*(1/24)*s_RadSpec!X28*s_RadSpec!S28*1</f>
        <v>2759.0414098173524</v>
      </c>
      <c r="V28" s="69">
        <f>s_C*s_EF_w*(1/365)*s_ED_com*(s_ET_w_o+s_ET_w_i)*(1/24)*s_RadSpec!Y28*s_RadSpec!T28*1</f>
        <v>3186.685647075612</v>
      </c>
      <c r="W28" s="69">
        <f>s_C*s_EF_w*(1/365)*s_ED_com*(s_ET_w_o+s_ET_w_i)*(1/24)*s_RadSpec!U28*s_RadSpec!P28*1</f>
        <v>1089.6528642590279</v>
      </c>
      <c r="X28" s="11"/>
      <c r="Y28" s="11"/>
      <c r="Z28" s="11"/>
      <c r="AA28" s="11"/>
      <c r="AB28" s="11"/>
      <c r="AC28" s="48" t="str">
        <f>IFERROR(s_TR/(s_RadSpec!G28*s_EF_w*s_ED_com*(s_ET_w_o+s_ET_w_i)*(1/24)*s_IRA_w),".")</f>
        <v>.</v>
      </c>
      <c r="AD28" s="48">
        <f>IFERROR(s_TR/(s_RadSpec!J28*s_EF_w*(1/365)*s_ED_com*(s_ET_w_o+s_ET_w_i)*(1/24)*s_GSF_a),".")</f>
        <v>83.174821493046579</v>
      </c>
      <c r="AE28" s="48">
        <f t="shared" si="6"/>
        <v>83.174821493046579</v>
      </c>
      <c r="AF28" s="69">
        <f t="shared" si="4"/>
        <v>381940625</v>
      </c>
      <c r="AG28" s="69">
        <f t="shared" si="5"/>
        <v>69760.844748858435</v>
      </c>
      <c r="AH28" s="10"/>
      <c r="AI28" s="10"/>
      <c r="AJ28" s="10"/>
    </row>
    <row r="29" spans="1:36" x14ac:dyDescent="0.25">
      <c r="A29" s="49" t="s">
        <v>39</v>
      </c>
      <c r="B29" s="50" t="s">
        <v>289</v>
      </c>
      <c r="C29" s="48" t="str">
        <f>IFERROR((s_TR/(s_RadSpec!I29*s_EF_w*s_ED_com*s_IRS_w*(1/1000)))*1,".")</f>
        <v>.</v>
      </c>
      <c r="D29" s="48" t="str">
        <f>IFERROR(IF(A29="H-3",(s_TR/(s_RadSpec!G29*s_EF_w*s_ED_com*(s_ET_w_o+s_ET_w_i)*(1/24)*s_IRA_w*(1/17)*1000))*1,(s_TR/(s_RadSpec!G29*s_EF_w*s_ED_com*(s_ET_w_o+s_ET_w_i)*(1/24)*s_IRA_w*(1/s_PEF_wind)*1000))*1),".")</f>
        <v>.</v>
      </c>
      <c r="E29" s="48">
        <f>IFERROR((s_TR/(s_RadSpec!F29*s_EF_w*(1/365)*s_ED_com*s_RadSpec!Q29*(s_ET_w_o+s_ET_w_i)*(1/24)*s_RadSpec!V29))*1,".")</f>
        <v>1.0532710823424531</v>
      </c>
      <c r="F29" s="48">
        <f t="shared" si="0"/>
        <v>1.0532710823424531</v>
      </c>
      <c r="G29" s="69">
        <f t="shared" si="1"/>
        <v>3055525</v>
      </c>
      <c r="H29" s="69">
        <f t="shared" si="2"/>
        <v>1231.1313567072434</v>
      </c>
      <c r="I29" s="69">
        <f>s_C*s_EF_w*(1/365)*s_ED_com*(s_ET_w_o+s_ET_w_i)*(1/24)*s_RadSpec!V29*s_RadSpec!Q29*1</f>
        <v>3928.0721812434113</v>
      </c>
      <c r="J29" s="4"/>
      <c r="K29" s="4"/>
      <c r="L29" s="4"/>
      <c r="M29" s="4"/>
      <c r="N29" s="48">
        <f>IFERROR((s_TR/(s_RadSpec!F29*s_EF_w*(1/365)*s_ED_com*s_RadSpec!Q29*(s_ET_w_o+s_ET_w_i)*(1/24)*s_RadSpec!V29))*1,".")</f>
        <v>1.0532710823424531</v>
      </c>
      <c r="O29" s="48">
        <f>IFERROR((s_TR/(s_RadSpec!M29*s_EF_w*(1/365)*s_ED_com*s_RadSpec!R29*(s_ET_w_o+s_ET_w_i)*(1/24)*s_RadSpec!W29))*1,".")</f>
        <v>11.358228987030262</v>
      </c>
      <c r="P29" s="48">
        <f>IFERROR((s_TR/(s_RadSpec!N29*s_EF_w*(1/365)*s_ED_com*s_RadSpec!S29*(s_ET_w_o+s_ET_w_i)*(1/24)*s_RadSpec!X29))*1,".")</f>
        <v>2.824610722079957</v>
      </c>
      <c r="Q29" s="48">
        <f>IFERROR((s_TR/(s_RadSpec!O29*s_EF_w*(1/365)*s_ED_com*s_RadSpec!T29*(s_ET_w_o+s_ET_w_i)*(1/24)*s_RadSpec!Y29))*1,".")</f>
        <v>1.5011316032101039</v>
      </c>
      <c r="R29" s="48">
        <f>IFERROR((s_TR/(s_RadSpec!K29*s_EF_w*(1/365)*s_ED_com*s_RadSpec!P29*(s_ET_w_o+s_ET_w_i)*(1/24)*s_RadSpec!U29))*1,".")</f>
        <v>21.068997147841454</v>
      </c>
      <c r="S29" s="69">
        <f>s_C*s_EF_w*(1/365)*s_ED_com*(s_ET_w_o+s_ET_w_i)*(1/24)*s_RadSpec!V29*s_RadSpec!Q29*1</f>
        <v>3928.0721812434113</v>
      </c>
      <c r="T29" s="69">
        <f>s_C*s_EF_w*(1/365)*s_ED_com*(s_ET_w_o+s_ET_w_i)*(1/24)*s_RadSpec!W29*s_RadSpec!R29*1</f>
        <v>1968.4990844974911</v>
      </c>
      <c r="U29" s="69">
        <f>s_C*s_EF_w*(1/365)*s_ED_com*(s_ET_w_o+s_ET_w_i)*(1/24)*s_RadSpec!X29*s_RadSpec!S29*1</f>
        <v>2763.2100456621001</v>
      </c>
      <c r="V29" s="69">
        <f>s_C*s_EF_w*(1/365)*s_ED_com*(s_ET_w_o+s_ET_w_i)*(1/24)*s_RadSpec!Y29*s_RadSpec!T29*1</f>
        <v>3257.510710255604</v>
      </c>
      <c r="W29" s="69">
        <f>s_C*s_EF_w*(1/365)*s_ED_com*(s_ET_w_o+s_ET_w_i)*(1/24)*s_RadSpec!U29*s_RadSpec!P29*1</f>
        <v>1096.2418460534896</v>
      </c>
      <c r="X29" s="11"/>
      <c r="Y29" s="11"/>
      <c r="Z29" s="11"/>
      <c r="AA29" s="11"/>
      <c r="AB29" s="11"/>
      <c r="AC29" s="48" t="str">
        <f>IFERROR(s_TR/(s_RadSpec!G29*s_EF_w*s_ED_com*(s_ET_w_o+s_ET_w_i)*(1/24)*s_IRA_w),".")</f>
        <v>.</v>
      </c>
      <c r="AD29" s="48">
        <f>IFERROR(s_TR/(s_RadSpec!J29*s_EF_w*(1/365)*s_ED_com*(s_ET_w_o+s_ET_w_i)*(1/24)*s_GSF_a),".")</f>
        <v>64.342786438017129</v>
      </c>
      <c r="AE29" s="48">
        <f t="shared" si="6"/>
        <v>64.342786438017129</v>
      </c>
      <c r="AF29" s="69">
        <f t="shared" si="4"/>
        <v>381940625</v>
      </c>
      <c r="AG29" s="69">
        <f t="shared" si="5"/>
        <v>69760.844748858435</v>
      </c>
      <c r="AH29" s="10"/>
      <c r="AI29" s="10"/>
      <c r="AJ29" s="10"/>
    </row>
    <row r="30" spans="1:36" x14ac:dyDescent="0.25">
      <c r="A30" s="49" t="s">
        <v>40</v>
      </c>
      <c r="B30" s="50" t="s">
        <v>289</v>
      </c>
      <c r="C30" s="48">
        <f>IFERROR((s_TR/(s_RadSpec!I30*s_EF_w*s_ED_com*s_IRS_w*(1/1000)))*1,".")</f>
        <v>348.51098680885917</v>
      </c>
      <c r="D30" s="48">
        <f>IFERROR(IF(A30="H-3",(s_TR/(s_RadSpec!G30*s_EF_w*s_ED_com*(s_ET_w_o+s_ET_w_i)*(1/24)*s_IRA_w*(1/17)*1000))*1,(s_TR/(s_RadSpec!G30*s_EF_w*s_ED_com*(s_ET_w_o+s_ET_w_i)*(1/24)*s_IRA_w*(1/s_PEF_wind)*1000))*1),".")</f>
        <v>1594.2469685486162</v>
      </c>
      <c r="E30" s="48">
        <f>IFERROR((s_TR/(s_RadSpec!F30*s_EF_w*(1/365)*s_ED_com*s_RadSpec!Q30*(s_ET_w_o+s_ET_w_i)*(1/24)*s_RadSpec!V30))*1,".")</f>
        <v>186653.95080541371</v>
      </c>
      <c r="F30" s="48">
        <f t="shared" si="0"/>
        <v>285.55413917805674</v>
      </c>
      <c r="G30" s="69">
        <f t="shared" si="1"/>
        <v>3055525</v>
      </c>
      <c r="H30" s="69">
        <f t="shared" si="2"/>
        <v>1231.1313567072434</v>
      </c>
      <c r="I30" s="69">
        <f>s_C*s_EF_w*(1/365)*s_ED_com*(s_ET_w_o+s_ET_w_i)*(1/24)*s_RadSpec!V30*s_RadSpec!Q30*1</f>
        <v>418.56506849315065</v>
      </c>
      <c r="J30" s="4"/>
      <c r="K30" s="4"/>
      <c r="L30" s="4"/>
      <c r="M30" s="4"/>
      <c r="N30" s="48">
        <f>IFERROR((s_TR/(s_RadSpec!F30*s_EF_w*(1/365)*s_ED_com*s_RadSpec!Q30*(s_ET_w_o+s_ET_w_i)*(1/24)*s_RadSpec!V30))*1,".")</f>
        <v>186653.95080541371</v>
      </c>
      <c r="O30" s="48">
        <f>IFERROR((s_TR/(s_RadSpec!M30*s_EF_w*(1/365)*s_ED_com*s_RadSpec!R30*(s_ET_w_o+s_ET_w_i)*(1/24)*s_RadSpec!W30))*1,".")</f>
        <v>3135567.9431622177</v>
      </c>
      <c r="P30" s="48">
        <f>IFERROR((s_TR/(s_RadSpec!N30*s_EF_w*(1/365)*s_ED_com*s_RadSpec!S30*(s_ET_w_o+s_ET_w_i)*(1/24)*s_RadSpec!X30))*1,".")</f>
        <v>462821.7492184146</v>
      </c>
      <c r="Q30" s="48">
        <f>IFERROR((s_TR/(s_RadSpec!O30*s_EF_w*(1/365)*s_ED_com*s_RadSpec!T30*(s_ET_w_o+s_ET_w_i)*(1/24)*s_RadSpec!Y30))*1,".")</f>
        <v>253609.11036041263</v>
      </c>
      <c r="R30" s="48">
        <f>IFERROR((s_TR/(s_RadSpec!K30*s_EF_w*(1/365)*s_ED_com*s_RadSpec!P30*(s_ET_w_o+s_ET_w_i)*(1/24)*s_RadSpec!U30))*1,".")</f>
        <v>44577355.309998818</v>
      </c>
      <c r="S30" s="69">
        <f>s_C*s_EF_w*(1/365)*s_ED_com*(s_ET_w_o+s_ET_w_i)*(1/24)*s_RadSpec!V30*s_RadSpec!Q30*1</f>
        <v>418.56506849315065</v>
      </c>
      <c r="T30" s="69">
        <f>s_C*s_EF_w*(1/365)*s_ED_com*(s_ET_w_o+s_ET_w_i)*(1/24)*s_RadSpec!W30*s_RadSpec!R30*1</f>
        <v>85.439418442415018</v>
      </c>
      <c r="U30" s="69">
        <f>s_C*s_EF_w*(1/365)*s_ED_com*(s_ET_w_o+s_ET_w_i)*(1/24)*s_RadSpec!X30*s_RadSpec!S30*1</f>
        <v>237.09065029129275</v>
      </c>
      <c r="V30" s="69">
        <f>s_C*s_EF_w*(1/365)*s_ED_com*(s_ET_w_o+s_ET_w_i)*(1/24)*s_RadSpec!Y30*s_RadSpec!T30*1</f>
        <v>318.52044617889612</v>
      </c>
      <c r="W30" s="69">
        <f>s_C*s_EF_w*(1/365)*s_ED_com*(s_ET_w_o+s_ET_w_i)*(1/24)*s_RadSpec!U30*s_RadSpec!P30*1</f>
        <v>3.4880422374429219</v>
      </c>
      <c r="X30" s="11"/>
      <c r="Y30" s="11"/>
      <c r="Z30" s="11"/>
      <c r="AA30" s="11"/>
      <c r="AB30" s="11"/>
      <c r="AC30" s="48">
        <f>IFERROR(s_TR/(s_RadSpec!G30*s_EF_w*s_ED_com*(s_ET_w_o+s_ET_w_i)*(1/24)*s_IRA_w),".")</f>
        <v>5.1388286682404315E-3</v>
      </c>
      <c r="AD30" s="48">
        <f>IFERROR(s_TR/(s_RadSpec!J30*s_EF_w*(1/365)*s_ED_com*(s_ET_w_o+s_ET_w_i)*(1/24)*s_GSF_a),".")</f>
        <v>849356.83218304091</v>
      </c>
      <c r="AE30" s="48">
        <f t="shared" si="6"/>
        <v>5.1388286371491882E-3</v>
      </c>
      <c r="AF30" s="69">
        <f t="shared" si="4"/>
        <v>381940625</v>
      </c>
      <c r="AG30" s="69">
        <f t="shared" si="5"/>
        <v>69760.844748858435</v>
      </c>
      <c r="AH30" s="10"/>
      <c r="AI30" s="10"/>
      <c r="AJ30" s="10"/>
    </row>
    <row r="31" spans="1:36" x14ac:dyDescent="0.25">
      <c r="A31" s="52" t="s">
        <v>13</v>
      </c>
      <c r="B31" s="52" t="s">
        <v>289</v>
      </c>
      <c r="C31" s="53">
        <f>1/SUM(1/C32,1/C33,1/C34,1/C35,1/C36,1/C37,1/C38,1/C41,1/C44)</f>
        <v>32.778238721224156</v>
      </c>
      <c r="D31" s="53">
        <f>1/SUM(1/D32,1/D33,1/D34,1/D35,1/D36,1/D37,1/D38,1/D41,1/D44)</f>
        <v>139.20108344758316</v>
      </c>
      <c r="E31" s="53">
        <f>1/SUM(1/E32,1/E33,1/E34,1/E35,1/E36,1/E37,1/E38,1/E39,1/E40,1/E41,1/E42,1/E43)</f>
        <v>16.551933405504506</v>
      </c>
      <c r="F31" s="54">
        <f>1/SUM(1/F32,1/F33,1/F34,1/F35,1/F36,1/F37,1/F38,1/F39,1/F40,1/F41,1/F42,1/F43,1/F44)</f>
        <v>10.192869424701049</v>
      </c>
      <c r="G31" s="71"/>
      <c r="H31" s="71"/>
      <c r="I31" s="71"/>
      <c r="J31" s="72">
        <f>IFERROR(IF(SUM(G32:G44)&gt;0.01,1-EXP(-SUM(G32:G44)),SUM(G32:G44)),".")</f>
        <v>1.6948744706050268E-3</v>
      </c>
      <c r="K31" s="72">
        <f>IFERROR(IF(SUM(H32:H44)&gt;0.01,1-EXP(-SUM(H32:H44)),SUM(H32:H44)),".")</f>
        <v>3.990989051526994E-4</v>
      </c>
      <c r="L31" s="72">
        <f>IFERROR(IF(SUM(I32:I44)&gt;0.01,1-EXP(-SUM(I32:I44)),SUM(I32:I44)),".")</f>
        <v>3.3564054807956531E-3</v>
      </c>
      <c r="M31" s="72">
        <f>IFERROR(IF(SUM(G32:I44)&gt;0.01,1-EXP(-SUM(G32:I44)),SUM(G32:I44)),".")</f>
        <v>5.45037885655338E-3</v>
      </c>
      <c r="N31" s="53">
        <f t="shared" ref="N31:R31" si="7">1/SUM(1/N32,1/N33,1/N34,1/N35,1/N36,1/N37,1/N38,1/N39,1/N40,1/N41,1/N42,1/N43)</f>
        <v>16.551933405504506</v>
      </c>
      <c r="O31" s="53">
        <f t="shared" si="7"/>
        <v>143.01407306117707</v>
      </c>
      <c r="P31" s="53">
        <f t="shared" si="7"/>
        <v>37.402257157518413</v>
      </c>
      <c r="Q31" s="53">
        <f t="shared" si="7"/>
        <v>22.235736455997209</v>
      </c>
      <c r="R31" s="53">
        <f t="shared" si="7"/>
        <v>311.5806132343057</v>
      </c>
      <c r="S31" s="71"/>
      <c r="T31" s="63"/>
      <c r="U31" s="63"/>
      <c r="V31" s="63"/>
      <c r="W31" s="63"/>
      <c r="X31" s="72">
        <f>IFERROR(IF(SUM(S32:S44)&gt;0.01,1-EXP(-SUM(S32:S44)),SUM(S32:S44)),".")</f>
        <v>3.3564054807956531E-3</v>
      </c>
      <c r="Y31" s="72">
        <f t="shared" ref="Y31:AB31" si="8">IFERROR(IF(SUM(T32:T44)&gt;0.01,1-EXP(-SUM(T32:T44)),SUM(T32:T44)),".")</f>
        <v>3.8845827414645581E-4</v>
      </c>
      <c r="Z31" s="72">
        <f t="shared" si="8"/>
        <v>1.4853381646469058E-3</v>
      </c>
      <c r="AA31" s="72">
        <f t="shared" si="8"/>
        <v>2.4984555879198791E-3</v>
      </c>
      <c r="AB31" s="72">
        <f t="shared" si="8"/>
        <v>1.7830056698111429E-4</v>
      </c>
      <c r="AC31" s="53">
        <f>1/SUM(1/AC32,1/AC33,1/AC34,1/AC35,1/AC36,1/AC37,1/AC38,1/AC41,1/AC44)</f>
        <v>4.4869492141596954E-4</v>
      </c>
      <c r="AD31" s="53">
        <f t="shared" ref="AD31:AE31" si="9">1/SUM(1/AD32,1/AD33,1/AD34,1/AD35,1/AD36,1/AD37,1/AD38,1/AD39,1/AD40,1/AD41,1/AD42,1/AD43,1/AD44)</f>
        <v>360.38024390373653</v>
      </c>
      <c r="AE31" s="54">
        <f t="shared" si="9"/>
        <v>4.48694362764697E-4</v>
      </c>
      <c r="AF31" s="71"/>
      <c r="AG31" s="71"/>
      <c r="AH31" s="72">
        <f>IFERROR(IF(SUM(AF32:AF44)&gt;0.01,1-EXP(-SUM(AF32:AF44)),SUM(AF32:AF44)),".")</f>
        <v>1</v>
      </c>
      <c r="AI31" s="72">
        <f>IFERROR(IF(SUM(AG32:AG44)&gt;0.01,1-EXP(-SUM(AG32:AG44)),SUM(AG32:AG44)),".")</f>
        <v>1.5415661912599081E-4</v>
      </c>
      <c r="AJ31" s="72">
        <f>IFERROR(IF(SUM(AF32:AG44)&gt;0.01,1-EXP(-SUM(AF32:AG44)),SUM(AF32:AG44)),".")</f>
        <v>1</v>
      </c>
    </row>
    <row r="32" spans="1:36" x14ac:dyDescent="0.25">
      <c r="A32" s="55" t="s">
        <v>290</v>
      </c>
      <c r="B32" s="50">
        <v>1</v>
      </c>
      <c r="C32" s="56">
        <f>IFERROR(C3/$B32,0)</f>
        <v>199.7562973172729</v>
      </c>
      <c r="D32" s="56">
        <f>IFERROR(D3/$B32,0)</f>
        <v>1195.685226411463</v>
      </c>
      <c r="E32" s="56">
        <f>IFERROR(E3/$B32,0)</f>
        <v>400833.45258403098</v>
      </c>
      <c r="F32" s="56">
        <f>IF(AND(C32&lt;&gt;0,D32&lt;&gt;0,E32&lt;&gt;0),1/((1/C32)+(1/D32)+(1/E32)),IF(AND(C32&lt;&gt;0,D32&lt;&gt;0,E32=0), 1/((1/C32)+(1/D32)),IF(AND(C32&lt;&gt;0,D32=0,E32&lt;&gt;0),1/((1/C32)+(1/E32)),IF(AND(C32=0,D32&lt;&gt;0,E32&lt;&gt;0),1/((1/D32)+(1/E32)),IF(AND(C32&lt;&gt;0,D32=0,E32=0),1/((1/C32)),IF(AND(C32=0,D32&lt;&gt;0,E32=0),1/((1/D32)),IF(AND(C32=0,D32=0,E32&lt;&gt;0),1/((1/E32)),IF(AND(C32=0,D32=0,E32=0),0))))))))</f>
        <v>171.08829191875577</v>
      </c>
      <c r="G32" s="64">
        <f>IFERROR(s_RadSpec!$I$3*G3,".")*$B$32</f>
        <v>2.7811388550000001E-4</v>
      </c>
      <c r="H32" s="64">
        <f>IFERROR(s_RadSpec!$G$3*H3,".")*$B$32</f>
        <v>4.6462897402131362E-5</v>
      </c>
      <c r="I32" s="64">
        <f>IFERROR(s_RadSpec!$F$3*I3,".")*$B$32</f>
        <v>1.3859871136467433E-7</v>
      </c>
      <c r="J32" s="73">
        <f t="shared" ref="J32:L44" si="10">IFERROR(IF(G32&gt;0.01,1-EXP(-G32),G32),".")</f>
        <v>2.7811388550000001E-4</v>
      </c>
      <c r="K32" s="73">
        <f t="shared" si="10"/>
        <v>4.6462897402131362E-5</v>
      </c>
      <c r="L32" s="73">
        <f t="shared" si="10"/>
        <v>1.3859871136467433E-7</v>
      </c>
      <c r="M32" s="73">
        <f>IFERROR(IF(SUM(G32:I32)&gt;0.01,1-EXP(-SUM(G32:I32)),SUM(G32:I32)),".")</f>
        <v>3.2471538161349606E-4</v>
      </c>
      <c r="N32" s="56">
        <f t="shared" ref="N32:AD32" si="11">IFERROR(N3/$B32,0)</f>
        <v>400833.45258403098</v>
      </c>
      <c r="O32" s="56">
        <f t="shared" si="11"/>
        <v>1130747.4982238049</v>
      </c>
      <c r="P32" s="56">
        <f t="shared" si="11"/>
        <v>457364.95043918426</v>
      </c>
      <c r="Q32" s="56">
        <f t="shared" si="11"/>
        <v>439233.3143148825</v>
      </c>
      <c r="R32" s="56">
        <f t="shared" si="11"/>
        <v>1290759.2694386942</v>
      </c>
      <c r="S32" s="64">
        <f>IFERROR(s_RadSpec!$F$3*S3,".")*$B$32</f>
        <v>1.3859871136467433E-7</v>
      </c>
      <c r="T32" s="64">
        <f>IFERROR(s_RadSpec!$M$3*T3,".")*$B$32</f>
        <v>4.9131216374359996E-8</v>
      </c>
      <c r="U32" s="64">
        <f>IFERROR(s_RadSpec!$N$3*U3,".")*$B$32</f>
        <v>1.214675500312242E-7</v>
      </c>
      <c r="V32" s="64">
        <f>IFERROR(s_RadSpec!$O$3*V3,".")*$B$32</f>
        <v>1.264817539777347E-7</v>
      </c>
      <c r="W32" s="64">
        <f>IFERROR(s_RadSpec!$K$3*W3,".")*$B$32</f>
        <v>4.3040558619547161E-8</v>
      </c>
      <c r="X32" s="73">
        <f>IFERROR(IF(S32&gt;0.01,1-EXP(-S32),S32),".")</f>
        <v>1.3859871136467433E-7</v>
      </c>
      <c r="Y32" s="73">
        <f t="shared" ref="Y32:AB44" si="12">IFERROR(IF(T32&gt;0.01,1-EXP(-T32),T32),".")</f>
        <v>4.9131216374359996E-8</v>
      </c>
      <c r="Z32" s="73">
        <f t="shared" si="12"/>
        <v>1.214675500312242E-7</v>
      </c>
      <c r="AA32" s="73">
        <f t="shared" si="12"/>
        <v>1.264817539777347E-7</v>
      </c>
      <c r="AB32" s="73">
        <f t="shared" si="12"/>
        <v>4.3040558619547161E-8</v>
      </c>
      <c r="AC32" s="56">
        <f t="shared" si="11"/>
        <v>3.8541215011803258E-3</v>
      </c>
      <c r="AD32" s="56">
        <f t="shared" si="11"/>
        <v>13723.008777524785</v>
      </c>
      <c r="AE32" s="56">
        <f>IFERROR(IF(AND(AC32&lt;&gt;0,AD32&lt;&gt;0),1/((1/AC32)+(1/AD32)),IF(AND(AC32&lt;&gt;0,AD32=0),1/((1/AC32)),IF(AND(AC32=0,AD32&lt;&gt;0),1/((1/AD32)),IF(AND(AC32=0,AD32=0),0)))),0)</f>
        <v>3.8541204187465378E-3</v>
      </c>
      <c r="AF32" s="64">
        <f>IFERROR(s_RadSpec!$G$3*AF3,".")*$B$32</f>
        <v>14.414439187499999</v>
      </c>
      <c r="AG32" s="64">
        <f>IFERROR(s_RadSpec!$J$3*AG3,".")*$B$32</f>
        <v>4.0483104616960269E-6</v>
      </c>
      <c r="AH32" s="73">
        <f>IFERROR(IF(AF32&gt;0.01,1-EXP(-AF32),AF32),".")</f>
        <v>0.99999945060006823</v>
      </c>
      <c r="AI32" s="73">
        <f>IFERROR(IF(AG32&gt;0.01,1-EXP(-AG32),AG32),".")</f>
        <v>4.0483104616960269E-6</v>
      </c>
      <c r="AJ32" s="73">
        <f>IFERROR(IF(SUM(AF32:AG32)&gt;0.01,1-EXP(-SUM(AF32:AG32)),SUM(AF32:AG32)),".")</f>
        <v>0.99999945060229234</v>
      </c>
    </row>
    <row r="33" spans="1:36" x14ac:dyDescent="0.25">
      <c r="A33" s="55" t="s">
        <v>291</v>
      </c>
      <c r="B33" s="50">
        <v>1</v>
      </c>
      <c r="C33" s="56">
        <f t="shared" ref="C33:E34" si="13">IFERROR(C13/$B33,0)</f>
        <v>386.92952078778848</v>
      </c>
      <c r="D33" s="56">
        <f t="shared" si="13"/>
        <v>1573.676039922183</v>
      </c>
      <c r="E33" s="56">
        <f t="shared" si="13"/>
        <v>5296.2293819483139</v>
      </c>
      <c r="F33" s="56">
        <f>IF(AND(C33&lt;&gt;0,D33&lt;&gt;0,E33&lt;&gt;0),1/((1/C33)+(1/D33)+(1/E33)),IF(AND(C33&lt;&gt;0,D33&lt;&gt;0,E33=0), 1/((1/C33)+(1/D33)),IF(AND(C33&lt;&gt;0,D33=0,E33&lt;&gt;0),1/((1/C33)+(1/E33)),IF(AND(C33=0,D33&lt;&gt;0,E33&lt;&gt;0),1/((1/D33)+(1/E33)),IF(AND(C33&lt;&gt;0,D33=0,E33=0),1/((1/C33)),IF(AND(C33=0,D33&lt;&gt;0,E33=0),1/((1/D33)),IF(AND(C33=0,D33=0,E33&lt;&gt;0),1/((1/E33)),IF(AND(C33=0,D33=0,E33=0),0))))))))</f>
        <v>293.36539101318334</v>
      </c>
      <c r="G33" s="64">
        <f>IFERROR(s_RadSpec!$I$13*G13,".")*$B$33</f>
        <v>1.4357911975E-4</v>
      </c>
      <c r="H33" s="64">
        <f>IFERROR(s_RadSpec!$G$13*H13,".")*$B$33</f>
        <v>3.5302691653580202E-5</v>
      </c>
      <c r="I33" s="64">
        <f>IFERROR(s_RadSpec!$F$13*I13,".")*$B$33</f>
        <v>1.0489538121093064E-5</v>
      </c>
      <c r="J33" s="73">
        <f t="shared" si="10"/>
        <v>1.4357911975E-4</v>
      </c>
      <c r="K33" s="73">
        <f t="shared" si="10"/>
        <v>3.5302691653580202E-5</v>
      </c>
      <c r="L33" s="73">
        <f t="shared" si="10"/>
        <v>1.0489538121093064E-5</v>
      </c>
      <c r="M33" s="73">
        <f t="shared" ref="M33:M44" si="14">IFERROR(IF(SUM(G33:I33)&gt;0.01,1-EXP(-SUM(G33:I33)),SUM(G33:I33)),".")</f>
        <v>1.8937134952467328E-4</v>
      </c>
      <c r="N33" s="56">
        <f t="shared" ref="N33:AD34" si="15">IFERROR(N13/$B33,0)</f>
        <v>5296.2293819483139</v>
      </c>
      <c r="O33" s="56">
        <f t="shared" si="15"/>
        <v>34432.115228614341</v>
      </c>
      <c r="P33" s="56">
        <f t="shared" si="15"/>
        <v>8596.5587252885889</v>
      </c>
      <c r="Q33" s="56">
        <f t="shared" si="15"/>
        <v>5690.1724804873502</v>
      </c>
      <c r="R33" s="56">
        <f t="shared" si="15"/>
        <v>273467.48104980658</v>
      </c>
      <c r="S33" s="64">
        <f>IFERROR(s_RadSpec!$F$13*S13,".")*$B$33</f>
        <v>1.0489538121093064E-5</v>
      </c>
      <c r="T33" s="64">
        <f>IFERROR(s_RadSpec!$M$13*T13,".")*$B$33</f>
        <v>1.6134646283313945E-6</v>
      </c>
      <c r="U33" s="64">
        <f>IFERROR(s_RadSpec!$N$13*U13,".")*$B$33</f>
        <v>6.4624696666787438E-6</v>
      </c>
      <c r="V33" s="64">
        <f>IFERROR(s_RadSpec!$O$13*V13,".")*$B$33</f>
        <v>9.7633244318178971E-6</v>
      </c>
      <c r="W33" s="64">
        <f>IFERROR(s_RadSpec!$K$13*W13,".")*$B$33</f>
        <v>2.0315029701788114E-7</v>
      </c>
      <c r="X33" s="73">
        <f t="shared" ref="X33:X44" si="16">IFERROR(IF(S33&gt;0.01,1-EXP(-S33),S33),".")</f>
        <v>1.0489538121093064E-5</v>
      </c>
      <c r="Y33" s="73">
        <f t="shared" si="12"/>
        <v>1.6134646283313945E-6</v>
      </c>
      <c r="Z33" s="73">
        <f t="shared" si="12"/>
        <v>6.4624696666787438E-6</v>
      </c>
      <c r="AA33" s="73">
        <f t="shared" si="12"/>
        <v>9.7633244318178971E-6</v>
      </c>
      <c r="AB33" s="73">
        <f t="shared" si="12"/>
        <v>2.0315029701788114E-7</v>
      </c>
      <c r="AC33" s="56">
        <f t="shared" si="15"/>
        <v>5.0725212015534605E-3</v>
      </c>
      <c r="AD33" s="56">
        <f t="shared" si="15"/>
        <v>10381.027948903833</v>
      </c>
      <c r="AE33" s="56">
        <f t="shared" ref="AE33:AE44" si="17">IFERROR(IF(AND(AC33&lt;&gt;0,AD33&lt;&gt;0),1/((1/AC33)+(1/AD33)),IF(AND(AC33&lt;&gt;0,AD33=0),1/((1/AC33)),IF(AND(AC33=0,AD33&lt;&gt;0),1/((1/AD33)),IF(AND(AC33=0,AD33=0),0)))),0)</f>
        <v>5.0725187229493287E-3</v>
      </c>
      <c r="AF33" s="64">
        <f>IFERROR(s_RadSpec!$G$13*AF13,".")*$B$33</f>
        <v>10.952147421875001</v>
      </c>
      <c r="AG33" s="64">
        <f>IFERROR(s_RadSpec!$J$13*AG13,".")*$B$33</f>
        <v>5.3515894835699988E-6</v>
      </c>
      <c r="AH33" s="73">
        <f t="shared" ref="AH33:AI44" si="18">IFERROR(IF(AF33&gt;0.01,1-EXP(-AF33),AF33),".")</f>
        <v>0.99998247964871034</v>
      </c>
      <c r="AI33" s="73">
        <f t="shared" si="18"/>
        <v>5.3515894835699988E-6</v>
      </c>
      <c r="AJ33" s="73">
        <f t="shared" ref="AJ33:AJ44" si="19">IFERROR(IF(SUM(AF33:AG33)&gt;0.01,1-EXP(-SUM(AF33:AG33)),SUM(AF33:AG33)),".")</f>
        <v>0.99998247974247179</v>
      </c>
    </row>
    <row r="34" spans="1:36" x14ac:dyDescent="0.25">
      <c r="A34" s="55" t="s">
        <v>292</v>
      </c>
      <c r="B34" s="50">
        <v>1</v>
      </c>
      <c r="C34" s="56">
        <f t="shared" si="13"/>
        <v>7040.1216533021679</v>
      </c>
      <c r="D34" s="56">
        <f t="shared" si="13"/>
        <v>2953024.0458588176</v>
      </c>
      <c r="E34" s="56">
        <f t="shared" si="13"/>
        <v>51.193253233970175</v>
      </c>
      <c r="F34" s="56">
        <f>IF(AND(C34&lt;&gt;0,D34&lt;&gt;0,E34&lt;&gt;0),1/((1/C34)+(1/D34)+(1/E34)),IF(AND(C34&lt;&gt;0,D34&lt;&gt;0,E34=0), 1/((1/C34)+(1/D34)),IF(AND(C34&lt;&gt;0,D34=0,E34&lt;&gt;0),1/((1/C34)+(1/E34)),IF(AND(C34=0,D34&lt;&gt;0,E34&lt;&gt;0),1/((1/D34)+(1/E34)),IF(AND(C34&lt;&gt;0,D34=0,E34=0),1/((1/C34)),IF(AND(C34=0,D34&lt;&gt;0,E34=0),1/((1/D34)),IF(AND(C34=0,D34=0,E34&lt;&gt;0),1/((1/E34)),IF(AND(C34=0,D34=0,E34=0),0))))))))</f>
        <v>50.822806854803218</v>
      </c>
      <c r="G34" s="64">
        <f>IFERROR(s_RadSpec!$I$14*G14,".")*$B$34</f>
        <v>7.8911988649999995E-6</v>
      </c>
      <c r="H34" s="64">
        <f>IFERROR(s_RadSpec!$G$14*H14,".")*$B$33</f>
        <v>1.8812918261843386E-8</v>
      </c>
      <c r="I34" s="64">
        <f>IFERROR(s_RadSpec!$F$14*I14,".")*$B$33</f>
        <v>1.0852015937743824E-3</v>
      </c>
      <c r="J34" s="73">
        <f t="shared" si="10"/>
        <v>7.8911988649999995E-6</v>
      </c>
      <c r="K34" s="73">
        <f t="shared" si="10"/>
        <v>1.8812918261843386E-8</v>
      </c>
      <c r="L34" s="73">
        <f t="shared" si="10"/>
        <v>1.0852015937743824E-3</v>
      </c>
      <c r="M34" s="73">
        <f t="shared" si="14"/>
        <v>1.0931116055576443E-3</v>
      </c>
      <c r="N34" s="56">
        <f t="shared" si="15"/>
        <v>51.193253233970175</v>
      </c>
      <c r="O34" s="56">
        <f t="shared" si="15"/>
        <v>391.94180488247326</v>
      </c>
      <c r="P34" s="56">
        <f t="shared" si="15"/>
        <v>105.56260049413056</v>
      </c>
      <c r="Q34" s="56">
        <f t="shared" si="15"/>
        <v>63.658769357939534</v>
      </c>
      <c r="R34" s="56">
        <f t="shared" si="15"/>
        <v>1108.5671084088765</v>
      </c>
      <c r="S34" s="64">
        <f>IFERROR(s_RadSpec!$F$14*S14,".")*$B$33</f>
        <v>1.0852015937743824E-3</v>
      </c>
      <c r="T34" s="64">
        <f>IFERROR(s_RadSpec!$M$14*T14,".")*$B$33</f>
        <v>1.4174298150374282E-4</v>
      </c>
      <c r="U34" s="64">
        <f>IFERROR(s_RadSpec!$N$14*U14,".")*$B$33</f>
        <v>5.2627540189376955E-4</v>
      </c>
      <c r="V34" s="64">
        <f>IFERROR(s_RadSpec!$O$14*V14,".")*$B$33</f>
        <v>8.7269987403661869E-4</v>
      </c>
      <c r="W34" s="64">
        <f>IFERROR(s_RadSpec!$K$14*W14,".")*$B$33</f>
        <v>5.0114241689651015E-5</v>
      </c>
      <c r="X34" s="73">
        <f t="shared" si="16"/>
        <v>1.0852015937743824E-3</v>
      </c>
      <c r="Y34" s="73">
        <f t="shared" si="12"/>
        <v>1.4174298150374282E-4</v>
      </c>
      <c r="Z34" s="73">
        <f t="shared" si="12"/>
        <v>5.2627540189376955E-4</v>
      </c>
      <c r="AA34" s="73">
        <f t="shared" si="12"/>
        <v>8.7269987403661869E-4</v>
      </c>
      <c r="AB34" s="73">
        <f t="shared" si="12"/>
        <v>5.0114241689651015E-5</v>
      </c>
      <c r="AC34" s="56">
        <f t="shared" si="15"/>
        <v>9.5186535864501973</v>
      </c>
      <c r="AD34" s="56">
        <f t="shared" si="15"/>
        <v>933.01441346509137</v>
      </c>
      <c r="AE34" s="56">
        <f t="shared" si="17"/>
        <v>9.4225245812554252</v>
      </c>
      <c r="AF34" s="64">
        <f>IFERROR(s_RadSpec!$G$14*AF14,".")*$B$33</f>
        <v>5.8364346906249996E-3</v>
      </c>
      <c r="AG34" s="64">
        <f>IFERROR(s_RadSpec!$J$14*AG14,".")*$B$33</f>
        <v>5.9543560311867117E-5</v>
      </c>
      <c r="AH34" s="73">
        <f t="shared" si="18"/>
        <v>5.8364346906249996E-3</v>
      </c>
      <c r="AI34" s="73">
        <f t="shared" si="18"/>
        <v>5.9543560311867117E-5</v>
      </c>
      <c r="AJ34" s="73">
        <f t="shared" si="19"/>
        <v>5.8959782509368664E-3</v>
      </c>
    </row>
    <row r="35" spans="1:36" x14ac:dyDescent="0.25">
      <c r="A35" s="55" t="s">
        <v>293</v>
      </c>
      <c r="B35" s="50">
        <v>1</v>
      </c>
      <c r="C35" s="56">
        <f>IFERROR(C30/$B35,0)</f>
        <v>348.51098680885917</v>
      </c>
      <c r="D35" s="56">
        <f>IFERROR(D30/$B35,0)</f>
        <v>1594.2469685486162</v>
      </c>
      <c r="E35" s="56">
        <f>IFERROR(E30/$B35,0)</f>
        <v>186653.95080541371</v>
      </c>
      <c r="F35" s="56">
        <f t="shared" ref="F35:F61" si="20">IF(AND(C35&lt;&gt;0,D35&lt;&gt;0,E35&lt;&gt;0),1/((1/C35)+(1/D35)+(1/E35)),IF(AND(C35&lt;&gt;0,D35&lt;&gt;0,E35=0), 1/((1/C35)+(1/D35)),IF(AND(C35&lt;&gt;0,D35=0,E35&lt;&gt;0),1/((1/C35)+(1/E35)),IF(AND(C35=0,D35&lt;&gt;0,E35&lt;&gt;0),1/((1/D35)+(1/E35)),IF(AND(C35&lt;&gt;0,D35=0,E35=0),1/((1/C35)),IF(AND(C35=0,D35&lt;&gt;0,E35=0),1/((1/D35)),IF(AND(C35=0,D35=0,E35&lt;&gt;0),1/((1/E35)),IF(AND(C35=0,D35=0,E35=0),0))))))))</f>
        <v>285.55413917805674</v>
      </c>
      <c r="G35" s="64">
        <f>IFERROR(s_RadSpec!$I$30*G30,".")*$B$35</f>
        <v>1.5940673924999999E-4</v>
      </c>
      <c r="H35" s="64">
        <f>IFERROR(s_RadSpec!$G$30*H30,".")*$B$35</f>
        <v>3.4847173051598523E-5</v>
      </c>
      <c r="I35" s="64">
        <f>IFERROR(s_RadSpec!$F$30*I30,".")*$B$35</f>
        <v>2.9763634662046851E-7</v>
      </c>
      <c r="J35" s="73">
        <f t="shared" si="10"/>
        <v>1.5940673924999999E-4</v>
      </c>
      <c r="K35" s="73">
        <f t="shared" si="10"/>
        <v>3.4847173051598523E-5</v>
      </c>
      <c r="L35" s="73">
        <f t="shared" si="10"/>
        <v>2.9763634662046851E-7</v>
      </c>
      <c r="M35" s="73">
        <f t="shared" si="14"/>
        <v>1.9455154864821895E-4</v>
      </c>
      <c r="N35" s="56">
        <f t="shared" ref="N35:AD35" si="21">IFERROR(N30/$B35,0)</f>
        <v>186653.95080541371</v>
      </c>
      <c r="O35" s="56">
        <f t="shared" si="21"/>
        <v>3135567.9431622177</v>
      </c>
      <c r="P35" s="56">
        <f t="shared" si="21"/>
        <v>462821.7492184146</v>
      </c>
      <c r="Q35" s="56">
        <f t="shared" si="21"/>
        <v>253609.11036041263</v>
      </c>
      <c r="R35" s="56">
        <f t="shared" si="21"/>
        <v>44577355.309998818</v>
      </c>
      <c r="S35" s="64">
        <f>IFERROR(s_RadSpec!$F$30*S30,".")*$B$35</f>
        <v>2.9763634662046851E-7</v>
      </c>
      <c r="T35" s="64">
        <f>IFERROR(s_RadSpec!$M$30*T30,".")*$B$35</f>
        <v>1.7717683369339725E-8</v>
      </c>
      <c r="U35" s="64">
        <f>IFERROR(s_RadSpec!$N$30*U30,".")*$B$35</f>
        <v>1.2003541340444332E-7</v>
      </c>
      <c r="V35" s="64">
        <f>IFERROR(s_RadSpec!$O$30*V30,".")*$B$35</f>
        <v>2.1905758795907951E-7</v>
      </c>
      <c r="W35" s="64">
        <f>IFERROR(s_RadSpec!$K$30*W30,".")*$B$35</f>
        <v>1.2462605646669861E-9</v>
      </c>
      <c r="X35" s="73">
        <f t="shared" si="16"/>
        <v>2.9763634662046851E-7</v>
      </c>
      <c r="Y35" s="73">
        <f t="shared" si="12"/>
        <v>1.7717683369339725E-8</v>
      </c>
      <c r="Z35" s="73">
        <f t="shared" si="12"/>
        <v>1.2003541340444332E-7</v>
      </c>
      <c r="AA35" s="73">
        <f t="shared" si="12"/>
        <v>2.1905758795907951E-7</v>
      </c>
      <c r="AB35" s="73">
        <f t="shared" si="12"/>
        <v>1.2462605646669861E-9</v>
      </c>
      <c r="AC35" s="56">
        <f t="shared" si="21"/>
        <v>5.1388286682404315E-3</v>
      </c>
      <c r="AD35" s="56">
        <f t="shared" si="21"/>
        <v>849356.83218304091</v>
      </c>
      <c r="AE35" s="56">
        <f t="shared" si="17"/>
        <v>5.1388286371491882E-3</v>
      </c>
      <c r="AF35" s="64">
        <f>IFERROR(s_RadSpec!$G$30*AF30,".")*$B$35</f>
        <v>10.810829390625001</v>
      </c>
      <c r="AG35" s="64">
        <f>IFERROR(s_RadSpec!$J$30*AG30,".")*$B$35</f>
        <v>6.5408315910299986E-8</v>
      </c>
      <c r="AH35" s="73">
        <f t="shared" si="18"/>
        <v>0.99997982021890308</v>
      </c>
      <c r="AI35" s="73">
        <f t="shared" si="18"/>
        <v>6.5408315910299986E-8</v>
      </c>
      <c r="AJ35" s="73">
        <f t="shared" si="19"/>
        <v>0.99997982022022303</v>
      </c>
    </row>
    <row r="36" spans="1:36" x14ac:dyDescent="0.25">
      <c r="A36" s="55" t="s">
        <v>294</v>
      </c>
      <c r="B36" s="50">
        <v>1</v>
      </c>
      <c r="C36" s="56">
        <f>IFERROR(C26/$B36,0)</f>
        <v>92.368513421144996</v>
      </c>
      <c r="D36" s="56">
        <f>IFERROR(D26/$B36,0)</f>
        <v>258.38960401264654</v>
      </c>
      <c r="E36" s="56">
        <f>IFERROR(E26/$B36,0)</f>
        <v>622.24927573188688</v>
      </c>
      <c r="F36" s="56">
        <f t="shared" si="20"/>
        <v>61.336907602744773</v>
      </c>
      <c r="G36" s="64">
        <f>IFERROR(s_RadSpec!$I$26*G26,".")*$B$37</f>
        <v>6.01449541E-4</v>
      </c>
      <c r="H36" s="64">
        <f>IFERROR(s_RadSpec!$G$26*H26,".")*$B$37</f>
        <v>2.15004780135353E-4</v>
      </c>
      <c r="I36" s="64">
        <f>IFERROR(s_RadSpec!$F$26*I26,".")*$B$37</f>
        <v>8.9280939595560711E-5</v>
      </c>
      <c r="J36" s="73">
        <f t="shared" si="10"/>
        <v>6.01449541E-4</v>
      </c>
      <c r="K36" s="73">
        <f t="shared" si="10"/>
        <v>2.15004780135353E-4</v>
      </c>
      <c r="L36" s="73">
        <f t="shared" si="10"/>
        <v>8.9280939595560711E-5</v>
      </c>
      <c r="M36" s="73">
        <f t="shared" si="14"/>
        <v>9.0573526073091371E-4</v>
      </c>
      <c r="N36" s="56">
        <f t="shared" ref="N36:AD36" si="22">IFERROR(N26/$B36,0)</f>
        <v>622.24927573188688</v>
      </c>
      <c r="O36" s="56">
        <f t="shared" si="22"/>
        <v>3765.9890904493986</v>
      </c>
      <c r="P36" s="56">
        <f t="shared" si="22"/>
        <v>1079.1063407108234</v>
      </c>
      <c r="Q36" s="56">
        <f t="shared" si="22"/>
        <v>709.77174226243289</v>
      </c>
      <c r="R36" s="56">
        <f t="shared" si="22"/>
        <v>20979.470118523128</v>
      </c>
      <c r="S36" s="64">
        <f>IFERROR(s_RadSpec!$F$26*S26,".")*$B$37</f>
        <v>8.9280939595560711E-5</v>
      </c>
      <c r="T36" s="64">
        <f>IFERROR(s_RadSpec!$M$26*T26,".")*$B$37</f>
        <v>1.4751768702912137E-5</v>
      </c>
      <c r="U36" s="64">
        <f>IFERROR(s_RadSpec!$N$26*U26,".")*$B$37</f>
        <v>5.1482414572233049E-5</v>
      </c>
      <c r="V36" s="64">
        <f>IFERROR(s_RadSpec!$O$26*V26,".")*$B$37</f>
        <v>7.8271642405649533E-5</v>
      </c>
      <c r="W36" s="64">
        <f>IFERROR(s_RadSpec!$K$26*W26,".")*$B$37</f>
        <v>2.6480649742888186E-6</v>
      </c>
      <c r="X36" s="73">
        <f t="shared" si="16"/>
        <v>8.9280939595560711E-5</v>
      </c>
      <c r="Y36" s="73">
        <f t="shared" si="12"/>
        <v>1.4751768702912137E-5</v>
      </c>
      <c r="Z36" s="73">
        <f t="shared" si="12"/>
        <v>5.1482414572233049E-5</v>
      </c>
      <c r="AA36" s="73">
        <f t="shared" si="12"/>
        <v>7.8271642405649533E-5</v>
      </c>
      <c r="AB36" s="73">
        <f t="shared" si="12"/>
        <v>2.6480649742888186E-6</v>
      </c>
      <c r="AC36" s="56">
        <f t="shared" si="22"/>
        <v>8.3288218881439203E-4</v>
      </c>
      <c r="AD36" s="56">
        <f t="shared" si="22"/>
        <v>2653.8269892723024</v>
      </c>
      <c r="AE36" s="56">
        <f t="shared" si="17"/>
        <v>8.3288192742111901E-4</v>
      </c>
      <c r="AF36" s="64">
        <f>IFERROR(s_RadSpec!$G$26*AF26,".")*$B$37</f>
        <v>66.702110750000003</v>
      </c>
      <c r="AG36" s="64">
        <f>IFERROR(s_RadSpec!$J$26*AG26,".")*$B$37</f>
        <v>2.0933919288850681E-5</v>
      </c>
      <c r="AH36" s="73">
        <f t="shared" si="18"/>
        <v>1</v>
      </c>
      <c r="AI36" s="73">
        <f t="shared" si="18"/>
        <v>2.0933919288850681E-5</v>
      </c>
      <c r="AJ36" s="73">
        <f t="shared" si="19"/>
        <v>1</v>
      </c>
    </row>
    <row r="37" spans="1:36" x14ac:dyDescent="0.25">
      <c r="A37" s="55" t="s">
        <v>295</v>
      </c>
      <c r="B37" s="50">
        <v>1</v>
      </c>
      <c r="C37" s="56">
        <f>IFERROR(C22/$B37,0)</f>
        <v>244.477856418155</v>
      </c>
      <c r="D37" s="56">
        <f>IFERROR(D22/$B37,0)</f>
        <v>1725.0338485709926</v>
      </c>
      <c r="E37" s="56">
        <f>IFERROR(E22/$B37,0)</f>
        <v>12514955716.541487</v>
      </c>
      <c r="F37" s="56">
        <f t="shared" si="20"/>
        <v>214.1305224351984</v>
      </c>
      <c r="G37" s="64">
        <f>IFERROR(s_RadSpec!$I$22*G22,".")*$B$37</f>
        <v>2.2723939424999998E-4</v>
      </c>
      <c r="H37" s="64">
        <f>IFERROR(s_RadSpec!$G$22*H22,".")*$B$37</f>
        <v>3.2205165160104777E-5</v>
      </c>
      <c r="I37" s="64">
        <f>IFERROR(s_RadSpec!$F$22*I22,".")*$B$37</f>
        <v>4.4390888196728385E-12</v>
      </c>
      <c r="J37" s="73">
        <f t="shared" si="10"/>
        <v>2.2723939424999998E-4</v>
      </c>
      <c r="K37" s="73">
        <f t="shared" si="10"/>
        <v>3.2205165160104777E-5</v>
      </c>
      <c r="L37" s="73">
        <f t="shared" si="10"/>
        <v>4.4390888196728385E-12</v>
      </c>
      <c r="M37" s="73">
        <f t="shared" si="14"/>
        <v>2.5944456384919358E-4</v>
      </c>
      <c r="N37" s="56">
        <f t="shared" ref="N37:AD37" si="23">IFERROR(N22/$B37,0)</f>
        <v>12514955716.541487</v>
      </c>
      <c r="O37" s="56">
        <f t="shared" si="23"/>
        <v>15750037536.412928</v>
      </c>
      <c r="P37" s="56">
        <f t="shared" si="23"/>
        <v>8861103343.2008705</v>
      </c>
      <c r="Q37" s="56">
        <f t="shared" si="23"/>
        <v>9096139581.7846565</v>
      </c>
      <c r="R37" s="56">
        <f t="shared" si="23"/>
        <v>44506816494.688438</v>
      </c>
      <c r="S37" s="64">
        <f>IFERROR(s_RadSpec!$F$22*S22,".")*$B$37</f>
        <v>4.4390888196728385E-12</v>
      </c>
      <c r="T37" s="64">
        <f>IFERROR(s_RadSpec!$M$22*T22,".")*$B$37</f>
        <v>3.5272931808296283E-12</v>
      </c>
      <c r="U37" s="64">
        <f>IFERROR(s_RadSpec!$N$22*U22,".")*$B$37</f>
        <v>6.2695352766230136E-12</v>
      </c>
      <c r="V37" s="64">
        <f>IFERROR(s_RadSpec!$O$22*V22,".")*$B$37</f>
        <v>6.1075360047520449E-12</v>
      </c>
      <c r="W37" s="64">
        <f>IFERROR(s_RadSpec!$K$22*W22,".")*$B$37</f>
        <v>1.2482357619676094E-12</v>
      </c>
      <c r="X37" s="73">
        <f t="shared" si="16"/>
        <v>4.4390888196728385E-12</v>
      </c>
      <c r="Y37" s="73">
        <f t="shared" si="12"/>
        <v>3.5272931808296283E-12</v>
      </c>
      <c r="Z37" s="73">
        <f t="shared" si="12"/>
        <v>6.2695352766230136E-12</v>
      </c>
      <c r="AA37" s="73">
        <f t="shared" si="12"/>
        <v>6.1075360047520449E-12</v>
      </c>
      <c r="AB37" s="73">
        <f t="shared" si="12"/>
        <v>1.2482357619676094E-12</v>
      </c>
      <c r="AC37" s="56">
        <f t="shared" si="23"/>
        <v>5.5604016000055604E-3</v>
      </c>
      <c r="AD37" s="56">
        <f t="shared" si="23"/>
        <v>43166.679509049485</v>
      </c>
      <c r="AE37" s="56">
        <f t="shared" si="17"/>
        <v>5.5604008837572341E-3</v>
      </c>
      <c r="AF37" s="64">
        <f>IFERROR(s_RadSpec!$G$22*AF22,".")*$B$37</f>
        <v>9.9911848093749995</v>
      </c>
      <c r="AG37" s="64">
        <f>IFERROR(s_RadSpec!$J$22*AG22,".")*$B$37</f>
        <v>1.2869880341005476E-6</v>
      </c>
      <c r="AH37" s="73">
        <f t="shared" si="18"/>
        <v>0.99995419809204822</v>
      </c>
      <c r="AI37" s="73">
        <f t="shared" si="18"/>
        <v>1.2869880341005476E-6</v>
      </c>
      <c r="AJ37" s="73">
        <f t="shared" si="19"/>
        <v>0.99995419815099462</v>
      </c>
    </row>
    <row r="38" spans="1:36" x14ac:dyDescent="0.25">
      <c r="A38" s="55" t="s">
        <v>296</v>
      </c>
      <c r="B38" s="50">
        <v>1</v>
      </c>
      <c r="C38" s="56">
        <f>IFERROR(C2/$B38,0)</f>
        <v>201.39364401659481</v>
      </c>
      <c r="D38" s="56">
        <f>IFERROR(D2/$B38,0)</f>
        <v>1579.7913613208443</v>
      </c>
      <c r="E38" s="56">
        <f>IFERROR(E2/$B38,0)</f>
        <v>2051.2286804300215</v>
      </c>
      <c r="F38" s="56">
        <f t="shared" si="20"/>
        <v>164.31402763400447</v>
      </c>
      <c r="G38" s="64">
        <f>IFERROR(s_RadSpec!$I$2*G2,".")*$B$38</f>
        <v>2.75852797E-4</v>
      </c>
      <c r="H38" s="64">
        <f>IFERROR(s_RadSpec!$G$2*H2,".")*$B$38</f>
        <v>3.5166036072985699E-5</v>
      </c>
      <c r="I38" s="64">
        <f>IFERROR(s_RadSpec!$F$2*I2,".")*$B$38</f>
        <v>2.7083767173318482E-5</v>
      </c>
      <c r="J38" s="73">
        <f t="shared" si="10"/>
        <v>2.75852797E-4</v>
      </c>
      <c r="K38" s="73">
        <f t="shared" si="10"/>
        <v>3.5166036072985699E-5</v>
      </c>
      <c r="L38" s="73">
        <f t="shared" si="10"/>
        <v>2.7083767173318482E-5</v>
      </c>
      <c r="M38" s="73">
        <f t="shared" si="14"/>
        <v>3.3810260024630417E-4</v>
      </c>
      <c r="N38" s="56">
        <f t="shared" ref="N38:AD38" si="24">IFERROR(N2/$B38,0)</f>
        <v>2051.2286804300215</v>
      </c>
      <c r="O38" s="56">
        <f t="shared" si="24"/>
        <v>14806.341488526072</v>
      </c>
      <c r="P38" s="56">
        <f t="shared" si="24"/>
        <v>3884.2447303557651</v>
      </c>
      <c r="Q38" s="56">
        <f t="shared" si="24"/>
        <v>2402.7280902312823</v>
      </c>
      <c r="R38" s="56">
        <f t="shared" si="24"/>
        <v>112480.61359788748</v>
      </c>
      <c r="S38" s="64">
        <f>IFERROR(s_RadSpec!$F$2*S2,".")*$B$38</f>
        <v>2.7083767173318482E-5</v>
      </c>
      <c r="T38" s="64">
        <f>IFERROR(s_RadSpec!$M$2*T2,".")*$B$38</f>
        <v>3.7521085166819517E-6</v>
      </c>
      <c r="U38" s="64">
        <f>IFERROR(s_RadSpec!$N$2*U2,".")*$B$38</f>
        <v>1.430265182979642E-5</v>
      </c>
      <c r="V38" s="64">
        <f>IFERROR(s_RadSpec!$O$2*V2,".")*$B$38</f>
        <v>2.312163420649582E-5</v>
      </c>
      <c r="W38" s="64">
        <f>IFERROR(s_RadSpec!$K$2*W2,".")*$B$38</f>
        <v>4.9390733409942364E-7</v>
      </c>
      <c r="X38" s="73">
        <f t="shared" si="16"/>
        <v>2.7083767173318482E-5</v>
      </c>
      <c r="Y38" s="73">
        <f t="shared" si="12"/>
        <v>3.7521085166819517E-6</v>
      </c>
      <c r="Z38" s="73">
        <f t="shared" si="12"/>
        <v>1.430265182979642E-5</v>
      </c>
      <c r="AA38" s="73">
        <f t="shared" si="12"/>
        <v>2.312163420649582E-5</v>
      </c>
      <c r="AB38" s="73">
        <f t="shared" si="12"/>
        <v>4.9390733409942364E-7</v>
      </c>
      <c r="AC38" s="56">
        <f t="shared" si="24"/>
        <v>5.0922330715076833E-3</v>
      </c>
      <c r="AD38" s="56">
        <f t="shared" si="24"/>
        <v>15465.613066734286</v>
      </c>
      <c r="AE38" s="56">
        <f t="shared" si="17"/>
        <v>5.0922313948312389E-3</v>
      </c>
      <c r="AF38" s="64">
        <f>IFERROR(s_RadSpec!$G$2*AF2,".")*$B$38</f>
        <v>10.9097520125</v>
      </c>
      <c r="AG38" s="64">
        <f>IFERROR(s_RadSpec!$J$2*AG2,".")*$B$38</f>
        <v>3.5921628040401365E-6</v>
      </c>
      <c r="AH38" s="73">
        <f t="shared" si="18"/>
        <v>0.99998172089607396</v>
      </c>
      <c r="AI38" s="73">
        <f t="shared" si="18"/>
        <v>3.5921628040401365E-6</v>
      </c>
      <c r="AJ38" s="73">
        <f t="shared" si="19"/>
        <v>0.99998172096173532</v>
      </c>
    </row>
    <row r="39" spans="1:36" x14ac:dyDescent="0.25">
      <c r="A39" s="55" t="s">
        <v>297</v>
      </c>
      <c r="B39" s="50">
        <v>1</v>
      </c>
      <c r="C39" s="56">
        <f>IFERROR(C11/$B39,0)</f>
        <v>0</v>
      </c>
      <c r="D39" s="56">
        <f>IFERROR(D11/$B39,0)</f>
        <v>0</v>
      </c>
      <c r="E39" s="56">
        <f>IFERROR(E11/$B39,0)</f>
        <v>709.42571502794306</v>
      </c>
      <c r="F39" s="56">
        <f t="shared" si="20"/>
        <v>709.42571502794306</v>
      </c>
      <c r="G39" s="64">
        <f>IFERROR(s_RadSpec!$I$11*G11,".")*$B$39</f>
        <v>0</v>
      </c>
      <c r="H39" s="64">
        <f>IFERROR(s_RadSpec!$G$11*H11,".")*$B$39</f>
        <v>0</v>
      </c>
      <c r="I39" s="64">
        <f>IFERROR(s_RadSpec!$F$11*I11,".")*$B$39</f>
        <v>7.8309819933453881E-5</v>
      </c>
      <c r="J39" s="73">
        <f t="shared" si="10"/>
        <v>0</v>
      </c>
      <c r="K39" s="73">
        <f t="shared" si="10"/>
        <v>0</v>
      </c>
      <c r="L39" s="73">
        <f t="shared" si="10"/>
        <v>7.8309819933453881E-5</v>
      </c>
      <c r="M39" s="73">
        <f t="shared" si="14"/>
        <v>7.8309819933453881E-5</v>
      </c>
      <c r="N39" s="56">
        <f t="shared" ref="N39:AD39" si="25">IFERROR(N11/$B39,0)</f>
        <v>709.42571502794306</v>
      </c>
      <c r="O39" s="56">
        <f t="shared" si="25"/>
        <v>3677.4492926136886</v>
      </c>
      <c r="P39" s="56">
        <f t="shared" si="25"/>
        <v>1034.4019530920518</v>
      </c>
      <c r="Q39" s="56">
        <f t="shared" si="25"/>
        <v>688.92942310004071</v>
      </c>
      <c r="R39" s="56">
        <f t="shared" si="25"/>
        <v>6947.44336982204</v>
      </c>
      <c r="S39" s="64">
        <f>IFERROR(s_RadSpec!$F$11*S11,".")*$B$39</f>
        <v>7.8309819933453881E-5</v>
      </c>
      <c r="T39" s="64">
        <f>IFERROR(s_RadSpec!$M$11*T11,".")*$B$39</f>
        <v>1.5106938418317433E-5</v>
      </c>
      <c r="U39" s="64">
        <f>IFERROR(s_RadSpec!$N$11*U11,".")*$B$39</f>
        <v>5.370736185670767E-5</v>
      </c>
      <c r="V39" s="64">
        <f>IFERROR(s_RadSpec!$O$11*V11,".")*$B$39</f>
        <v>8.0639610005352815E-5</v>
      </c>
      <c r="W39" s="64">
        <f>IFERROR(s_RadSpec!$K$11*W11,".")*$B$39</f>
        <v>7.9964667637763043E-6</v>
      </c>
      <c r="X39" s="73">
        <f t="shared" si="16"/>
        <v>7.8309819933453881E-5</v>
      </c>
      <c r="Y39" s="73">
        <f t="shared" si="12"/>
        <v>1.5106938418317433E-5</v>
      </c>
      <c r="Z39" s="73">
        <f t="shared" si="12"/>
        <v>5.370736185670767E-5</v>
      </c>
      <c r="AA39" s="73">
        <f t="shared" si="12"/>
        <v>8.0639610005352815E-5</v>
      </c>
      <c r="AB39" s="73">
        <f t="shared" si="12"/>
        <v>7.9964667637763043E-6</v>
      </c>
      <c r="AC39" s="56">
        <f t="shared" si="25"/>
        <v>0</v>
      </c>
      <c r="AD39" s="56">
        <f t="shared" si="25"/>
        <v>6910.1675404557436</v>
      </c>
      <c r="AE39" s="56">
        <f t="shared" si="17"/>
        <v>6910.1675404557436</v>
      </c>
      <c r="AF39" s="64">
        <f>IFERROR(s_RadSpec!$G$11*AF11,".")*$B$39</f>
        <v>0</v>
      </c>
      <c r="AG39" s="64">
        <f>IFERROR(s_RadSpec!$J$11*AG11,".")*$B$39</f>
        <v>8.0396024661850677E-6</v>
      </c>
      <c r="AH39" s="73">
        <f t="shared" si="18"/>
        <v>0</v>
      </c>
      <c r="AI39" s="73">
        <f t="shared" si="18"/>
        <v>8.0396024661850677E-6</v>
      </c>
      <c r="AJ39" s="73">
        <f t="shared" si="19"/>
        <v>8.0396024661850677E-6</v>
      </c>
    </row>
    <row r="40" spans="1:36" x14ac:dyDescent="0.25">
      <c r="A40" s="55" t="s">
        <v>298</v>
      </c>
      <c r="B40" s="50">
        <v>1</v>
      </c>
      <c r="C40" s="56">
        <f>IFERROR(C4/$B40,0)</f>
        <v>0</v>
      </c>
      <c r="D40" s="56">
        <f>IFERROR(D4/$B40,0)</f>
        <v>0</v>
      </c>
      <c r="E40" s="56">
        <f>IFERROR(E4/$B40,0)</f>
        <v>44095.638253448538</v>
      </c>
      <c r="F40" s="56">
        <f t="shared" si="20"/>
        <v>44095.638253448538</v>
      </c>
      <c r="G40" s="64">
        <f>IFERROR(s_RadSpec!$I$4*G4,".")*$B$40</f>
        <v>0</v>
      </c>
      <c r="H40" s="64">
        <f>IFERROR(s_RadSpec!$G$4*H4,".")*$B$40</f>
        <v>0</v>
      </c>
      <c r="I40" s="64">
        <f>IFERROR(s_RadSpec!$F$4*I4,".")*$B$40</f>
        <v>1.2598751758776335E-6</v>
      </c>
      <c r="J40" s="73">
        <f t="shared" si="10"/>
        <v>0</v>
      </c>
      <c r="K40" s="73">
        <f t="shared" si="10"/>
        <v>0</v>
      </c>
      <c r="L40" s="73">
        <f t="shared" si="10"/>
        <v>1.2598751758776335E-6</v>
      </c>
      <c r="M40" s="73">
        <f t="shared" si="14"/>
        <v>1.2598751758776335E-6</v>
      </c>
      <c r="N40" s="56">
        <f t="shared" ref="N40:AD40" si="26">IFERROR(N4/$B40,0)</f>
        <v>44095.638253448538</v>
      </c>
      <c r="O40" s="56">
        <f t="shared" si="26"/>
        <v>310940.3555484417</v>
      </c>
      <c r="P40" s="56">
        <f t="shared" si="26"/>
        <v>81084.150028887088</v>
      </c>
      <c r="Q40" s="56">
        <f t="shared" si="26"/>
        <v>48056.821361261245</v>
      </c>
      <c r="R40" s="56">
        <f t="shared" si="26"/>
        <v>585591.17437149212</v>
      </c>
      <c r="S40" s="64">
        <f>IFERROR(s_RadSpec!$F$4*S4,".")*$B$40</f>
        <v>1.2598751758776335E-6</v>
      </c>
      <c r="T40" s="64">
        <f>IFERROR(s_RadSpec!$M$4*T4,".")*$B$40</f>
        <v>1.7866770590781361E-7</v>
      </c>
      <c r="U40" s="64">
        <f>IFERROR(s_RadSpec!$N$4*U4,".")*$B$40</f>
        <v>6.8515240007088855E-7</v>
      </c>
      <c r="V40" s="64">
        <f>IFERROR(s_RadSpec!$O$4*V4,".")*$B$40</f>
        <v>1.1560273531695345E-6</v>
      </c>
      <c r="W40" s="64">
        <f>IFERROR(s_RadSpec!$K$4*W4,".")*$B$40</f>
        <v>9.4869940722085697E-8</v>
      </c>
      <c r="X40" s="73">
        <f t="shared" si="16"/>
        <v>1.2598751758776335E-6</v>
      </c>
      <c r="Y40" s="73">
        <f t="shared" si="12"/>
        <v>1.7866770590781361E-7</v>
      </c>
      <c r="Z40" s="73">
        <f t="shared" si="12"/>
        <v>6.8515240007088855E-7</v>
      </c>
      <c r="AA40" s="73">
        <f t="shared" si="12"/>
        <v>1.1560273531695345E-6</v>
      </c>
      <c r="AB40" s="73">
        <f t="shared" si="12"/>
        <v>9.4869940722085697E-8</v>
      </c>
      <c r="AC40" s="56">
        <f t="shared" si="26"/>
        <v>0</v>
      </c>
      <c r="AD40" s="56">
        <f t="shared" si="26"/>
        <v>815829.5888073945</v>
      </c>
      <c r="AE40" s="56">
        <f t="shared" si="17"/>
        <v>815829.5888073945</v>
      </c>
      <c r="AF40" s="64">
        <f>IFERROR(s_RadSpec!$G$4*AF4,".")*$B$40</f>
        <v>0</v>
      </c>
      <c r="AG40" s="64">
        <f>IFERROR(s_RadSpec!$J$4*AG4,".")*$B$40</f>
        <v>6.8096328892915056E-8</v>
      </c>
      <c r="AH40" s="73">
        <f t="shared" si="18"/>
        <v>0</v>
      </c>
      <c r="AI40" s="73">
        <f t="shared" si="18"/>
        <v>6.8096328892915056E-8</v>
      </c>
      <c r="AJ40" s="73">
        <f t="shared" si="19"/>
        <v>6.8096328892915056E-8</v>
      </c>
    </row>
    <row r="41" spans="1:36" x14ac:dyDescent="0.25">
      <c r="A41" s="55" t="s">
        <v>299</v>
      </c>
      <c r="B41" s="57">
        <v>0.99987999999999999</v>
      </c>
      <c r="C41" s="56">
        <f>IFERROR(C8/$B41,0)</f>
        <v>57346.495511840811</v>
      </c>
      <c r="D41" s="56">
        <f>IFERROR(D8/$B41,0)</f>
        <v>609872.65018786862</v>
      </c>
      <c r="E41" s="56">
        <f>IFERROR(E8/$B41,0)</f>
        <v>48.627010521460903</v>
      </c>
      <c r="F41" s="56">
        <f t="shared" si="20"/>
        <v>48.581941835101333</v>
      </c>
      <c r="G41" s="64">
        <f>IFERROR(s_RadSpec!$I$8*G8,".")*$B$41</f>
        <v>9.6876015707933008E-7</v>
      </c>
      <c r="H41" s="64">
        <f>IFERROR(s_RadSpec!$G$8*H8,".")*$B$41</f>
        <v>9.1092787949888451E-8</v>
      </c>
      <c r="I41" s="64">
        <f>IFERROR(s_RadSpec!$F$8*I8,".")*$B$41</f>
        <v>1.1424720418599763E-3</v>
      </c>
      <c r="J41" s="73">
        <f t="shared" si="10"/>
        <v>9.6876015707933008E-7</v>
      </c>
      <c r="K41" s="73">
        <f t="shared" si="10"/>
        <v>9.1092787949888451E-8</v>
      </c>
      <c r="L41" s="73">
        <f t="shared" si="10"/>
        <v>1.1424720418599763E-3</v>
      </c>
      <c r="M41" s="73">
        <f t="shared" si="14"/>
        <v>1.1435318948050054E-3</v>
      </c>
      <c r="N41" s="56">
        <f t="shared" ref="N41:AD41" si="27">IFERROR(N8/$B41,0)</f>
        <v>48.627010521460903</v>
      </c>
      <c r="O41" s="56">
        <f t="shared" si="27"/>
        <v>411.78607051687459</v>
      </c>
      <c r="P41" s="56">
        <f t="shared" si="27"/>
        <v>107.58879036552706</v>
      </c>
      <c r="Q41" s="56">
        <f t="shared" si="27"/>
        <v>65.205562574303855</v>
      </c>
      <c r="R41" s="56">
        <f t="shared" si="27"/>
        <v>746.69567690809401</v>
      </c>
      <c r="S41" s="64">
        <f>IFERROR(s_RadSpec!$F$8*S8,".")*$B$41</f>
        <v>1.1424720418599763E-3</v>
      </c>
      <c r="T41" s="64">
        <f>IFERROR(s_RadSpec!$M$8*T8,".")*$B$41</f>
        <v>1.3491228571735624E-4</v>
      </c>
      <c r="U41" s="64">
        <f>IFERROR(s_RadSpec!$N$8*U8,".")*$B$41</f>
        <v>5.1636420310382635E-4</v>
      </c>
      <c r="V41" s="64">
        <f>IFERROR(s_RadSpec!$O$8*V8,".")*$B$41</f>
        <v>8.5199786347511786E-4</v>
      </c>
      <c r="W41" s="64">
        <f>IFERROR(s_RadSpec!$K$8*W8,".")*$B$41</f>
        <v>7.4401127150007491E-5</v>
      </c>
      <c r="X41" s="73">
        <f t="shared" si="16"/>
        <v>1.1424720418599763E-3</v>
      </c>
      <c r="Y41" s="73">
        <f t="shared" si="12"/>
        <v>1.3491228571735624E-4</v>
      </c>
      <c r="Z41" s="73">
        <f t="shared" si="12"/>
        <v>5.1636420310382635E-4</v>
      </c>
      <c r="AA41" s="73">
        <f t="shared" si="12"/>
        <v>8.5199786347511786E-4</v>
      </c>
      <c r="AB41" s="73">
        <f t="shared" si="12"/>
        <v>7.4401127150007491E-5</v>
      </c>
      <c r="AC41" s="56">
        <f t="shared" si="27"/>
        <v>1.9658378661459035</v>
      </c>
      <c r="AD41" s="56">
        <f t="shared" si="27"/>
        <v>1495.8670835302471</v>
      </c>
      <c r="AE41" s="56">
        <f t="shared" si="17"/>
        <v>1.9632577929876969</v>
      </c>
      <c r="AF41" s="64">
        <f>IFERROR(s_RadSpec!$G$8*AF8,".")*$B$41</f>
        <v>2.826021461725E-2</v>
      </c>
      <c r="AG41" s="64">
        <f>IFERROR(s_RadSpec!$J$8*AG8,".")*$B$41</f>
        <v>3.7138994909153403E-5</v>
      </c>
      <c r="AH41" s="73">
        <f t="shared" si="18"/>
        <v>2.7864629947285002E-2</v>
      </c>
      <c r="AI41" s="73">
        <f t="shared" si="18"/>
        <v>3.7138994909153403E-5</v>
      </c>
      <c r="AJ41" s="73">
        <f t="shared" si="19"/>
        <v>2.7900733407417166E-2</v>
      </c>
    </row>
    <row r="42" spans="1:36" x14ac:dyDescent="0.25">
      <c r="A42" s="55" t="s">
        <v>300</v>
      </c>
      <c r="B42" s="50">
        <v>0.97898250799999997</v>
      </c>
      <c r="C42" s="56">
        <f>IFERROR(C19/$B42,0)</f>
        <v>0</v>
      </c>
      <c r="D42" s="56">
        <f>IFERROR(D19/$B42,0)</f>
        <v>0</v>
      </c>
      <c r="E42" s="56">
        <f>IFERROR(E19/$B42,0)</f>
        <v>108021.53145287668</v>
      </c>
      <c r="F42" s="56">
        <f t="shared" si="20"/>
        <v>108021.53145287668</v>
      </c>
      <c r="G42" s="74">
        <f>IFERROR(s_RadSpec!$I$19*G19,".")*$B$42</f>
        <v>0</v>
      </c>
      <c r="H42" s="74">
        <f>IFERROR(s_RadSpec!$G$19*H19,".")*$B$42</f>
        <v>0</v>
      </c>
      <c r="I42" s="74">
        <f>IFERROR(s_RadSpec!$F$19*I19,".")*$B$42</f>
        <v>5.1429561544621608E-7</v>
      </c>
      <c r="J42" s="73">
        <f t="shared" si="10"/>
        <v>0</v>
      </c>
      <c r="K42" s="73">
        <f t="shared" si="10"/>
        <v>0</v>
      </c>
      <c r="L42" s="73">
        <f t="shared" si="10"/>
        <v>5.1429561544621608E-7</v>
      </c>
      <c r="M42" s="73">
        <f t="shared" si="14"/>
        <v>5.1429561544621608E-7</v>
      </c>
      <c r="N42" s="56">
        <f t="shared" ref="N42:AD42" si="28">IFERROR(N19/$B42,0)</f>
        <v>108021.53145287668</v>
      </c>
      <c r="O42" s="56">
        <f t="shared" si="28"/>
        <v>1071251.464943225</v>
      </c>
      <c r="P42" s="56">
        <f t="shared" si="28"/>
        <v>263683.82922753727</v>
      </c>
      <c r="Q42" s="56">
        <f t="shared" si="28"/>
        <v>141218.09123308066</v>
      </c>
      <c r="R42" s="56">
        <f t="shared" si="28"/>
        <v>1895966.8498678387</v>
      </c>
      <c r="S42" s="74">
        <f>IFERROR(s_RadSpec!$F$19*S19,".")*$B$42</f>
        <v>5.1429561544621608E-7</v>
      </c>
      <c r="T42" s="74">
        <f>IFERROR(s_RadSpec!$M$19*T19,".")*$B$42</f>
        <v>5.1859905743927566E-8</v>
      </c>
      <c r="U42" s="74">
        <f>IFERROR(s_RadSpec!$N$19*U19,".")*$B$42</f>
        <v>2.1068792941436174E-7</v>
      </c>
      <c r="V42" s="74">
        <f>IFERROR(s_RadSpec!$O$19*V19,".")*$B$42</f>
        <v>3.9339860434954036E-7</v>
      </c>
      <c r="W42" s="74">
        <f>IFERROR(s_RadSpec!$K$19*W19,".")*$B$42</f>
        <v>2.9301672655232621E-8</v>
      </c>
      <c r="X42" s="73">
        <f t="shared" si="16"/>
        <v>5.1429561544621608E-7</v>
      </c>
      <c r="Y42" s="73">
        <f t="shared" si="12"/>
        <v>5.1859905743927566E-8</v>
      </c>
      <c r="Z42" s="73">
        <f t="shared" si="12"/>
        <v>2.1068792941436174E-7</v>
      </c>
      <c r="AA42" s="73">
        <f t="shared" si="12"/>
        <v>3.9339860434954036E-7</v>
      </c>
      <c r="AB42" s="73">
        <f t="shared" si="12"/>
        <v>2.9301672655232621E-8</v>
      </c>
      <c r="AC42" s="56">
        <f t="shared" si="28"/>
        <v>0</v>
      </c>
      <c r="AD42" s="56">
        <f t="shared" si="28"/>
        <v>5048376.2083323523</v>
      </c>
      <c r="AE42" s="56">
        <f t="shared" si="17"/>
        <v>5048376.2083323523</v>
      </c>
      <c r="AF42" s="74">
        <f>IFERROR(s_RadSpec!$G$19*AF19,".")*$B$42</f>
        <v>0</v>
      </c>
      <c r="AG42" s="74">
        <f>IFERROR(s_RadSpec!$J$19*AG19,".")*$B$42</f>
        <v>1.1004528527074977E-8</v>
      </c>
      <c r="AH42" s="73">
        <f t="shared" si="18"/>
        <v>0</v>
      </c>
      <c r="AI42" s="73">
        <f t="shared" si="18"/>
        <v>1.1004528527074977E-8</v>
      </c>
      <c r="AJ42" s="73">
        <f t="shared" si="19"/>
        <v>1.1004528527074977E-8</v>
      </c>
    </row>
    <row r="43" spans="1:36" x14ac:dyDescent="0.25">
      <c r="A43" s="55" t="s">
        <v>301</v>
      </c>
      <c r="B43" s="50">
        <v>2.0897492E-2</v>
      </c>
      <c r="C43" s="56">
        <f>IFERROR(C28/$B43,0)</f>
        <v>0</v>
      </c>
      <c r="D43" s="56">
        <f>IFERROR(D28/$B43,0)</f>
        <v>0</v>
      </c>
      <c r="E43" s="56">
        <f>IFERROR(E28/$B43,0)</f>
        <v>60.296907373755609</v>
      </c>
      <c r="F43" s="56">
        <f t="shared" si="20"/>
        <v>60.296907373755609</v>
      </c>
      <c r="G43" s="74">
        <f>IFERROR(s_RadSpec!$I$28*G28,".")*$B$43</f>
        <v>0</v>
      </c>
      <c r="H43" s="74">
        <f>IFERROR(s_RadSpec!$G$28*H28,".")*$B$43</f>
        <v>0</v>
      </c>
      <c r="I43" s="74">
        <f>IFERROR(s_RadSpec!$F$28*I28,".")*$B$43</f>
        <v>9.2135737004947059E-4</v>
      </c>
      <c r="J43" s="73">
        <f t="shared" si="10"/>
        <v>0</v>
      </c>
      <c r="K43" s="73">
        <f t="shared" si="10"/>
        <v>0</v>
      </c>
      <c r="L43" s="73">
        <f t="shared" si="10"/>
        <v>9.2135737004947059E-4</v>
      </c>
      <c r="M43" s="73">
        <f t="shared" si="14"/>
        <v>9.2135737004947059E-4</v>
      </c>
      <c r="N43" s="56">
        <f t="shared" ref="N43:AD43" si="29">IFERROR(N28/$B43,0)</f>
        <v>60.296907373755609</v>
      </c>
      <c r="O43" s="56">
        <f t="shared" si="29"/>
        <v>728.29076125832989</v>
      </c>
      <c r="P43" s="56">
        <f t="shared" si="29"/>
        <v>176.02626392206844</v>
      </c>
      <c r="Q43" s="56">
        <f t="shared" si="29"/>
        <v>95.773474101106245</v>
      </c>
      <c r="R43" s="56">
        <f t="shared" si="29"/>
        <v>1314.1290141825075</v>
      </c>
      <c r="S43" s="74">
        <f>IFERROR(s_RadSpec!$F$28*S28,".")*$B$43</f>
        <v>9.2135737004947059E-4</v>
      </c>
      <c r="T43" s="74">
        <f>IFERROR(s_RadSpec!$M$28*T28,".")*$B$43</f>
        <v>7.6281346620425203E-5</v>
      </c>
      <c r="U43" s="74">
        <f>IFERROR(s_RadSpec!$N$28*U28,".")*$B$43</f>
        <v>3.1560631216143788E-4</v>
      </c>
      <c r="V43" s="74">
        <f>IFERROR(s_RadSpec!$O$28*V28,".")*$B$43</f>
        <v>5.8006666795183421E-4</v>
      </c>
      <c r="W43" s="74">
        <f>IFERROR(s_RadSpec!$K$28*W28,".")*$B$43</f>
        <v>4.2275149091476074E-5</v>
      </c>
      <c r="X43" s="73">
        <f t="shared" si="16"/>
        <v>9.2135737004947059E-4</v>
      </c>
      <c r="Y43" s="73">
        <f t="shared" si="12"/>
        <v>7.6281346620425203E-5</v>
      </c>
      <c r="Z43" s="73">
        <f t="shared" si="12"/>
        <v>3.1560631216143788E-4</v>
      </c>
      <c r="AA43" s="73">
        <f t="shared" si="12"/>
        <v>5.8006666795183421E-4</v>
      </c>
      <c r="AB43" s="73">
        <f t="shared" si="12"/>
        <v>4.2275149091476074E-5</v>
      </c>
      <c r="AC43" s="56">
        <f t="shared" si="29"/>
        <v>0</v>
      </c>
      <c r="AD43" s="56">
        <f t="shared" si="29"/>
        <v>3980.1341468654027</v>
      </c>
      <c r="AE43" s="56">
        <f t="shared" si="17"/>
        <v>3980.1341468654027</v>
      </c>
      <c r="AF43" s="74">
        <f>IFERROR(s_RadSpec!$G$28*AF28,".")*$B$43</f>
        <v>0</v>
      </c>
      <c r="AG43" s="74">
        <f>IFERROR(s_RadSpec!$J$28*AG28,".")*$B$43</f>
        <v>1.3958072253356821E-5</v>
      </c>
      <c r="AH43" s="73">
        <f t="shared" si="18"/>
        <v>0</v>
      </c>
      <c r="AI43" s="73">
        <f t="shared" si="18"/>
        <v>1.3958072253356821E-5</v>
      </c>
      <c r="AJ43" s="73">
        <f t="shared" si="19"/>
        <v>1.3958072253356821E-5</v>
      </c>
    </row>
    <row r="44" spans="1:36" x14ac:dyDescent="0.25">
      <c r="A44" s="55" t="s">
        <v>302</v>
      </c>
      <c r="B44" s="50">
        <v>0.99987999999999999</v>
      </c>
      <c r="C44" s="56">
        <f>IFERROR(C15/$B44,0)</f>
        <v>148927.11107165928</v>
      </c>
      <c r="D44" s="56">
        <f>IFERROR(D15/$B44,0)</f>
        <v>217036530.31596744</v>
      </c>
      <c r="E44" s="56">
        <f>IFERROR(E15/$B44,0)</f>
        <v>0</v>
      </c>
      <c r="F44" s="56">
        <f t="shared" si="20"/>
        <v>148824.9896650287</v>
      </c>
      <c r="G44" s="64">
        <f>IFERROR(s_RadSpec!$I$15*G15,".")*$B$44</f>
        <v>3.7303483294770001E-7</v>
      </c>
      <c r="H44" s="64">
        <f>IFERROR(s_RadSpec!$G$15*H15,".")*$B$44</f>
        <v>2.5597073413918655E-10</v>
      </c>
      <c r="I44" s="64">
        <f>IFERROR(s_RadSpec!$F$15*I15,".")*$B$44</f>
        <v>0</v>
      </c>
      <c r="J44" s="73">
        <f t="shared" si="10"/>
        <v>3.7303483294770001E-7</v>
      </c>
      <c r="K44" s="73">
        <f t="shared" si="10"/>
        <v>2.5597073413918655E-10</v>
      </c>
      <c r="L44" s="73">
        <f t="shared" si="10"/>
        <v>0</v>
      </c>
      <c r="M44" s="73">
        <f t="shared" si="14"/>
        <v>3.7329080368183921E-7</v>
      </c>
      <c r="N44" s="56">
        <f t="shared" ref="N44:AD44" si="30">IFERROR(N15/$B44,0)</f>
        <v>0</v>
      </c>
      <c r="O44" s="56">
        <f t="shared" si="30"/>
        <v>0</v>
      </c>
      <c r="P44" s="56">
        <f t="shared" si="30"/>
        <v>0</v>
      </c>
      <c r="Q44" s="56">
        <f t="shared" si="30"/>
        <v>0</v>
      </c>
      <c r="R44" s="56">
        <f t="shared" si="30"/>
        <v>0</v>
      </c>
      <c r="S44" s="64">
        <f>IFERROR(s_RadSpec!$F$15*S15,".")*$B$44</f>
        <v>0</v>
      </c>
      <c r="T44" s="64">
        <f>IFERROR(s_RadSpec!$M$15*T15,".")*$B$44</f>
        <v>0</v>
      </c>
      <c r="U44" s="64">
        <f>IFERROR(s_RadSpec!$N$15*U15,".")*$B$44</f>
        <v>0</v>
      </c>
      <c r="V44" s="64">
        <f>IFERROR(s_RadSpec!$O$15*V15,".")*$B$44</f>
        <v>0</v>
      </c>
      <c r="W44" s="64">
        <f>IFERROR(s_RadSpec!$K$15*W15,".")*$B$44</f>
        <v>0</v>
      </c>
      <c r="X44" s="73">
        <f t="shared" si="16"/>
        <v>0</v>
      </c>
      <c r="Y44" s="73">
        <f t="shared" si="12"/>
        <v>0</v>
      </c>
      <c r="Z44" s="73">
        <f t="shared" si="12"/>
        <v>0</v>
      </c>
      <c r="AA44" s="73">
        <f t="shared" si="12"/>
        <v>0</v>
      </c>
      <c r="AB44" s="73">
        <f t="shared" si="12"/>
        <v>0</v>
      </c>
      <c r="AC44" s="56">
        <f t="shared" si="30"/>
        <v>699.58642923341756</v>
      </c>
      <c r="AD44" s="56">
        <f t="shared" si="30"/>
        <v>467202.3219793099</v>
      </c>
      <c r="AE44" s="56">
        <f t="shared" si="17"/>
        <v>698.54043826143766</v>
      </c>
      <c r="AF44" s="64">
        <f>IFERROR(s_RadSpec!$G$15*AF15,".")*$B$44</f>
        <v>7.941120307447251E-5</v>
      </c>
      <c r="AG44" s="64">
        <f>IFERROR(s_RadSpec!$J$15*AG15,".")*$B$44</f>
        <v>1.1890993984071047E-7</v>
      </c>
      <c r="AH44" s="73">
        <f t="shared" si="18"/>
        <v>7.941120307447251E-5</v>
      </c>
      <c r="AI44" s="73">
        <f t="shared" si="18"/>
        <v>1.1890993984071047E-7</v>
      </c>
      <c r="AJ44" s="73">
        <f t="shared" si="19"/>
        <v>7.9530113014313219E-5</v>
      </c>
    </row>
    <row r="45" spans="1:36" x14ac:dyDescent="0.25">
      <c r="A45" s="52" t="s">
        <v>20</v>
      </c>
      <c r="B45" s="52" t="s">
        <v>289</v>
      </c>
      <c r="C45" s="53">
        <f>IFERROR(IF(AND(C46&lt;&gt;0,C47&lt;&gt;0),1/SUM(1/C46,1/C47),IF(AND(C46&lt;&gt;0,C47=0),1/(1/C46),IF(AND(C46=0,C47&lt;&gt;0),1/(1/C47),IF(AND(C46=0,C47=0),".")))),".")</f>
        <v>572.06110756751025</v>
      </c>
      <c r="D45" s="53">
        <f t="shared" ref="D45:F45" si="31">IFERROR(IF(AND(D46&lt;&gt;0,D47&lt;&gt;0),1/SUM(1/D46,1/D47),IF(AND(D46&lt;&gt;0,D47=0),1/(1/D46),IF(AND(D46=0,D47&lt;&gt;0),1/(1/D47),IF(AND(D46=0,D47=0),".")))),".")</f>
        <v>401183.85886174074</v>
      </c>
      <c r="E45" s="53">
        <f t="shared" si="31"/>
        <v>8.3701377374066155</v>
      </c>
      <c r="F45" s="54">
        <f t="shared" si="31"/>
        <v>8.2492661210407867</v>
      </c>
      <c r="G45" s="71"/>
      <c r="H45" s="71"/>
      <c r="I45" s="71"/>
      <c r="J45" s="72">
        <f>IFERROR(IF(SUM(G46:G47)&gt;0.01,1-EXP(-SUM(G46:G47)),SUM(G46:G47)),".")</f>
        <v>9.7113751074999995E-5</v>
      </c>
      <c r="K45" s="72">
        <f>IFERROR(IF(SUM(H46:H47)&gt;0.01,1-EXP(-SUM(H46:H47)),SUM(H46:H47)),".")</f>
        <v>1.3847765500243074E-7</v>
      </c>
      <c r="L45" s="72">
        <f>IFERROR(IF(SUM(I46:I47)&gt;0.01,1-EXP(-SUM(I46:I47)),SUM(I46:I47)),".")</f>
        <v>6.6372862362493266E-3</v>
      </c>
      <c r="M45" s="72">
        <f>IFERROR(IF(SUM(G46:I47)&gt;0.01,1-EXP(-SUM(G46:I47)),SUM(G46:I47)),".")</f>
        <v>6.7345384649793293E-3</v>
      </c>
      <c r="N45" s="53">
        <f t="shared" ref="N45:AE45" si="32">IFERROR(IF(AND(N46&lt;&gt;0,N47&lt;&gt;0),1/SUM(1/N46,1/N47),IF(AND(N46&lt;&gt;0,N47=0),1/(1/N46),IF(AND(N46=0,N47&lt;&gt;0),1/(1/N47),IF(AND(N46=0,N47=0),".")))),".")</f>
        <v>8.3701377374066155</v>
      </c>
      <c r="O45" s="53">
        <f t="shared" si="32"/>
        <v>76.646785899179548</v>
      </c>
      <c r="P45" s="53">
        <f t="shared" si="32"/>
        <v>19.208749778479916</v>
      </c>
      <c r="Q45" s="53">
        <f t="shared" si="32"/>
        <v>10.244603505825365</v>
      </c>
      <c r="R45" s="53">
        <f t="shared" si="32"/>
        <v>131.39989602473489</v>
      </c>
      <c r="S45" s="71"/>
      <c r="T45" s="71"/>
      <c r="U45" s="71"/>
      <c r="V45" s="71"/>
      <c r="W45" s="71"/>
      <c r="X45" s="72">
        <f>IFERROR(IF(SUM(S46:S47)&gt;0.01,1-EXP(-SUM(S46:S47)),SUM(S46:S47)),".")</f>
        <v>6.6372862362493266E-3</v>
      </c>
      <c r="Y45" s="72">
        <f t="shared" ref="Y45:AB45" si="33">IFERROR(IF(SUM(T46:T47)&gt;0.01,1-EXP(-SUM(T46:T47)),SUM(T46:T47)),".")</f>
        <v>7.2481839059861553E-4</v>
      </c>
      <c r="Z45" s="72">
        <f t="shared" si="33"/>
        <v>2.8921715697624297E-3</v>
      </c>
      <c r="AA45" s="72">
        <f t="shared" si="33"/>
        <v>5.422855063976841E-3</v>
      </c>
      <c r="AB45" s="72">
        <f t="shared" si="33"/>
        <v>4.2279333302929151E-4</v>
      </c>
      <c r="AC45" s="53">
        <f t="shared" si="32"/>
        <v>1.29315918789603</v>
      </c>
      <c r="AD45" s="53">
        <f t="shared" si="32"/>
        <v>334.26324663385128</v>
      </c>
      <c r="AE45" s="54">
        <f t="shared" si="32"/>
        <v>1.2881756421903692</v>
      </c>
      <c r="AF45" s="71"/>
      <c r="AG45" s="71"/>
      <c r="AH45" s="72">
        <f>IFERROR(IF(SUM(AF46:AF47)&gt;0.01,1-EXP(-SUM(AF46:AF47)),SUM(AF46:AF47)),".")</f>
        <v>4.2050945553530394E-2</v>
      </c>
      <c r="AI45" s="72">
        <f>IFERROR(IF(SUM(AG46:AG47)&gt;0.01,1-EXP(-SUM(AG46:AG47)),SUM(AG46:AG47)),".")</f>
        <v>1.6620134148596482E-4</v>
      </c>
      <c r="AJ45" s="72">
        <f>IFERROR(IF(SUM(AF46:AG47)&gt;0.01,1-EXP(-SUM(AF46:AG47)),SUM(AF46:AG47)),".")</f>
        <v>4.2210144741528843E-2</v>
      </c>
    </row>
    <row r="46" spans="1:36" x14ac:dyDescent="0.25">
      <c r="A46" s="55" t="s">
        <v>303</v>
      </c>
      <c r="B46" s="50">
        <v>1</v>
      </c>
      <c r="C46" s="56">
        <f>IFERROR(C10/$B46,0)</f>
        <v>572.06110756751025</v>
      </c>
      <c r="D46" s="56">
        <f>IFERROR(D10/$B46,0)</f>
        <v>401183.85886174068</v>
      </c>
      <c r="E46" s="56">
        <f>IFERROR(E10/$B46,0)</f>
        <v>45043.189346158862</v>
      </c>
      <c r="F46" s="56">
        <f t="shared" si="20"/>
        <v>564.09261551981729</v>
      </c>
      <c r="G46" s="64">
        <f>IFERROR(s_RadSpec!$I$10*G10,".")*$B$46</f>
        <v>9.7113751074999995E-5</v>
      </c>
      <c r="H46" s="64">
        <f>IFERROR(s_RadSpec!$G$10*H10,".")*$B$46</f>
        <v>1.3847765500243074E-7</v>
      </c>
      <c r="I46" s="64">
        <f>IFERROR(s_RadSpec!$F$10*I10,".")*$B$46</f>
        <v>1.2333718106206335E-6</v>
      </c>
      <c r="J46" s="73">
        <f t="shared" ref="J46:L47" si="34">IFERROR(IF(G46&gt;0.01,1-EXP(-G46),G46),".")</f>
        <v>9.7113751074999995E-5</v>
      </c>
      <c r="K46" s="73">
        <f t="shared" si="34"/>
        <v>1.3847765500243074E-7</v>
      </c>
      <c r="L46" s="73">
        <f t="shared" si="34"/>
        <v>1.2333718106206335E-6</v>
      </c>
      <c r="M46" s="73">
        <f t="shared" ref="M46:M47" si="35">IFERROR(IF(SUM(G46:I46)&gt;0.01,1-EXP(-SUM(G46:I46)),SUM(G46:I46)),".")</f>
        <v>9.8485600540623052E-5</v>
      </c>
      <c r="N46" s="56">
        <f t="shared" ref="N46:AD46" si="36">IFERROR(N10/$B46,0)</f>
        <v>45043.189346158862</v>
      </c>
      <c r="O46" s="56">
        <f t="shared" si="36"/>
        <v>201453.37408933809</v>
      </c>
      <c r="P46" s="56">
        <f t="shared" si="36"/>
        <v>65277.528591987262</v>
      </c>
      <c r="Q46" s="56">
        <f t="shared" si="36"/>
        <v>46733.764038253066</v>
      </c>
      <c r="R46" s="56">
        <f t="shared" si="36"/>
        <v>117745.0633625421</v>
      </c>
      <c r="S46" s="64">
        <f>IFERROR(s_RadSpec!$F$10*S10,".")*$B46</f>
        <v>1.2333718106206335E-6</v>
      </c>
      <c r="T46" s="64">
        <f>IFERROR(s_RadSpec!$M$10*T10,".")*$B46</f>
        <v>2.7577100781326771E-7</v>
      </c>
      <c r="U46" s="64">
        <f>IFERROR(s_RadSpec!$N$10*U10,".")*$B46</f>
        <v>8.5105856790692447E-7</v>
      </c>
      <c r="V46" s="64">
        <f>IFERROR(s_RadSpec!$O$10*V10,".")*$B46</f>
        <v>1.1887550926676154E-6</v>
      </c>
      <c r="W46" s="64">
        <f>IFERROR(s_RadSpec!$K$10*W10,".")*$B46</f>
        <v>4.7182445202771492E-7</v>
      </c>
      <c r="X46" s="73">
        <f t="shared" ref="X46:AB47" si="37">IFERROR(IF(S46&gt;0.01,1-EXP(-S46),S46),".")</f>
        <v>1.2333718106206335E-6</v>
      </c>
      <c r="Y46" s="73">
        <f t="shared" si="37"/>
        <v>2.7577100781326771E-7</v>
      </c>
      <c r="Z46" s="73">
        <f t="shared" si="37"/>
        <v>8.5105856790692447E-7</v>
      </c>
      <c r="AA46" s="73">
        <f t="shared" si="37"/>
        <v>1.1887550926676154E-6</v>
      </c>
      <c r="AB46" s="73">
        <f t="shared" si="37"/>
        <v>4.7182445202771492E-7</v>
      </c>
      <c r="AC46" s="56">
        <f t="shared" si="36"/>
        <v>1.29315918789603</v>
      </c>
      <c r="AD46" s="56">
        <f t="shared" si="36"/>
        <v>490671.60880790063</v>
      </c>
      <c r="AE46" s="56">
        <f t="shared" ref="AE46:AE47" si="38">IFERROR(IF(AND(AC46&lt;&gt;0,AD46&lt;&gt;0),1/((1/AC46)+(1/AD46)),IF(AND(AC46&lt;&gt;0,AD46=0),1/((1/AC46)),IF(AND(AC46=0,AD46&lt;&gt;0),1/((1/AD46)),IF(AND(AC46=0,AD46=0),0)))),0)</f>
        <v>1.2931557797993558</v>
      </c>
      <c r="AF46" s="64">
        <f>IFERROR(s_RadSpec!$G$10*AF10,".")*$B$46</f>
        <v>4.29606815E-2</v>
      </c>
      <c r="AG46" s="64">
        <f>IFERROR(s_RadSpec!$J$10*AG10,".")*$B$46</f>
        <v>1.1322236502530136E-7</v>
      </c>
      <c r="AH46" s="73">
        <f>IFERROR(IF(AF46&gt;0.01,1-EXP(-AF46),AF46),".")</f>
        <v>4.2050945553530394E-2</v>
      </c>
      <c r="AI46" s="73">
        <f>IFERROR(IF(AG46&gt;0.01,1-EXP(-AG46),AG46),".")</f>
        <v>1.1322236502530136E-7</v>
      </c>
      <c r="AJ46" s="73">
        <f>IFERROR(IF(SUM(AF46:AG46)&gt;0.01,1-EXP(-SUM(AF46:AG46)),SUM(AF46:AG46)),".")</f>
        <v>4.2051054014781708E-2</v>
      </c>
    </row>
    <row r="47" spans="1:36" x14ac:dyDescent="0.25">
      <c r="A47" s="55" t="s">
        <v>304</v>
      </c>
      <c r="B47" s="58">
        <v>0.94399</v>
      </c>
      <c r="C47" s="56">
        <f>IFERROR(C6/$B$47,0)</f>
        <v>0</v>
      </c>
      <c r="D47" s="56">
        <f>IFERROR(D6/$B$47,0)</f>
        <v>0</v>
      </c>
      <c r="E47" s="56">
        <f>IFERROR(E6/$B$47,0)</f>
        <v>8.3716934049317562</v>
      </c>
      <c r="F47" s="56">
        <f t="shared" si="20"/>
        <v>8.3716934049317562</v>
      </c>
      <c r="G47" s="64">
        <f>IFERROR(s_RadSpec!$I$6*G6,".")*$B$47</f>
        <v>0</v>
      </c>
      <c r="H47" s="64">
        <f>IFERROR(s_RadSpec!$G$6*H6,".")*$B$47</f>
        <v>0</v>
      </c>
      <c r="I47" s="64">
        <f>IFERROR(s_RadSpec!$F$6*I6,".")*$B$47</f>
        <v>6.6360528644387063E-3</v>
      </c>
      <c r="J47" s="73">
        <f t="shared" si="34"/>
        <v>0</v>
      </c>
      <c r="K47" s="73">
        <f t="shared" si="34"/>
        <v>0</v>
      </c>
      <c r="L47" s="73">
        <f t="shared" si="34"/>
        <v>6.6360528644387063E-3</v>
      </c>
      <c r="M47" s="73">
        <f t="shared" si="35"/>
        <v>6.6360528644387063E-3</v>
      </c>
      <c r="N47" s="56">
        <f t="shared" ref="N47:AD47" si="39">IFERROR(N6/$B$47,0)</f>
        <v>8.3716934049317562</v>
      </c>
      <c r="O47" s="56">
        <f t="shared" si="39"/>
        <v>76.675958732939151</v>
      </c>
      <c r="P47" s="56">
        <f t="shared" si="39"/>
        <v>19.21440386318428</v>
      </c>
      <c r="Q47" s="56">
        <f t="shared" si="39"/>
        <v>10.246849738606228</v>
      </c>
      <c r="R47" s="56">
        <f t="shared" si="39"/>
        <v>131.54669812379734</v>
      </c>
      <c r="S47" s="64">
        <f>IFERROR(s_RadSpec!$F$6*S6,".")*$B47</f>
        <v>6.6360528644387063E-3</v>
      </c>
      <c r="T47" s="64">
        <f>IFERROR(s_RadSpec!$M$6*T6,".")*$B47</f>
        <v>7.2454261959080228E-4</v>
      </c>
      <c r="U47" s="64">
        <f>IFERROR(s_RadSpec!$N$6*U6,".")*$B47</f>
        <v>2.8913205111945227E-3</v>
      </c>
      <c r="V47" s="64">
        <f>IFERROR(s_RadSpec!$O$6*V6,".")*$B47</f>
        <v>5.4216663088841738E-3</v>
      </c>
      <c r="W47" s="64">
        <f>IFERROR(s_RadSpec!$K$6*W6,".")*$B47</f>
        <v>4.2232150857726377E-4</v>
      </c>
      <c r="X47" s="73">
        <f t="shared" si="37"/>
        <v>6.6360528644387063E-3</v>
      </c>
      <c r="Y47" s="73">
        <f t="shared" si="37"/>
        <v>7.2454261959080228E-4</v>
      </c>
      <c r="Z47" s="73">
        <f t="shared" si="37"/>
        <v>2.8913205111945227E-3</v>
      </c>
      <c r="AA47" s="73">
        <f t="shared" si="37"/>
        <v>5.4216663088841738E-3</v>
      </c>
      <c r="AB47" s="73">
        <f t="shared" si="37"/>
        <v>4.2232150857726377E-4</v>
      </c>
      <c r="AC47" s="56">
        <f t="shared" si="39"/>
        <v>0</v>
      </c>
      <c r="AD47" s="56">
        <f t="shared" si="39"/>
        <v>334.49111407870663</v>
      </c>
      <c r="AE47" s="56">
        <f t="shared" si="38"/>
        <v>334.49111407870663</v>
      </c>
      <c r="AF47" s="64">
        <f>IFERROR(s_RadSpec!$G$6*AF6,".")*$B$47</f>
        <v>0</v>
      </c>
      <c r="AG47" s="64">
        <f>IFERROR(s_RadSpec!$J$6*AG6,".")*$B$47</f>
        <v>1.6608811912093951E-4</v>
      </c>
      <c r="AH47" s="73">
        <f>IFERROR(IF(AF47&gt;0.01,1-EXP(-AF47),AF47),".")</f>
        <v>0</v>
      </c>
      <c r="AI47" s="73">
        <f>IFERROR(IF(AG47&gt;0.01,1-EXP(-AG47),AG47),".")</f>
        <v>1.6608811912093951E-4</v>
      </c>
      <c r="AJ47" s="73">
        <f>IFERROR(IF(SUM(AF47:AG47)&gt;0.01,1-EXP(-SUM(AF47:AG47)),SUM(AF47:AG47)),".")</f>
        <v>1.6608811912093951E-4</v>
      </c>
    </row>
    <row r="48" spans="1:36" x14ac:dyDescent="0.25">
      <c r="A48" s="52" t="s">
        <v>33</v>
      </c>
      <c r="B48" s="52" t="s">
        <v>289</v>
      </c>
      <c r="C48" s="53">
        <f>1/SUM(1/C49,1/C52,1/C54,1/C58,1/C59,1/C61)</f>
        <v>7.7912347698297344</v>
      </c>
      <c r="D48" s="53">
        <f>1/SUM(1/D49,1/D50,1/D51,1/D52,1/D54,1/D58,1/D59,1/D61)</f>
        <v>762.96119979845787</v>
      </c>
      <c r="E48" s="53">
        <f>1/SUM(1/E49,1/E50,1/E52,1/E54,1/E55,1/E56,1/E57,1/E58,1/E59,1/E60,1/E61,1/E62)</f>
        <v>1.6808536667240068</v>
      </c>
      <c r="F48" s="54">
        <f>1/SUM(1/F49,1/F50,1/F51,1/F52,1/F54,1/F55,1/F56,1/F57,1/F58,1/F59,1/F60,1/F61,1/F62)</f>
        <v>1.3800797046527871</v>
      </c>
      <c r="G48" s="71"/>
      <c r="H48" s="71"/>
      <c r="I48" s="71"/>
      <c r="J48" s="72">
        <f>IFERROR(IF(SUM(G49:G62)&gt;0.01,1-EXP(-SUM(G49:G62)),SUM(G49:G62)),".")</f>
        <v>7.130448721058634E-3</v>
      </c>
      <c r="K48" s="72">
        <f>IFERROR(IF(SUM(H49:H62)&gt;0.01,1-EXP(-SUM(H49:H62)),SUM(H49:H62)),".")</f>
        <v>7.2814974096553362E-5</v>
      </c>
      <c r="L48" s="72">
        <f>IFERROR(IF(SUM(I49:I62)&gt;0.01,1-EXP(-SUM(I49:I62)),SUM(I49:I62)),".")</f>
        <v>3.2511419915769113E-2</v>
      </c>
      <c r="M48" s="72">
        <f>IFERROR(IF(SUM(G49:I62)&gt;0.01,1-EXP(-SUM(G49:I62)),SUM(G49:I62)),".")</f>
        <v>3.94554553954235E-2</v>
      </c>
      <c r="N48" s="53">
        <f t="shared" ref="N48:R48" si="40">1/SUM(1/N49,1/N50,1/N52,1/N54,1/N55,1/N56,1/N57,1/N58,1/N59,1/N60,1/N61,1/N62)</f>
        <v>1.6808536667240068</v>
      </c>
      <c r="O48" s="53">
        <f t="shared" si="40"/>
        <v>18.60980865951835</v>
      </c>
      <c r="P48" s="53">
        <f t="shared" si="40"/>
        <v>4.5883379951485592</v>
      </c>
      <c r="Q48" s="53">
        <f t="shared" si="40"/>
        <v>2.3703896715339843</v>
      </c>
      <c r="R48" s="53">
        <f t="shared" si="40"/>
        <v>34.122506303306892</v>
      </c>
      <c r="S48" s="71"/>
      <c r="T48" s="71"/>
      <c r="U48" s="71"/>
      <c r="V48" s="71"/>
      <c r="W48" s="71"/>
      <c r="X48" s="72">
        <f>IFERROR(IF(SUM(S49:S62)&gt;0.01,1-EXP(-SUM(S49:S62)),SUM(S49:S62)),".")</f>
        <v>3.2511419915769113E-2</v>
      </c>
      <c r="Y48" s="72">
        <f t="shared" ref="Y48:AB48" si="41">IFERROR(IF(SUM(T49:T62)&gt;0.01,1-EXP(-SUM(T49:T62)),SUM(T49:T62)),".")</f>
        <v>2.9852536915571837E-3</v>
      </c>
      <c r="Z48" s="72">
        <f t="shared" si="41"/>
        <v>1.2034864693701297E-2</v>
      </c>
      <c r="AA48" s="72">
        <f t="shared" si="41"/>
        <v>2.3164559684394903E-2</v>
      </c>
      <c r="AB48" s="72">
        <f t="shared" si="41"/>
        <v>1.6281043222963964E-3</v>
      </c>
      <c r="AC48" s="53">
        <f>1/SUM(1/AC49,1/AC50,1/AC51,1/AC52,1/AC54,1/AC58,1/AC59,1/AC61)</f>
        <v>2.4592970622668428E-3</v>
      </c>
      <c r="AD48" s="53">
        <f t="shared" ref="AD48:AE48" si="42">1/SUM(1/AD49,1/AD50,1/AD51,1/AD52,1/AD53,1/AD54,1/AD55,1/AD56,1/AD57,1/AD58,1/AD59,1/AD60,1/AD61,1/AD62)</f>
        <v>102.7300960185574</v>
      </c>
      <c r="AE48" s="54">
        <f t="shared" si="42"/>
        <v>2.4592381895753002E-3</v>
      </c>
      <c r="AF48" s="71"/>
      <c r="AG48" s="71"/>
      <c r="AH48" s="72">
        <f>IFERROR(IF(SUM(AF49:AF62)&gt;0.01,1-EXP(-SUM(AF49:AF62)),SUM(AF49:AF62)),".")</f>
        <v>0.99999999984533938</v>
      </c>
      <c r="AI48" s="72">
        <f>IFERROR(IF(SUM(AG49:AG62)&gt;0.01,1-EXP(-SUM(AG49:AG62)),SUM(AG49:AG62)),".")</f>
        <v>5.4078602233530886E-4</v>
      </c>
      <c r="AJ48" s="72">
        <f>IFERROR(IF(SUM(AF49:AG62)&gt;0.01,1-EXP(-SUM(AF49:AG62)),SUM(AF49:AG62)),".")</f>
        <v>0.99999999984542309</v>
      </c>
    </row>
    <row r="49" spans="1:36" x14ac:dyDescent="0.25">
      <c r="A49" s="55" t="s">
        <v>305</v>
      </c>
      <c r="B49" s="50">
        <v>1</v>
      </c>
      <c r="C49" s="56">
        <f>IFERROR(C23/$B49,0)</f>
        <v>61.733730075438615</v>
      </c>
      <c r="D49" s="56">
        <f>IFERROR(D23/$B49,0)</f>
        <v>1602.6267160836946</v>
      </c>
      <c r="E49" s="56">
        <f>IFERROR(E23/$B49,0)</f>
        <v>700.43407599423983</v>
      </c>
      <c r="F49" s="56">
        <f t="shared" si="20"/>
        <v>54.793734733909069</v>
      </c>
      <c r="G49" s="64">
        <f>IFERROR(s_RadSpec!$I$23*G23,".")*$B$49</f>
        <v>8.9991322299999999E-4</v>
      </c>
      <c r="H49" s="64">
        <f>IFERROR(s_RadSpec!$G$23*H23,".")*$B$49</f>
        <v>3.4664965610805852E-5</v>
      </c>
      <c r="I49" s="64">
        <f>IFERROR(s_RadSpec!$F$23*I23,".")*$B$49</f>
        <v>7.9315101740505379E-5</v>
      </c>
      <c r="J49" s="73">
        <f t="shared" ref="J49:L62" si="43">IFERROR(IF(G49&gt;0.01,1-EXP(-G49),G49),".")</f>
        <v>8.9991322299999999E-4</v>
      </c>
      <c r="K49" s="73">
        <f t="shared" si="43"/>
        <v>3.4664965610805852E-5</v>
      </c>
      <c r="L49" s="73">
        <f t="shared" si="43"/>
        <v>7.9315101740505379E-5</v>
      </c>
      <c r="M49" s="73">
        <f t="shared" ref="M49:M62" si="44">IFERROR(IF(SUM(G49:I49)&gt;0.01,1-EXP(-SUM(G49:I49)),SUM(G49:I49)),".")</f>
        <v>1.0138932903513112E-3</v>
      </c>
      <c r="N49" s="56">
        <f t="shared" ref="N49:AD49" si="45">IFERROR(N23/$B49,0)</f>
        <v>700.43407599423983</v>
      </c>
      <c r="O49" s="56">
        <f t="shared" si="45"/>
        <v>4919.1033953105134</v>
      </c>
      <c r="P49" s="56">
        <f t="shared" si="45"/>
        <v>1272.2160963188746</v>
      </c>
      <c r="Q49" s="56">
        <f t="shared" si="45"/>
        <v>742.28079282573026</v>
      </c>
      <c r="R49" s="56">
        <f t="shared" si="45"/>
        <v>7850.5422140040164</v>
      </c>
      <c r="S49" s="64">
        <f>IFERROR(s_RadSpec!$F$23*S23,".")*$B$49</f>
        <v>7.9315101740505379E-5</v>
      </c>
      <c r="T49" s="64">
        <f>IFERROR(s_RadSpec!$M$23*T23,".")*$B$49</f>
        <v>1.1293724798092626E-5</v>
      </c>
      <c r="U49" s="64">
        <f>IFERROR(s_RadSpec!$N$23*U23,".")*$B$49</f>
        <v>4.3667895855701701E-5</v>
      </c>
      <c r="V49" s="64">
        <f>IFERROR(s_RadSpec!$O$23*V23,".")*$B$49</f>
        <v>7.4843644799849976E-5</v>
      </c>
      <c r="W49" s="64">
        <f>IFERROR(s_RadSpec!$K$23*W23,".")*$B$49</f>
        <v>7.0765812711508562E-6</v>
      </c>
      <c r="X49" s="73">
        <f t="shared" ref="X49:AB62" si="46">IFERROR(IF(S49&gt;0.01,1-EXP(-S49),S49),".")</f>
        <v>7.9315101740505379E-5</v>
      </c>
      <c r="Y49" s="73">
        <f t="shared" si="46"/>
        <v>1.1293724798092626E-5</v>
      </c>
      <c r="Z49" s="73">
        <f t="shared" si="46"/>
        <v>4.3667895855701701E-5</v>
      </c>
      <c r="AA49" s="73">
        <f t="shared" si="46"/>
        <v>7.4843644799849976E-5</v>
      </c>
      <c r="AB49" s="73">
        <f t="shared" si="46"/>
        <v>7.0765812711508562E-6</v>
      </c>
      <c r="AC49" s="56">
        <f t="shared" si="45"/>
        <v>5.1658395942232992E-3</v>
      </c>
      <c r="AD49" s="56">
        <f t="shared" si="45"/>
        <v>27952.194108318923</v>
      </c>
      <c r="AE49" s="56">
        <f t="shared" ref="AE49:AE62" si="47">IFERROR(IF(AND(AC49&lt;&gt;0,AD49&lt;&gt;0),1/((1/AC49)+(1/AD49)),IF(AND(AC49&lt;&gt;0,AD49=0),1/((1/AC49)),IF(AND(AC49=0,AD49&lt;&gt;0),1/((1/AD49)),IF(AND(AC49=0,AD49=0),0)))),0)</f>
        <v>5.165838639525658E-3</v>
      </c>
      <c r="AF49" s="64">
        <f>IFERROR(s_RadSpec!$G$23*AF23,".")*$B$49</f>
        <v>10.754302178125</v>
      </c>
      <c r="AG49" s="64">
        <f>IFERROR(s_RadSpec!$J$23*AG23,".")*$B$49</f>
        <v>1.9875005083578081E-6</v>
      </c>
      <c r="AH49" s="73">
        <f t="shared" ref="AH49:AI62" si="48">IFERROR(IF(AF49&gt;0.01,1-EXP(-AF49),AF49),".")</f>
        <v>0.99997864665547054</v>
      </c>
      <c r="AI49" s="73">
        <f t="shared" si="48"/>
        <v>1.9875005083578081E-6</v>
      </c>
      <c r="AJ49" s="73">
        <f t="shared" ref="AJ49:AJ62" si="49">IFERROR(IF(SUM(AF49:AG49)&gt;0.01,1-EXP(-SUM(AF49:AG49)),SUM(AF49:AG49)),".")</f>
        <v>0.99997864669791026</v>
      </c>
    </row>
    <row r="50" spans="1:36" x14ac:dyDescent="0.25">
      <c r="A50" s="55" t="s">
        <v>306</v>
      </c>
      <c r="B50" s="50">
        <v>1</v>
      </c>
      <c r="C50" s="56">
        <f>IFERROR(C25/$B50,0)</f>
        <v>0</v>
      </c>
      <c r="D50" s="56">
        <f>IFERROR(D25/$B50,0)</f>
        <v>19791737.037179209</v>
      </c>
      <c r="E50" s="56">
        <f>IFERROR(E25/$B50,0)</f>
        <v>15112.223486896148</v>
      </c>
      <c r="F50" s="56">
        <f t="shared" si="20"/>
        <v>15100.693167474199</v>
      </c>
      <c r="G50" s="64">
        <f>IFERROR(s_RadSpec!$I$25*G25,".")*$B$50</f>
        <v>0</v>
      </c>
      <c r="H50" s="64">
        <f>IFERROR(s_RadSpec!$G$25*H25,".")*$B$50</f>
        <v>2.8069794932925148E-9</v>
      </c>
      <c r="I50" s="64">
        <f>IFERROR(s_RadSpec!$F$25*I25,".")*$B$50</f>
        <v>3.6761632097468568E-6</v>
      </c>
      <c r="J50" s="73">
        <f t="shared" si="43"/>
        <v>0</v>
      </c>
      <c r="K50" s="73">
        <f t="shared" si="43"/>
        <v>2.8069794932925148E-9</v>
      </c>
      <c r="L50" s="73">
        <f t="shared" si="43"/>
        <v>3.6761632097468568E-6</v>
      </c>
      <c r="M50" s="73">
        <f t="shared" si="44"/>
        <v>3.6789701892401491E-6</v>
      </c>
      <c r="N50" s="56">
        <f t="shared" ref="N50:AD50" si="50">IFERROR(N25/$B50,0)</f>
        <v>15112.223486896148</v>
      </c>
      <c r="O50" s="56">
        <f t="shared" si="50"/>
        <v>128406.87702228803</v>
      </c>
      <c r="P50" s="56">
        <f t="shared" si="50"/>
        <v>32639.011626016832</v>
      </c>
      <c r="Q50" s="56">
        <f t="shared" si="50"/>
        <v>19041.93297821924</v>
      </c>
      <c r="R50" s="56">
        <f t="shared" si="50"/>
        <v>234516.85866387293</v>
      </c>
      <c r="S50" s="64">
        <f>IFERROR(s_RadSpec!$F$25*S25,".")*$B$50</f>
        <v>3.6761632097468568E-6</v>
      </c>
      <c r="T50" s="64">
        <f>IFERROR(s_RadSpec!$M$25*T25,".")*$B$50</f>
        <v>4.3264816720335876E-7</v>
      </c>
      <c r="U50" s="64">
        <f>IFERROR(s_RadSpec!$N$25*U25,".")*$B$50</f>
        <v>1.7021042376086118E-6</v>
      </c>
      <c r="V50" s="64">
        <f>IFERROR(s_RadSpec!$O$25*V25,".")*$B$50</f>
        <v>2.9175084306590902E-6</v>
      </c>
      <c r="W50" s="64">
        <f>IFERROR(s_RadSpec!$K$25*W25,".")*$B$50</f>
        <v>2.3689128498700196E-7</v>
      </c>
      <c r="X50" s="73">
        <f t="shared" si="46"/>
        <v>3.6761632097468568E-6</v>
      </c>
      <c r="Y50" s="73">
        <f t="shared" si="46"/>
        <v>4.3264816720335876E-7</v>
      </c>
      <c r="Z50" s="73">
        <f t="shared" si="46"/>
        <v>1.7021042376086118E-6</v>
      </c>
      <c r="AA50" s="73">
        <f t="shared" si="46"/>
        <v>2.9175084306590902E-6</v>
      </c>
      <c r="AB50" s="73">
        <f t="shared" si="46"/>
        <v>2.3689128498700196E-7</v>
      </c>
      <c r="AC50" s="56">
        <f t="shared" si="50"/>
        <v>63.795853269537481</v>
      </c>
      <c r="AD50" s="56">
        <f t="shared" si="50"/>
        <v>490671.60880790063</v>
      </c>
      <c r="AE50" s="56">
        <f t="shared" si="47"/>
        <v>63.78755977602605</v>
      </c>
      <c r="AF50" s="64">
        <f>IFERROR(s_RadSpec!$G$25*AF$25,".")*$B$50</f>
        <v>8.7082462499999997E-4</v>
      </c>
      <c r="AG50" s="64">
        <f>IFERROR(s_RadSpec!$J$25*AG25,".")*$B$50</f>
        <v>1.1322236502530136E-7</v>
      </c>
      <c r="AH50" s="73">
        <f t="shared" si="48"/>
        <v>8.7082462499999997E-4</v>
      </c>
      <c r="AI50" s="73">
        <f t="shared" si="48"/>
        <v>1.1322236502530136E-7</v>
      </c>
      <c r="AJ50" s="73">
        <f t="shared" si="49"/>
        <v>8.7093784736502527E-4</v>
      </c>
    </row>
    <row r="51" spans="1:36" x14ac:dyDescent="0.25">
      <c r="A51" s="55" t="s">
        <v>307</v>
      </c>
      <c r="B51" s="50">
        <v>1</v>
      </c>
      <c r="C51" s="56">
        <f>IFERROR(C21/$B51,0)</f>
        <v>0</v>
      </c>
      <c r="D51" s="56">
        <f>IFERROR(D21/$B51,0)</f>
        <v>3246414.4204869489</v>
      </c>
      <c r="E51" s="56">
        <f>IFERROR(E21/$B51,0)</f>
        <v>0</v>
      </c>
      <c r="F51" s="56">
        <f t="shared" si="20"/>
        <v>3246414.4204869489</v>
      </c>
      <c r="G51" s="64">
        <f>IFERROR(s_RadSpec!$I$21*G21,".")*$B$51</f>
        <v>0</v>
      </c>
      <c r="H51" s="64">
        <f>IFERROR(s_RadSpec!$G$21*H21,".")*$B$51</f>
        <v>1.7112725858230684E-8</v>
      </c>
      <c r="I51" s="64">
        <f>IFERROR(s_RadSpec!$F$21*I21,".")*$B$51</f>
        <v>0</v>
      </c>
      <c r="J51" s="73">
        <f t="shared" si="43"/>
        <v>0</v>
      </c>
      <c r="K51" s="73">
        <f t="shared" si="43"/>
        <v>1.7112725858230684E-8</v>
      </c>
      <c r="L51" s="73">
        <f t="shared" si="43"/>
        <v>0</v>
      </c>
      <c r="M51" s="73">
        <f t="shared" si="44"/>
        <v>1.7112725858230684E-8</v>
      </c>
      <c r="N51" s="56">
        <f t="shared" ref="N51:AD51" si="51">IFERROR(N21/$B51,0)</f>
        <v>0</v>
      </c>
      <c r="O51" s="56">
        <f t="shared" si="51"/>
        <v>0</v>
      </c>
      <c r="P51" s="56">
        <f t="shared" si="51"/>
        <v>0</v>
      </c>
      <c r="Q51" s="56">
        <f t="shared" si="51"/>
        <v>0</v>
      </c>
      <c r="R51" s="56">
        <f t="shared" si="51"/>
        <v>0</v>
      </c>
      <c r="S51" s="64">
        <f>IFERROR(s_RadSpec!$F$21*S21,".")*$B$51</f>
        <v>0</v>
      </c>
      <c r="T51" s="64">
        <f>IFERROR(s_RadSpec!$M$21*T21,".")*$B$51</f>
        <v>0</v>
      </c>
      <c r="U51" s="64">
        <f>IFERROR(s_RadSpec!$N$21*U21,".")*$B$51</f>
        <v>0</v>
      </c>
      <c r="V51" s="64">
        <f>IFERROR(s_RadSpec!$O$21*V21,".")*$B$51</f>
        <v>0</v>
      </c>
      <c r="W51" s="64">
        <f>IFERROR(s_RadSpec!$K$21*W21,".")*$B$51</f>
        <v>0</v>
      </c>
      <c r="X51" s="73">
        <f t="shared" si="46"/>
        <v>0</v>
      </c>
      <c r="Y51" s="73">
        <f t="shared" si="46"/>
        <v>0</v>
      </c>
      <c r="Z51" s="73">
        <f t="shared" si="46"/>
        <v>0</v>
      </c>
      <c r="AA51" s="73">
        <f t="shared" si="46"/>
        <v>0</v>
      </c>
      <c r="AB51" s="73">
        <f t="shared" si="46"/>
        <v>0</v>
      </c>
      <c r="AC51" s="56">
        <f t="shared" si="51"/>
        <v>10.464355788096794</v>
      </c>
      <c r="AD51" s="56">
        <f t="shared" si="51"/>
        <v>20178506989.437328</v>
      </c>
      <c r="AE51" s="56">
        <f t="shared" si="47"/>
        <v>10.464355782670093</v>
      </c>
      <c r="AF51" s="64">
        <f>IFERROR(s_RadSpec!$G$21*AF21,".")*$B$51</f>
        <v>5.3089746874999998E-3</v>
      </c>
      <c r="AG51" s="64">
        <f>IFERROR(s_RadSpec!$J$21*AG21,".")*$B$51</f>
        <v>2.7531769337087667E-12</v>
      </c>
      <c r="AH51" s="73">
        <f t="shared" si="48"/>
        <v>5.3089746874999998E-3</v>
      </c>
      <c r="AI51" s="73">
        <f t="shared" si="48"/>
        <v>2.7531769337087667E-12</v>
      </c>
      <c r="AJ51" s="73">
        <f t="shared" si="49"/>
        <v>5.3089746902531768E-3</v>
      </c>
    </row>
    <row r="52" spans="1:36" x14ac:dyDescent="0.25">
      <c r="A52" s="55" t="s">
        <v>308</v>
      </c>
      <c r="B52" s="58">
        <v>0.99980000000000002</v>
      </c>
      <c r="C52" s="56">
        <f>IFERROR(C17/$B52,0)</f>
        <v>82466.240127302532</v>
      </c>
      <c r="D52" s="56">
        <f>IFERROR(D17/$B52,0)</f>
        <v>580877.57119980734</v>
      </c>
      <c r="E52" s="56">
        <f>IFERROR(E17/$B52,0)</f>
        <v>35.39575898188378</v>
      </c>
      <c r="F52" s="56">
        <f t="shared" si="20"/>
        <v>35.378418246113561</v>
      </c>
      <c r="G52" s="64">
        <f>IFERROR(s_RadSpec!$I$17*G17,".")*$B$52</f>
        <v>6.7366961212540004E-7</v>
      </c>
      <c r="H52" s="64">
        <f>IFERROR(s_RadSpec!$G$17*H17,".")*$B$52</f>
        <v>9.5639774634869593E-8</v>
      </c>
      <c r="I52" s="64">
        <f>IFERROR(s_RadSpec!$F$17*I17,".")*$B$52</f>
        <v>1.569538317526518E-3</v>
      </c>
      <c r="J52" s="73">
        <f t="shared" si="43"/>
        <v>6.7366961212540004E-7</v>
      </c>
      <c r="K52" s="73">
        <f t="shared" si="43"/>
        <v>9.5639774634869593E-8</v>
      </c>
      <c r="L52" s="73">
        <f t="shared" si="43"/>
        <v>1.569538317526518E-3</v>
      </c>
      <c r="M52" s="73">
        <f t="shared" si="44"/>
        <v>1.5703076269132782E-3</v>
      </c>
      <c r="N52" s="56">
        <f t="shared" ref="N52:AD52" si="52">IFERROR(N17/$B52,0)</f>
        <v>35.39575898188378</v>
      </c>
      <c r="O52" s="56">
        <f t="shared" si="52"/>
        <v>271.92215430932947</v>
      </c>
      <c r="P52" s="56">
        <f t="shared" si="52"/>
        <v>73.558691260493887</v>
      </c>
      <c r="Q52" s="56">
        <f t="shared" si="52"/>
        <v>44.252761961428746</v>
      </c>
      <c r="R52" s="56">
        <f t="shared" si="52"/>
        <v>528.13254696956483</v>
      </c>
      <c r="S52" s="64">
        <f>IFERROR(s_RadSpec!$F$17*S17,".")*$B$52</f>
        <v>1.569538317526518E-3</v>
      </c>
      <c r="T52" s="64">
        <f>IFERROR(s_RadSpec!$M$17*T17,".")*$B$52</f>
        <v>2.0430479502895707E-4</v>
      </c>
      <c r="U52" s="64">
        <f>IFERROR(s_RadSpec!$N$17*U17,".")*$B$52</f>
        <v>7.5524725967816245E-4</v>
      </c>
      <c r="V52" s="64">
        <f>IFERROR(s_RadSpec!$O$17*V17,".")*$B$52</f>
        <v>1.2554018673099413E-3</v>
      </c>
      <c r="W52" s="64">
        <f>IFERROR(s_RadSpec!$K$17*W17,".")*$B$52</f>
        <v>1.0519139621062117E-4</v>
      </c>
      <c r="X52" s="73">
        <f t="shared" si="46"/>
        <v>1.569538317526518E-3</v>
      </c>
      <c r="Y52" s="73">
        <f t="shared" si="46"/>
        <v>2.0430479502895707E-4</v>
      </c>
      <c r="Z52" s="73">
        <f t="shared" si="46"/>
        <v>7.5524725967816245E-4</v>
      </c>
      <c r="AA52" s="73">
        <f t="shared" si="46"/>
        <v>1.2554018673099413E-3</v>
      </c>
      <c r="AB52" s="73">
        <f t="shared" si="46"/>
        <v>1.0519139621062117E-4</v>
      </c>
      <c r="AC52" s="56">
        <f t="shared" si="52"/>
        <v>1.872376347271326</v>
      </c>
      <c r="AD52" s="56">
        <f t="shared" si="52"/>
        <v>781.40890061515358</v>
      </c>
      <c r="AE52" s="56">
        <f t="shared" si="47"/>
        <v>1.8679005691710033</v>
      </c>
      <c r="AF52" s="64">
        <f>IFERROR(s_RadSpec!$G$17*AF17,".")*$B$52</f>
        <v>2.9670851205187504E-2</v>
      </c>
      <c r="AG52" s="64">
        <f>IFERROR(s_RadSpec!$J$17*AG17,".")*$B$52</f>
        <v>7.1095939598672423E-5</v>
      </c>
      <c r="AH52" s="73">
        <f t="shared" si="48"/>
        <v>2.9234992899410117E-2</v>
      </c>
      <c r="AI52" s="73">
        <f t="shared" si="48"/>
        <v>7.1095939598672423E-5</v>
      </c>
      <c r="AJ52" s="73">
        <f t="shared" si="49"/>
        <v>2.930400789634735E-2</v>
      </c>
    </row>
    <row r="53" spans="1:36" x14ac:dyDescent="0.25">
      <c r="A53" s="55" t="s">
        <v>309</v>
      </c>
      <c r="B53" s="50">
        <v>2.0000000000000001E-4</v>
      </c>
      <c r="C53" s="56">
        <f>IFERROR(C5/$B53,0)</f>
        <v>0</v>
      </c>
      <c r="D53" s="56">
        <f>IFERROR(D5/$B53,0)</f>
        <v>0</v>
      </c>
      <c r="E53" s="56">
        <f>IFERROR(E5/$B53,0)</f>
        <v>0</v>
      </c>
      <c r="F53" s="56">
        <f t="shared" si="20"/>
        <v>0</v>
      </c>
      <c r="G53" s="64">
        <f>IFERROR(s_RadSpec!$I$5*G5,".")*$B$53</f>
        <v>0</v>
      </c>
      <c r="H53" s="64">
        <f>IFERROR(s_RadSpec!$G$5*H5,".")*$B$53</f>
        <v>0</v>
      </c>
      <c r="I53" s="64">
        <f>IFERROR(s_RadSpec!$F$5*I5,".")*$B$53</f>
        <v>0</v>
      </c>
      <c r="J53" s="73">
        <f t="shared" si="43"/>
        <v>0</v>
      </c>
      <c r="K53" s="73">
        <f t="shared" si="43"/>
        <v>0</v>
      </c>
      <c r="L53" s="73">
        <f t="shared" si="43"/>
        <v>0</v>
      </c>
      <c r="M53" s="73">
        <f t="shared" si="44"/>
        <v>0</v>
      </c>
      <c r="N53" s="56">
        <f t="shared" ref="N53:AD53" si="53">IFERROR(N5/$B53,0)</f>
        <v>0</v>
      </c>
      <c r="O53" s="56">
        <f t="shared" si="53"/>
        <v>0</v>
      </c>
      <c r="P53" s="56">
        <f t="shared" si="53"/>
        <v>0</v>
      </c>
      <c r="Q53" s="56">
        <f t="shared" si="53"/>
        <v>0</v>
      </c>
      <c r="R53" s="56">
        <f t="shared" si="53"/>
        <v>0</v>
      </c>
      <c r="S53" s="64">
        <f>IFERROR(s_RadSpec!$F$5*S5,".")*$B$53</f>
        <v>0</v>
      </c>
      <c r="T53" s="64">
        <f>IFERROR(s_RadSpec!$M$5*T5,".")*$B$53</f>
        <v>0</v>
      </c>
      <c r="U53" s="64">
        <f>IFERROR(s_RadSpec!$N$5*U5,".")*$B$53</f>
        <v>0</v>
      </c>
      <c r="V53" s="64">
        <f>IFERROR(s_RadSpec!$O$5*V5,".")*$B$53</f>
        <v>0</v>
      </c>
      <c r="W53" s="64">
        <f>IFERROR(s_RadSpec!$K$5*W5,".")*$B$53</f>
        <v>0</v>
      </c>
      <c r="X53" s="73">
        <f t="shared" si="46"/>
        <v>0</v>
      </c>
      <c r="Y53" s="73">
        <f t="shared" si="46"/>
        <v>0</v>
      </c>
      <c r="Z53" s="73">
        <f t="shared" si="46"/>
        <v>0</v>
      </c>
      <c r="AA53" s="73">
        <f t="shared" si="46"/>
        <v>0</v>
      </c>
      <c r="AB53" s="73">
        <f t="shared" si="46"/>
        <v>0</v>
      </c>
      <c r="AC53" s="56">
        <f t="shared" si="53"/>
        <v>0</v>
      </c>
      <c r="AD53" s="56">
        <f t="shared" si="53"/>
        <v>129173018227.83745</v>
      </c>
      <c r="AE53" s="56">
        <f t="shared" si="47"/>
        <v>129173018227.83746</v>
      </c>
      <c r="AF53" s="64">
        <f>IFERROR(s_RadSpec!$G$5*AF5,".")*$B$53</f>
        <v>0</v>
      </c>
      <c r="AG53" s="64">
        <f>IFERROR(s_RadSpec!$J$5*AG5,".")*$B$53</f>
        <v>4.3008207721841092E-13</v>
      </c>
      <c r="AH53" s="73">
        <f t="shared" si="48"/>
        <v>0</v>
      </c>
      <c r="AI53" s="73">
        <f t="shared" si="48"/>
        <v>4.3008207721841092E-13</v>
      </c>
      <c r="AJ53" s="73">
        <f t="shared" si="49"/>
        <v>4.3008207721841092E-13</v>
      </c>
    </row>
    <row r="54" spans="1:36" x14ac:dyDescent="0.25">
      <c r="A54" s="55" t="s">
        <v>310</v>
      </c>
      <c r="B54" s="50">
        <v>0.99999979999999999</v>
      </c>
      <c r="C54" s="56">
        <f>IFERROR(C9/$B54,0)</f>
        <v>123467.48484437421</v>
      </c>
      <c r="D54" s="56">
        <f>IFERROR(D9/$B54,0)</f>
        <v>730180.73575732182</v>
      </c>
      <c r="E54" s="56">
        <f>IFERROR(E9/$B54,0)</f>
        <v>1.7702048926630676</v>
      </c>
      <c r="F54" s="56">
        <f t="shared" si="20"/>
        <v>1.770175221418631</v>
      </c>
      <c r="G54" s="64">
        <f>IFERROR(s_RadSpec!$I$9*G9,".")*$B$54</f>
        <v>4.4995652150867766E-7</v>
      </c>
      <c r="H54" s="64">
        <f>IFERROR(s_RadSpec!$G$9*H9,".")*$B$54</f>
        <v>7.608390262772407E-8</v>
      </c>
      <c r="I54" s="64">
        <f>IFERROR(s_RadSpec!$F$9*I9,".")*$B$54</f>
        <v>3.1383372755468979E-2</v>
      </c>
      <c r="J54" s="73">
        <f t="shared" si="43"/>
        <v>4.4995652150867766E-7</v>
      </c>
      <c r="K54" s="73">
        <f t="shared" si="43"/>
        <v>7.608390262772407E-8</v>
      </c>
      <c r="L54" s="73">
        <f t="shared" si="43"/>
        <v>3.0896026210711525E-2</v>
      </c>
      <c r="M54" s="73">
        <f t="shared" si="44"/>
        <v>3.0896535998442887E-2</v>
      </c>
      <c r="N54" s="56">
        <f t="shared" ref="N54:AD54" si="54">IFERROR(N9/$B54,0)</f>
        <v>1.7702048926630676</v>
      </c>
      <c r="O54" s="56">
        <f t="shared" si="54"/>
        <v>20.075264902486705</v>
      </c>
      <c r="P54" s="56">
        <f t="shared" si="54"/>
        <v>4.9161754660024339</v>
      </c>
      <c r="Q54" s="56">
        <f t="shared" si="54"/>
        <v>2.5146995650179651</v>
      </c>
      <c r="R54" s="56">
        <f t="shared" si="54"/>
        <v>36.722650879724718</v>
      </c>
      <c r="S54" s="64">
        <f>IFERROR(s_RadSpec!$F$9*S9,".")*$B$54</f>
        <v>3.1383372755468979E-2</v>
      </c>
      <c r="T54" s="64">
        <f>IFERROR(s_RadSpec!$M$9*T9,".")*$B$54</f>
        <v>2.7673358369043706E-3</v>
      </c>
      <c r="U54" s="64">
        <f>IFERROR(s_RadSpec!$N$9*U9,".")*$B$54</f>
        <v>1.1300451007940587E-2</v>
      </c>
      <c r="V54" s="64">
        <f>IFERROR(s_RadSpec!$O$9*V9,".")*$B$54</f>
        <v>2.2092102282446253E-2</v>
      </c>
      <c r="W54" s="64">
        <f>IFERROR(s_RadSpec!$K$9*W9,".")*$B$54</f>
        <v>1.5128265163088476E-3</v>
      </c>
      <c r="X54" s="73">
        <f t="shared" si="46"/>
        <v>3.0896026210711525E-2</v>
      </c>
      <c r="Y54" s="73">
        <f t="shared" si="46"/>
        <v>2.7673358369043706E-3</v>
      </c>
      <c r="Z54" s="73">
        <f t="shared" si="46"/>
        <v>1.1236840745138532E-2</v>
      </c>
      <c r="AA54" s="73">
        <f t="shared" si="46"/>
        <v>2.1849858958223334E-2</v>
      </c>
      <c r="AB54" s="73">
        <f t="shared" si="46"/>
        <v>1.5128265163088476E-3</v>
      </c>
      <c r="AC54" s="56">
        <f t="shared" si="54"/>
        <v>2.3536338923213651</v>
      </c>
      <c r="AD54" s="56">
        <f t="shared" si="54"/>
        <v>119.02856416225418</v>
      </c>
      <c r="AE54" s="56">
        <f t="shared" si="47"/>
        <v>2.3079962898733264</v>
      </c>
      <c r="AF54" s="64">
        <f>IFERROR(s_RadSpec!$G$9*AF9,".")*$B$54</f>
        <v>2.3603925904213872E-2</v>
      </c>
      <c r="AG54" s="64">
        <f>IFERROR(s_RadSpec!$J$9*AG9,".")*$B$54</f>
        <v>4.6673670636125636E-4</v>
      </c>
      <c r="AH54" s="73">
        <f t="shared" si="48"/>
        <v>2.332753217499961E-2</v>
      </c>
      <c r="AI54" s="73">
        <f t="shared" si="48"/>
        <v>4.6673670636125636E-4</v>
      </c>
      <c r="AJ54" s="73">
        <f t="shared" si="49"/>
        <v>2.3783274701669632E-2</v>
      </c>
    </row>
    <row r="55" spans="1:36" x14ac:dyDescent="0.25">
      <c r="A55" s="55" t="s">
        <v>311</v>
      </c>
      <c r="B55" s="50">
        <v>1.9999999999999999E-7</v>
      </c>
      <c r="C55" s="56">
        <f>IFERROR(C24/$B55,0)</f>
        <v>0</v>
      </c>
      <c r="D55" s="56">
        <f>IFERROR(D24/$B55,0)</f>
        <v>0</v>
      </c>
      <c r="E55" s="56">
        <f>IFERROR(E24/$B55,0)</f>
        <v>33878908791.769711</v>
      </c>
      <c r="F55" s="56">
        <f t="shared" si="20"/>
        <v>33878908791.769711</v>
      </c>
      <c r="G55" s="64">
        <f>IFERROR(s_RadSpec!$I$24*G24,".")*$B$55</f>
        <v>0</v>
      </c>
      <c r="H55" s="64">
        <f>IFERROR(s_RadSpec!$G$24*H24,".")*$B$55</f>
        <v>0</v>
      </c>
      <c r="I55" s="64">
        <f>IFERROR(s_RadSpec!$F$24*I24,".")*$B$55</f>
        <v>1.6398107843867782E-12</v>
      </c>
      <c r="J55" s="73">
        <f t="shared" si="43"/>
        <v>0</v>
      </c>
      <c r="K55" s="73">
        <f t="shared" si="43"/>
        <v>0</v>
      </c>
      <c r="L55" s="73">
        <f t="shared" si="43"/>
        <v>1.6398107843867782E-12</v>
      </c>
      <c r="M55" s="73">
        <f t="shared" si="44"/>
        <v>1.6398107843867782E-12</v>
      </c>
      <c r="N55" s="56">
        <f t="shared" ref="N55:AD55" si="55">IFERROR(N24/$B55,0)</f>
        <v>33878908791.769711</v>
      </c>
      <c r="O55" s="56">
        <f t="shared" si="55"/>
        <v>298469518869.32776</v>
      </c>
      <c r="P55" s="56">
        <f t="shared" si="55"/>
        <v>74862438120.015106</v>
      </c>
      <c r="Q55" s="56">
        <f t="shared" si="55"/>
        <v>40394301025.975555</v>
      </c>
      <c r="R55" s="56">
        <f t="shared" si="55"/>
        <v>507800212647.68768</v>
      </c>
      <c r="S55" s="64">
        <f>IFERROR(s_RadSpec!$F$24*S24,".")*$B$55</f>
        <v>1.6398107843867782E-12</v>
      </c>
      <c r="T55" s="64">
        <f>IFERROR(s_RadSpec!$M$24*T24,".")*$B$55</f>
        <v>1.8613290968690977E-13</v>
      </c>
      <c r="U55" s="64">
        <f>IFERROR(s_RadSpec!$N$24*U24,".")*$B$55</f>
        <v>7.4209445210610732E-13</v>
      </c>
      <c r="V55" s="64">
        <f>IFERROR(s_RadSpec!$O$24*V24,".")*$B$55</f>
        <v>1.3753177698080563E-12</v>
      </c>
      <c r="W55" s="64">
        <f>IFERROR(s_RadSpec!$K$24*W24,".")*$B$55</f>
        <v>1.0940326257512639E-13</v>
      </c>
      <c r="X55" s="73">
        <f t="shared" si="46"/>
        <v>1.6398107843867782E-12</v>
      </c>
      <c r="Y55" s="73">
        <f t="shared" si="46"/>
        <v>1.8613290968690977E-13</v>
      </c>
      <c r="Z55" s="73">
        <f t="shared" si="46"/>
        <v>7.4209445210610732E-13</v>
      </c>
      <c r="AA55" s="73">
        <f t="shared" si="46"/>
        <v>1.3753177698080563E-12</v>
      </c>
      <c r="AB55" s="73">
        <f t="shared" si="46"/>
        <v>1.0940326257512639E-13</v>
      </c>
      <c r="AC55" s="56">
        <f t="shared" si="55"/>
        <v>0</v>
      </c>
      <c r="AD55" s="56">
        <f t="shared" si="55"/>
        <v>1249145670774.6921</v>
      </c>
      <c r="AE55" s="56">
        <f t="shared" si="47"/>
        <v>1249145670774.6921</v>
      </c>
      <c r="AF55" s="64">
        <f>IFERROR(s_RadSpec!$G$24*AF24,".")*$B$55</f>
        <v>0</v>
      </c>
      <c r="AG55" s="64">
        <f>IFERROR(s_RadSpec!$J$24*AG24,".")*$B$55</f>
        <v>4.4474396621449307E-14</v>
      </c>
      <c r="AH55" s="73">
        <f t="shared" si="48"/>
        <v>0</v>
      </c>
      <c r="AI55" s="73">
        <f t="shared" si="48"/>
        <v>4.4474396621449307E-14</v>
      </c>
      <c r="AJ55" s="73">
        <f t="shared" si="49"/>
        <v>4.4474396621449307E-14</v>
      </c>
    </row>
    <row r="56" spans="1:36" x14ac:dyDescent="0.25">
      <c r="A56" s="55" t="s">
        <v>312</v>
      </c>
      <c r="B56" s="50">
        <v>0.99979000004200003</v>
      </c>
      <c r="C56" s="56">
        <f>IFERROR(C20/$B56,0)</f>
        <v>0</v>
      </c>
      <c r="D56" s="56">
        <f>IFERROR(D20/$B56,0)</f>
        <v>0</v>
      </c>
      <c r="E56" s="56">
        <f>IFERROR(E20/$B56,0)</f>
        <v>46645.800103321337</v>
      </c>
      <c r="F56" s="56">
        <f t="shared" si="20"/>
        <v>46645.800103321337</v>
      </c>
      <c r="G56" s="64">
        <f>IFERROR(s_RadSpec!$I$20*G20,".")*$B$56</f>
        <v>0</v>
      </c>
      <c r="H56" s="64">
        <f>IFERROR(s_RadSpec!$G$20*H20,".")*$B$56</f>
        <v>0</v>
      </c>
      <c r="I56" s="64">
        <f>IFERROR(s_RadSpec!$F$20*I20,".")*$B$56</f>
        <v>1.1909968288022629E-6</v>
      </c>
      <c r="J56" s="73">
        <f t="shared" si="43"/>
        <v>0</v>
      </c>
      <c r="K56" s="73">
        <f t="shared" si="43"/>
        <v>0</v>
      </c>
      <c r="L56" s="73">
        <f t="shared" si="43"/>
        <v>1.1909968288022629E-6</v>
      </c>
      <c r="M56" s="73">
        <f t="shared" si="44"/>
        <v>1.1909968288022629E-6</v>
      </c>
      <c r="N56" s="56">
        <f t="shared" ref="N56:AD56" si="56">IFERROR(N20/$B56,0)</f>
        <v>46645.800103321337</v>
      </c>
      <c r="O56" s="56">
        <f t="shared" si="56"/>
        <v>465022.65246433474</v>
      </c>
      <c r="P56" s="56">
        <f t="shared" si="56"/>
        <v>115434.43907067057</v>
      </c>
      <c r="Q56" s="56">
        <f t="shared" si="56"/>
        <v>61711.721133585008</v>
      </c>
      <c r="R56" s="56">
        <f t="shared" si="56"/>
        <v>813311.61500455812</v>
      </c>
      <c r="S56" s="64">
        <f>IFERROR(s_RadSpec!$F$20*S20,".")*$B$56</f>
        <v>1.1909968288022629E-6</v>
      </c>
      <c r="T56" s="64">
        <f>IFERROR(s_RadSpec!$M$20*T20,".")*$B$56</f>
        <v>1.1946729843286686E-7</v>
      </c>
      <c r="U56" s="64">
        <f>IFERROR(s_RadSpec!$N$20*U20,".")*$B$56</f>
        <v>4.8126885223558319E-7</v>
      </c>
      <c r="V56" s="64">
        <f>IFERROR(s_RadSpec!$O$20*V20,".")*$B$56</f>
        <v>9.002341691255407E-7</v>
      </c>
      <c r="W56" s="64">
        <f>IFERROR(s_RadSpec!$K$20*W20,".")*$B$56</f>
        <v>6.8307151865387565E-8</v>
      </c>
      <c r="X56" s="73">
        <f t="shared" si="46"/>
        <v>1.1909968288022629E-6</v>
      </c>
      <c r="Y56" s="73">
        <f t="shared" si="46"/>
        <v>1.1946729843286686E-7</v>
      </c>
      <c r="Z56" s="73">
        <f t="shared" si="46"/>
        <v>4.8126885223558319E-7</v>
      </c>
      <c r="AA56" s="73">
        <f t="shared" si="46"/>
        <v>9.002341691255407E-7</v>
      </c>
      <c r="AB56" s="73">
        <f t="shared" si="46"/>
        <v>6.8307151865387565E-8</v>
      </c>
      <c r="AC56" s="56">
        <f t="shared" si="56"/>
        <v>0</v>
      </c>
      <c r="AD56" s="56">
        <f t="shared" si="56"/>
        <v>2229335.9259507577</v>
      </c>
      <c r="AE56" s="56">
        <f t="shared" si="47"/>
        <v>2229335.9259507577</v>
      </c>
      <c r="AF56" s="64">
        <f>IFERROR(s_RadSpec!$G$20*AF20,".")*$B$56</f>
        <v>0</v>
      </c>
      <c r="AG56" s="64">
        <f>IFERROR(s_RadSpec!$J$20*AG20,".")*$B$56</f>
        <v>2.4919977000014982E-8</v>
      </c>
      <c r="AH56" s="73">
        <f t="shared" si="48"/>
        <v>0</v>
      </c>
      <c r="AI56" s="73">
        <f t="shared" si="48"/>
        <v>2.4919977000014982E-8</v>
      </c>
      <c r="AJ56" s="73">
        <f t="shared" si="49"/>
        <v>2.4919977000014982E-8</v>
      </c>
    </row>
    <row r="57" spans="1:36" x14ac:dyDescent="0.25">
      <c r="A57" s="55" t="s">
        <v>313</v>
      </c>
      <c r="B57" s="50">
        <v>2.0999995799999999E-4</v>
      </c>
      <c r="C57" s="56">
        <f>IFERROR(C29/$B57,0)</f>
        <v>0</v>
      </c>
      <c r="D57" s="56">
        <f>IFERROR(D29/$B57,0)</f>
        <v>0</v>
      </c>
      <c r="E57" s="56">
        <f>IFERROR(E29/$B57,0)</f>
        <v>5015.5775856986274</v>
      </c>
      <c r="F57" s="56">
        <f t="shared" si="20"/>
        <v>5015.5775856986274</v>
      </c>
      <c r="G57" s="64">
        <f>IFERROR(s_RadSpec!$I$29*G29,".")*$B$57</f>
        <v>0</v>
      </c>
      <c r="H57" s="64">
        <f>IFERROR(s_RadSpec!$G$29*H29,".")*$B$57</f>
        <v>0</v>
      </c>
      <c r="I57" s="64">
        <f>IFERROR(s_RadSpec!$F$29*I29,".")*$B$57</f>
        <v>1.1076491002433902E-5</v>
      </c>
      <c r="J57" s="73">
        <f t="shared" si="43"/>
        <v>0</v>
      </c>
      <c r="K57" s="73">
        <f t="shared" si="43"/>
        <v>0</v>
      </c>
      <c r="L57" s="73">
        <f t="shared" si="43"/>
        <v>1.1076491002433902E-5</v>
      </c>
      <c r="M57" s="73">
        <f t="shared" si="44"/>
        <v>1.1076491002433902E-5</v>
      </c>
      <c r="N57" s="56">
        <f t="shared" ref="N57:AD57" si="57">IFERROR(N29/$B57,0)</f>
        <v>5015.5775856986274</v>
      </c>
      <c r="O57" s="56">
        <f t="shared" si="57"/>
        <v>54086.815517507217</v>
      </c>
      <c r="P57" s="56">
        <f t="shared" si="57"/>
        <v>13450.529938105783</v>
      </c>
      <c r="Q57" s="56">
        <f t="shared" si="57"/>
        <v>7148.2471592213551</v>
      </c>
      <c r="R57" s="56">
        <f t="shared" si="57"/>
        <v>100328.57791257965</v>
      </c>
      <c r="S57" s="64">
        <f>IFERROR(s_RadSpec!$F$29*S29,".")*$B$57</f>
        <v>1.1076491002433902E-5</v>
      </c>
      <c r="T57" s="64">
        <f>IFERROR(s_RadSpec!$M$29*T29,".")*$B$57</f>
        <v>1.027144960716305E-6</v>
      </c>
      <c r="U57" s="64">
        <f>IFERROR(s_RadSpec!$N$29*U29,".")*$B$57</f>
        <v>4.130320534257234E-6</v>
      </c>
      <c r="V57" s="64">
        <f>IFERROR(s_RadSpec!$O$29*V29,".")*$B$57</f>
        <v>7.7718353552357414E-6</v>
      </c>
      <c r="W57" s="64">
        <f>IFERROR(s_RadSpec!$K$29*W29,".")*$B$57</f>
        <v>5.5373056367256904E-7</v>
      </c>
      <c r="X57" s="73">
        <f t="shared" si="46"/>
        <v>1.1076491002433902E-5</v>
      </c>
      <c r="Y57" s="73">
        <f t="shared" si="46"/>
        <v>1.027144960716305E-6</v>
      </c>
      <c r="Z57" s="73">
        <f t="shared" si="46"/>
        <v>4.130320534257234E-6</v>
      </c>
      <c r="AA57" s="73">
        <f t="shared" si="46"/>
        <v>7.7718353552357414E-6</v>
      </c>
      <c r="AB57" s="73">
        <f t="shared" si="46"/>
        <v>5.5373056367256904E-7</v>
      </c>
      <c r="AC57" s="56">
        <f t="shared" si="57"/>
        <v>0</v>
      </c>
      <c r="AD57" s="56">
        <f t="shared" si="57"/>
        <v>306394.28241227142</v>
      </c>
      <c r="AE57" s="56">
        <f t="shared" si="47"/>
        <v>306394.28241227142</v>
      </c>
      <c r="AF57" s="64">
        <f>IFERROR(s_RadSpec!$G$29*AF29,".")*$B$57</f>
        <v>0</v>
      </c>
      <c r="AG57" s="64">
        <f>IFERROR(s_RadSpec!$J$29*AG29,".")*$B$57</f>
        <v>1.8131865765447759E-7</v>
      </c>
      <c r="AH57" s="73">
        <f t="shared" si="48"/>
        <v>0</v>
      </c>
      <c r="AI57" s="73">
        <f t="shared" si="48"/>
        <v>1.8131865765447759E-7</v>
      </c>
      <c r="AJ57" s="73">
        <f t="shared" si="49"/>
        <v>1.8131865765447759E-7</v>
      </c>
    </row>
    <row r="58" spans="1:36" x14ac:dyDescent="0.25">
      <c r="A58" s="55" t="s">
        <v>314</v>
      </c>
      <c r="B58" s="50">
        <v>1</v>
      </c>
      <c r="C58" s="56">
        <f>IFERROR(C16/$B58,0)</f>
        <v>30.333363666697</v>
      </c>
      <c r="D58" s="56">
        <f>IFERROR(D16/$B58,0)</f>
        <v>2842.8879509083722</v>
      </c>
      <c r="E58" s="56">
        <f>IFERROR(E16/$B58,0)</f>
        <v>257923839.69427079</v>
      </c>
      <c r="F58" s="56">
        <f t="shared" si="20"/>
        <v>30.013122764519576</v>
      </c>
      <c r="G58" s="64">
        <f>IFERROR(s_RadSpec!$I$16*G16,".")*$B$58</f>
        <v>1.8314816850000001E-3</v>
      </c>
      <c r="H58" s="64">
        <f>IFERROR(s_RadSpec!$G$16*H16,".")*$B$58</f>
        <v>1.9541748025014073E-5</v>
      </c>
      <c r="I58" s="64">
        <f>IFERROR(s_RadSpec!$F$16*I16,".")*$B$58</f>
        <v>2.153930403093097E-10</v>
      </c>
      <c r="J58" s="73">
        <f t="shared" si="43"/>
        <v>1.8314816850000001E-3</v>
      </c>
      <c r="K58" s="73">
        <f t="shared" si="43"/>
        <v>1.9541748025014073E-5</v>
      </c>
      <c r="L58" s="73">
        <f t="shared" si="43"/>
        <v>2.153930403093097E-10</v>
      </c>
      <c r="M58" s="73">
        <f t="shared" si="44"/>
        <v>1.8510236484180543E-3</v>
      </c>
      <c r="N58" s="56">
        <f t="shared" ref="N58:AD58" si="58">IFERROR(N16/$B58,0)</f>
        <v>257923839.69427079</v>
      </c>
      <c r="O58" s="56">
        <f t="shared" si="58"/>
        <v>714925191.55073071</v>
      </c>
      <c r="P58" s="56">
        <f t="shared" si="58"/>
        <v>279027893.57777947</v>
      </c>
      <c r="Q58" s="56">
        <f t="shared" si="58"/>
        <v>277377820.63452315</v>
      </c>
      <c r="R58" s="56">
        <f t="shared" si="58"/>
        <v>9279367840.0405693</v>
      </c>
      <c r="S58" s="64">
        <f>IFERROR(s_RadSpec!$F$16*S16,".")*$B$58</f>
        <v>2.153930403093097E-10</v>
      </c>
      <c r="T58" s="64">
        <f>IFERROR(s_RadSpec!$M$16*T16,".")*$B$58</f>
        <v>7.7707431010364449E-11</v>
      </c>
      <c r="U58" s="64">
        <f>IFERROR(s_RadSpec!$N$16*U16,".")*$B$58</f>
        <v>1.9910195818653507E-10</v>
      </c>
      <c r="V58" s="64">
        <f>IFERROR(s_RadSpec!$O$16*V16,".")*$B$58</f>
        <v>2.0028638148830228E-10</v>
      </c>
      <c r="W58" s="64">
        <f>IFERROR(s_RadSpec!$K$16*W16,".")*$B$58</f>
        <v>5.9869380067335596E-12</v>
      </c>
      <c r="X58" s="73">
        <f t="shared" si="46"/>
        <v>2.153930403093097E-10</v>
      </c>
      <c r="Y58" s="73">
        <f t="shared" si="46"/>
        <v>7.7707431010364449E-11</v>
      </c>
      <c r="Z58" s="73">
        <f t="shared" si="46"/>
        <v>1.9910195818653507E-10</v>
      </c>
      <c r="AA58" s="73">
        <f t="shared" si="46"/>
        <v>2.0028638148830228E-10</v>
      </c>
      <c r="AB58" s="73">
        <f t="shared" si="46"/>
        <v>5.9869380067335596E-12</v>
      </c>
      <c r="AC58" s="56">
        <f t="shared" si="58"/>
        <v>9.1636455272818898E-3</v>
      </c>
      <c r="AD58" s="56">
        <f t="shared" si="58"/>
        <v>202383.83864776907</v>
      </c>
      <c r="AE58" s="56">
        <f t="shared" si="47"/>
        <v>9.1636451123653824E-3</v>
      </c>
      <c r="AF58" s="64">
        <f>IFERROR(s_RadSpec!$G$16*AF16,".")*$B$58</f>
        <v>6.0625435406249997</v>
      </c>
      <c r="AG58" s="64">
        <f>IFERROR(s_RadSpec!$J$16*AG16,".")*$B$58</f>
        <v>2.7450314398220543E-7</v>
      </c>
      <c r="AH58" s="73">
        <f t="shared" si="48"/>
        <v>0.99767152921104285</v>
      </c>
      <c r="AI58" s="73">
        <f t="shared" si="48"/>
        <v>2.7450314398220543E-7</v>
      </c>
      <c r="AJ58" s="73">
        <f t="shared" si="49"/>
        <v>0.99767152985021534</v>
      </c>
    </row>
    <row r="59" spans="1:36" x14ac:dyDescent="0.25">
      <c r="A59" s="55" t="s">
        <v>315</v>
      </c>
      <c r="B59" s="50">
        <v>1</v>
      </c>
      <c r="C59" s="56">
        <f>IFERROR(C7/$B59,0)</f>
        <v>4865.3514000048654</v>
      </c>
      <c r="D59" s="56">
        <f>IFERROR(D7/$B59,0)</f>
        <v>99154.384629243243</v>
      </c>
      <c r="E59" s="56">
        <f>IFERROR(E7/$B59,0)</f>
        <v>16594.489932919259</v>
      </c>
      <c r="F59" s="56">
        <f t="shared" si="20"/>
        <v>3624.7479787746202</v>
      </c>
      <c r="G59" s="64">
        <f>IFERROR(s_RadSpec!$I$7*G7,".")*$B$59</f>
        <v>1.1418496925000001E-5</v>
      </c>
      <c r="H59" s="64">
        <f>IFERROR(s_RadSpec!$G$7*H7,".")*$B$59</f>
        <v>5.6028788043746651E-7</v>
      </c>
      <c r="I59" s="64">
        <f>IFERROR(s_RadSpec!$F$7*I7,".")*$B$59</f>
        <v>3.3477979874387681E-6</v>
      </c>
      <c r="J59" s="73">
        <f t="shared" si="43"/>
        <v>1.1418496925000001E-5</v>
      </c>
      <c r="K59" s="73">
        <f t="shared" si="43"/>
        <v>5.6028788043746651E-7</v>
      </c>
      <c r="L59" s="73">
        <f t="shared" si="43"/>
        <v>3.3477979874387681E-6</v>
      </c>
      <c r="M59" s="73">
        <f t="shared" si="44"/>
        <v>1.5326582792876236E-5</v>
      </c>
      <c r="N59" s="56">
        <f t="shared" ref="N59:AD59" si="59">IFERROR(N7/$B59,0)</f>
        <v>16594.489932919259</v>
      </c>
      <c r="O59" s="56">
        <f t="shared" si="59"/>
        <v>76525.810022494145</v>
      </c>
      <c r="P59" s="56">
        <f t="shared" si="59"/>
        <v>26044.730986862778</v>
      </c>
      <c r="Q59" s="56">
        <f t="shared" si="59"/>
        <v>18333.543435043466</v>
      </c>
      <c r="R59" s="56">
        <f t="shared" si="59"/>
        <v>25925.542796089037</v>
      </c>
      <c r="S59" s="64">
        <f>IFERROR(s_RadSpec!$F$7*S7,".")*$B$59</f>
        <v>3.3477979874387681E-6</v>
      </c>
      <c r="T59" s="64">
        <f>IFERROR(s_RadSpec!$M$7*T7,".")*$B$59</f>
        <v>7.2596422022413151E-7</v>
      </c>
      <c r="U59" s="64">
        <f>IFERROR(s_RadSpec!$N$7*U7,".")*$B$59</f>
        <v>2.1330610029346235E-6</v>
      </c>
      <c r="V59" s="64">
        <f>IFERROR(s_RadSpec!$O$7*V7,".")*$B$59</f>
        <v>3.0302380004625808E-6</v>
      </c>
      <c r="W59" s="64">
        <f>IFERROR(s_RadSpec!$K$7*W7,".")*$B$59</f>
        <v>2.1428673812908809E-6</v>
      </c>
      <c r="X59" s="73">
        <f t="shared" si="46"/>
        <v>3.3477979874387681E-6</v>
      </c>
      <c r="Y59" s="73">
        <f t="shared" si="46"/>
        <v>7.2596422022413151E-7</v>
      </c>
      <c r="Z59" s="73">
        <f t="shared" si="46"/>
        <v>2.1330610029346235E-6</v>
      </c>
      <c r="AA59" s="73">
        <f t="shared" si="46"/>
        <v>3.0302380004625808E-6</v>
      </c>
      <c r="AB59" s="73">
        <f t="shared" si="46"/>
        <v>2.1428673812908809E-6</v>
      </c>
      <c r="AC59" s="56">
        <f t="shared" si="59"/>
        <v>0.31961007570763672</v>
      </c>
      <c r="AD59" s="56">
        <f t="shared" si="59"/>
        <v>150559.27952383706</v>
      </c>
      <c r="AE59" s="56">
        <f t="shared" si="47"/>
        <v>0.3196093972347856</v>
      </c>
      <c r="AF59" s="64">
        <f>IFERROR(s_RadSpec!$G$7*AF7,".")*$B$59</f>
        <v>0.1738211784375</v>
      </c>
      <c r="AG59" s="64">
        <f>IFERROR(s_RadSpec!$J$7*AG7,".")*$B$59</f>
        <v>3.6899087306806843E-7</v>
      </c>
      <c r="AH59" s="73">
        <f t="shared" si="48"/>
        <v>0.15955282570141405</v>
      </c>
      <c r="AI59" s="73">
        <f t="shared" si="48"/>
        <v>3.6899087306806843E-7</v>
      </c>
      <c r="AJ59" s="73">
        <f t="shared" si="49"/>
        <v>0.15955313581869346</v>
      </c>
    </row>
    <row r="60" spans="1:36" x14ac:dyDescent="0.25">
      <c r="A60" s="55" t="s">
        <v>316</v>
      </c>
      <c r="B60" s="59">
        <v>1.9000000000000001E-8</v>
      </c>
      <c r="C60" s="56">
        <f>IFERROR(C12/$B60,0)</f>
        <v>0</v>
      </c>
      <c r="D60" s="56">
        <f>IFERROR(D12/$B60,0)</f>
        <v>0</v>
      </c>
      <c r="E60" s="56">
        <f>IFERROR(E12/$B60,0)</f>
        <v>3880526047.062716</v>
      </c>
      <c r="F60" s="56">
        <f t="shared" si="20"/>
        <v>3880526047.062716</v>
      </c>
      <c r="G60" s="64">
        <f>IFERROR(s_RadSpec!$I$12*G12,".")*$B$60</f>
        <v>0</v>
      </c>
      <c r="H60" s="64">
        <f>IFERROR(s_RadSpec!$G$12*H12,".")*$B$60</f>
        <v>0</v>
      </c>
      <c r="I60" s="64">
        <f>IFERROR(s_RadSpec!$F$12*I12,".")*$B$60</f>
        <v>1.4316357969572497E-11</v>
      </c>
      <c r="J60" s="73">
        <f t="shared" si="43"/>
        <v>0</v>
      </c>
      <c r="K60" s="73">
        <f t="shared" si="43"/>
        <v>0</v>
      </c>
      <c r="L60" s="73">
        <f t="shared" si="43"/>
        <v>1.4316357969572497E-11</v>
      </c>
      <c r="M60" s="73">
        <f t="shared" si="44"/>
        <v>1.4316357969572497E-11</v>
      </c>
      <c r="N60" s="56">
        <f t="shared" ref="N60:AD60" si="60">IFERROR(N12/$B60,0)</f>
        <v>3880526047.062716</v>
      </c>
      <c r="O60" s="56">
        <f t="shared" si="60"/>
        <v>30635967491.480095</v>
      </c>
      <c r="P60" s="56">
        <f t="shared" si="60"/>
        <v>7964446097.0097523</v>
      </c>
      <c r="Q60" s="56">
        <f t="shared" si="60"/>
        <v>4769114383.6751995</v>
      </c>
      <c r="R60" s="56">
        <f t="shared" si="60"/>
        <v>51990078573.620018</v>
      </c>
      <c r="S60" s="64">
        <f>IFERROR(s_RadSpec!$F$12*S12,".")*$B$60</f>
        <v>1.4316357969572497E-11</v>
      </c>
      <c r="T60" s="64">
        <f>IFERROR(s_RadSpec!$M$12*T12,".")*$B$60</f>
        <v>1.813391400661654E-12</v>
      </c>
      <c r="U60" s="64">
        <f>IFERROR(s_RadSpec!$N$12*U12,".")*$B$60</f>
        <v>6.9753752267666282E-12</v>
      </c>
      <c r="V60" s="64">
        <f>IFERROR(s_RadSpec!$O$12*V12,".")*$B$60</f>
        <v>1.1648913305616278E-11</v>
      </c>
      <c r="W60" s="64">
        <f>IFERROR(s_RadSpec!$K$12*W12,".")*$B$60</f>
        <v>1.0685692640631788E-12</v>
      </c>
      <c r="X60" s="73">
        <f t="shared" si="46"/>
        <v>1.4316357969572497E-11</v>
      </c>
      <c r="Y60" s="73">
        <f t="shared" si="46"/>
        <v>1.813391400661654E-12</v>
      </c>
      <c r="Z60" s="73">
        <f t="shared" si="46"/>
        <v>6.9753752267666282E-12</v>
      </c>
      <c r="AA60" s="73">
        <f t="shared" si="46"/>
        <v>1.1648913305616278E-11</v>
      </c>
      <c r="AB60" s="73">
        <f t="shared" si="46"/>
        <v>1.0685692640631788E-12</v>
      </c>
      <c r="AC60" s="56">
        <f t="shared" si="60"/>
        <v>0</v>
      </c>
      <c r="AD60" s="56">
        <f t="shared" si="60"/>
        <v>84462357429.47142</v>
      </c>
      <c r="AE60" s="56">
        <f t="shared" si="47"/>
        <v>84462357429.47142</v>
      </c>
      <c r="AF60" s="64">
        <f>IFERROR(s_RadSpec!$G$12*AF12,".")*$B$60</f>
        <v>0</v>
      </c>
      <c r="AG60" s="64">
        <f>IFERROR(s_RadSpec!$J$12*AG12,".")*$B$60</f>
        <v>6.5774863135202041E-13</v>
      </c>
      <c r="AH60" s="73">
        <f t="shared" si="48"/>
        <v>0</v>
      </c>
      <c r="AI60" s="73">
        <f t="shared" si="48"/>
        <v>6.5774863135202041E-13</v>
      </c>
      <c r="AJ60" s="73">
        <f t="shared" si="49"/>
        <v>6.5774863135202041E-13</v>
      </c>
    </row>
    <row r="61" spans="1:36" x14ac:dyDescent="0.25">
      <c r="A61" s="55" t="s">
        <v>317</v>
      </c>
      <c r="B61" s="50">
        <v>1</v>
      </c>
      <c r="C61" s="56">
        <f>IFERROR(C18/$B61,0)</f>
        <v>12.664961118569364</v>
      </c>
      <c r="D61" s="56">
        <f>IFERROR(D18/$B61,0)</f>
        <v>3111.2217626012548</v>
      </c>
      <c r="E61" s="56">
        <f>IFERROR(E18/$B61,0)</f>
        <v>397366.94583399</v>
      </c>
      <c r="F61" s="56">
        <f t="shared" si="20"/>
        <v>12.613214048440216</v>
      </c>
      <c r="G61" s="64">
        <f>IFERROR(s_RadSpec!$I$18*G18,".")*$B$61</f>
        <v>4.3865116899999999E-3</v>
      </c>
      <c r="H61" s="64">
        <f>IFERROR(s_RadSpec!$G$18*H18,".")*$B$61</f>
        <v>1.785632919768186E-5</v>
      </c>
      <c r="I61" s="64">
        <f>IFERROR(s_RadSpec!$F$18*I18,".")*$B$61</f>
        <v>1.3980780380059461E-7</v>
      </c>
      <c r="J61" s="73">
        <f t="shared" si="43"/>
        <v>4.3865116899999999E-3</v>
      </c>
      <c r="K61" s="73">
        <f t="shared" si="43"/>
        <v>1.785632919768186E-5</v>
      </c>
      <c r="L61" s="73">
        <f t="shared" si="43"/>
        <v>1.3980780380059461E-7</v>
      </c>
      <c r="M61" s="73">
        <f t="shared" si="44"/>
        <v>4.4045078270014831E-3</v>
      </c>
      <c r="N61" s="56">
        <f t="shared" ref="N61:AD61" si="61">IFERROR(N18/$B61,0)</f>
        <v>397366.94583399</v>
      </c>
      <c r="O61" s="56">
        <f t="shared" si="61"/>
        <v>3960095.2955493489</v>
      </c>
      <c r="P61" s="56">
        <f t="shared" si="61"/>
        <v>976750.45602320589</v>
      </c>
      <c r="Q61" s="56">
        <f t="shared" si="61"/>
        <v>519451.24937339174</v>
      </c>
      <c r="R61" s="56">
        <f t="shared" si="61"/>
        <v>6924794.1212073518</v>
      </c>
      <c r="S61" s="64">
        <f>IFERROR(s_RadSpec!$F$18*S18,".")*$B$61</f>
        <v>1.3980780380059461E-7</v>
      </c>
      <c r="T61" s="64">
        <f>IFERROR(s_RadSpec!$M$18*T18,".")*$B$61</f>
        <v>1.4028702809863406E-8</v>
      </c>
      <c r="U61" s="64">
        <f>IFERROR(s_RadSpec!$N$18*U18,".")*$B$61</f>
        <v>5.6877372984487336E-8</v>
      </c>
      <c r="V61" s="64">
        <f>IFERROR(s_RadSpec!$O$18*V18,".")*$B$61</f>
        <v>1.069494010593205E-7</v>
      </c>
      <c r="W61" s="64">
        <f>IFERROR(s_RadSpec!$K$18*W18,".")*$B$61</f>
        <v>8.0226211823195489E-9</v>
      </c>
      <c r="X61" s="73">
        <f t="shared" si="46"/>
        <v>1.3980780380059461E-7</v>
      </c>
      <c r="Y61" s="73">
        <f t="shared" si="46"/>
        <v>1.4028702809863406E-8</v>
      </c>
      <c r="Z61" s="73">
        <f t="shared" si="46"/>
        <v>5.6877372984487336E-8</v>
      </c>
      <c r="AA61" s="73">
        <f t="shared" si="46"/>
        <v>1.069494010593205E-7</v>
      </c>
      <c r="AB61" s="73">
        <f t="shared" si="46"/>
        <v>8.0226211823195489E-9</v>
      </c>
      <c r="AC61" s="56">
        <f t="shared" si="61"/>
        <v>1.0028581457152885E-2</v>
      </c>
      <c r="AD61" s="56">
        <f t="shared" si="61"/>
        <v>19051216.096172679</v>
      </c>
      <c r="AE61" s="56">
        <f t="shared" si="47"/>
        <v>1.0028581451873828E-2</v>
      </c>
      <c r="AF61" s="64">
        <f>IFERROR(s_RadSpec!$G$18*AF18,".")*$B$61</f>
        <v>5.5396668250000003</v>
      </c>
      <c r="AG61" s="64">
        <f>IFERROR(s_RadSpec!$J$18*AG18,".")*$B$61</f>
        <v>2.9160868114430133E-9</v>
      </c>
      <c r="AH61" s="73">
        <f t="shared" si="48"/>
        <v>0.99607216472315763</v>
      </c>
      <c r="AI61" s="73">
        <f t="shared" si="48"/>
        <v>2.9160868114430133E-9</v>
      </c>
      <c r="AJ61" s="73">
        <f t="shared" si="49"/>
        <v>0.99607216473461158</v>
      </c>
    </row>
    <row r="62" spans="1:36" x14ac:dyDescent="0.25">
      <c r="A62" s="55" t="s">
        <v>318</v>
      </c>
      <c r="B62" s="50">
        <v>1.339E-6</v>
      </c>
      <c r="C62" s="56">
        <f>IFERROR(C27/$B62,0)</f>
        <v>0</v>
      </c>
      <c r="D62" s="56">
        <f>IFERROR(D27/$B62,0)</f>
        <v>0</v>
      </c>
      <c r="E62" s="56">
        <f>IFERROR(E27/$B62,0)</f>
        <v>3594488282.2813702</v>
      </c>
      <c r="F62" s="56">
        <f t="shared" ref="F62" si="62">IFERROR(SUM(C62:E62),0)</f>
        <v>3594488282.2813702</v>
      </c>
      <c r="G62" s="64">
        <f>IFERROR(s_RadSpec!$I$27*G27,".")*$B$62</f>
        <v>0</v>
      </c>
      <c r="H62" s="64">
        <f>IFERROR(s_RadSpec!$G$27*H27,".")*$B$62</f>
        <v>0</v>
      </c>
      <c r="I62" s="64">
        <f>IFERROR(s_RadSpec!$F$27*I27,".")*$B$62</f>
        <v>1.5455607484896298E-11</v>
      </c>
      <c r="J62" s="73">
        <f t="shared" si="43"/>
        <v>0</v>
      </c>
      <c r="K62" s="73">
        <f t="shared" si="43"/>
        <v>0</v>
      </c>
      <c r="L62" s="73">
        <f t="shared" si="43"/>
        <v>1.5455607484896298E-11</v>
      </c>
      <c r="M62" s="73">
        <f t="shared" si="44"/>
        <v>1.5455607484896298E-11</v>
      </c>
      <c r="N62" s="56">
        <f t="shared" ref="N62:AD62" si="63">IFERROR(N27/$B62,0)</f>
        <v>3594488282.2813702</v>
      </c>
      <c r="O62" s="56">
        <f t="shared" si="63"/>
        <v>31397272725.903416</v>
      </c>
      <c r="P62" s="56">
        <f t="shared" si="63"/>
        <v>9053502944.4361</v>
      </c>
      <c r="Q62" s="56">
        <f t="shared" si="63"/>
        <v>4953986860.4334974</v>
      </c>
      <c r="R62" s="56">
        <f t="shared" si="63"/>
        <v>23763102056.033272</v>
      </c>
      <c r="S62" s="64">
        <f>IFERROR(s_RadSpec!$F$27*S27,".")*$B$62</f>
        <v>1.5455607484896298E-11</v>
      </c>
      <c r="T62" s="64">
        <f>IFERROR(s_RadSpec!$M$27*T27,".")*$B$62</f>
        <v>1.7694212005288576E-12</v>
      </c>
      <c r="U62" s="64">
        <f>IFERROR(s_RadSpec!$N$27*U27,".")*$B$62</f>
        <v>6.1362988824277953E-12</v>
      </c>
      <c r="V62" s="64">
        <f>IFERROR(s_RadSpec!$O$27*V27,".")*$B$62</f>
        <v>1.1214200110966519E-11</v>
      </c>
      <c r="W62" s="64">
        <f>IFERROR(s_RadSpec!$K$27*W27,".")*$B$62</f>
        <v>2.337868173481795E-12</v>
      </c>
      <c r="X62" s="73">
        <f t="shared" si="46"/>
        <v>1.5455607484896298E-11</v>
      </c>
      <c r="Y62" s="73">
        <f t="shared" si="46"/>
        <v>1.7694212005288576E-12</v>
      </c>
      <c r="Z62" s="73">
        <f t="shared" si="46"/>
        <v>6.1362988824277953E-12</v>
      </c>
      <c r="AA62" s="73">
        <f t="shared" si="46"/>
        <v>1.1214200110966519E-11</v>
      </c>
      <c r="AB62" s="73">
        <f t="shared" si="46"/>
        <v>2.337868173481795E-12</v>
      </c>
      <c r="AC62" s="56">
        <f t="shared" si="63"/>
        <v>0</v>
      </c>
      <c r="AD62" s="56">
        <f t="shared" si="63"/>
        <v>63274580199.646706</v>
      </c>
      <c r="AE62" s="56">
        <f t="shared" si="47"/>
        <v>63274580199.646698</v>
      </c>
      <c r="AF62" s="64">
        <f>IFERROR(s_RadSpec!$G$27*AF27,".")*$B$62</f>
        <v>0</v>
      </c>
      <c r="AG62" s="64">
        <f>IFERROR(s_RadSpec!$J$27*AG27,".")*$B$62</f>
        <v>8.7799871330177839E-13</v>
      </c>
      <c r="AH62" s="73">
        <f t="shared" si="48"/>
        <v>0</v>
      </c>
      <c r="AI62" s="73">
        <f t="shared" si="48"/>
        <v>8.7799871330177839E-13</v>
      </c>
      <c r="AJ62" s="73">
        <f t="shared" si="49"/>
        <v>8.7799871330177839E-13</v>
      </c>
    </row>
    <row r="63" spans="1:36" x14ac:dyDescent="0.25">
      <c r="A63" s="52" t="s">
        <v>35</v>
      </c>
      <c r="B63" s="52" t="s">
        <v>289</v>
      </c>
      <c r="C63" s="53">
        <f>1/SUM(1/C66,1/C68,1/C72,1/C73,1/C75)</f>
        <v>8.9165690520999874</v>
      </c>
      <c r="D63" s="53">
        <f>1/SUM(1/D64,1/D65,1/D66,1/D68,1/D72,1/D73,1/D75)</f>
        <v>1456.2251020404051</v>
      </c>
      <c r="E63" s="53">
        <f>1/SUM(1/E64,1/E66,1/E68,1/E69,1/E70,1/E71,1/E72,1/E73,1/E74,1/E75,1/E76)</f>
        <v>1.6848969669316662</v>
      </c>
      <c r="F63" s="54">
        <f>1/SUM(1/F64,1/F65,1/F66,1/F68,1/F69,1/F70,1/F71,1/F72,1/F73,1/F74,1/F75,1/F76)</f>
        <v>1.4157376275219729</v>
      </c>
      <c r="G63" s="71"/>
      <c r="H63" s="71"/>
      <c r="I63" s="71"/>
      <c r="J63" s="72">
        <f>IFERROR(IF(SUM(G64:G76)&gt;0.01,1-EXP(-SUM(G64:G76)),SUM(G64:G76)),".")</f>
        <v>6.230535498058634E-3</v>
      </c>
      <c r="K63" s="72">
        <f>IFERROR(IF(SUM(H64:H76)&gt;0.01,1-EXP(-SUM(H64:H76)),SUM(H64:H76)),".")</f>
        <v>3.8150008485747518E-5</v>
      </c>
      <c r="L63" s="72">
        <f>IFERROR(IF(SUM(I64:I76)&gt;0.01,1-EXP(-SUM(I64:I76)),SUM(I64:I76)),".")</f>
        <v>3.243468041734654E-2</v>
      </c>
      <c r="M63" s="72">
        <f>IFERROR(IF(SUM(G64:I76)&gt;0.01,1-EXP(-SUM(G64:I76)),SUM(G64:I76)),".")</f>
        <v>3.8481071849566173E-2</v>
      </c>
      <c r="N63" s="53">
        <f t="shared" ref="N63:R63" si="64">1/SUM(1/N64,1/N66,1/N68,1/N69,1/N70,1/N71,1/N72,1/N73,1/N74,1/N75,1/N76)</f>
        <v>1.6848969669316662</v>
      </c>
      <c r="O63" s="53">
        <f t="shared" si="64"/>
        <v>18.680480107653143</v>
      </c>
      <c r="P63" s="53">
        <f t="shared" si="64"/>
        <v>4.6049460612148652</v>
      </c>
      <c r="Q63" s="53">
        <f t="shared" si="64"/>
        <v>2.3779834925844283</v>
      </c>
      <c r="R63" s="53">
        <f t="shared" si="64"/>
        <v>34.271467781830374</v>
      </c>
      <c r="S63" s="71"/>
      <c r="T63" s="71"/>
      <c r="U63" s="71"/>
      <c r="V63" s="71"/>
      <c r="W63" s="71"/>
      <c r="X63" s="72">
        <f>IFERROR(IF(SUM(S64:S76)&gt;0.01,1-EXP(-SUM(S64:S76)),SUM(S64:S76)),".")</f>
        <v>3.243468041734654E-2</v>
      </c>
      <c r="Y63" s="72">
        <f t="shared" ref="Y63:AB63" si="65">IFERROR(IF(SUM(T64:T76)&gt;0.01,1-EXP(-SUM(T64:T76)),SUM(T64:T76)),".")</f>
        <v>2.9739599667590907E-3</v>
      </c>
      <c r="Z63" s="72">
        <f t="shared" si="65"/>
        <v>1.1991721393081911E-2</v>
      </c>
      <c r="AA63" s="72">
        <f t="shared" si="65"/>
        <v>2.3091447023697143E-2</v>
      </c>
      <c r="AB63" s="72">
        <f t="shared" si="65"/>
        <v>1.6210277410252454E-3</v>
      </c>
      <c r="AC63" s="53">
        <f>1/SUM(1/AC64,1/AC65,1/AC66,1/AC68,1/AC72,1/AC73,1/AC75)</f>
        <v>4.6939347851414027E-3</v>
      </c>
      <c r="AD63" s="53">
        <f t="shared" ref="AD63:AE63" si="66">1/SUM(1/AD64,1/AD65,1/AD66,1/AD67,1/AD68,1/AD69,1/AD70,1/AD71,1/AD72,1/AD73,1/AD74,1/AD75,1/AD76)</f>
        <v>103.1090430827925</v>
      </c>
      <c r="AE63" s="54">
        <f t="shared" si="66"/>
        <v>4.6937211082404926E-3</v>
      </c>
      <c r="AF63" s="71"/>
      <c r="AG63" s="71"/>
      <c r="AH63" s="72">
        <f>IFERROR(IF(SUM(AF64:AF76)&gt;0.01,1-EXP(-SUM(AF64:AF76)),SUM(AF64:AF76)),".")</f>
        <v>0.99999275708001834</v>
      </c>
      <c r="AI63" s="72">
        <f>IFERROR(IF(SUM(AG64:AG76)&gt;0.01,1-EXP(-SUM(AG64:AG76)),SUM(AG64:AG76)),".")</f>
        <v>5.3879852182695106E-4</v>
      </c>
      <c r="AJ63" s="72">
        <f>IFERROR(IF(SUM(AF64:AG76)&gt;0.01,1-EXP(-SUM(AF64:AG76)),SUM(AF64:AG76)),".")</f>
        <v>0.99999276098144174</v>
      </c>
    </row>
    <row r="64" spans="1:36" x14ac:dyDescent="0.25">
      <c r="A64" s="55" t="s">
        <v>306</v>
      </c>
      <c r="B64" s="60">
        <v>1</v>
      </c>
      <c r="C64" s="56">
        <f>IFERROR(C25/$B50,0)</f>
        <v>0</v>
      </c>
      <c r="D64" s="56">
        <f>IFERROR(D25/$B50,0)</f>
        <v>19791737.037179209</v>
      </c>
      <c r="E64" s="56">
        <f>IFERROR(E25/$B50,0)</f>
        <v>15112.223486896148</v>
      </c>
      <c r="F64" s="56">
        <f t="shared" ref="F64:F76" si="67">IF(AND(C64&lt;&gt;0,D64&lt;&gt;0,E64&lt;&gt;0),1/((1/C64)+(1/D64)+(1/E64)),IF(AND(C64&lt;&gt;0,D64&lt;&gt;0,E64=0), 1/((1/C64)+(1/D64)),IF(AND(C64&lt;&gt;0,D64=0,E64&lt;&gt;0),1/((1/C64)+(1/E64)),IF(AND(C64=0,D64&lt;&gt;0,E64&lt;&gt;0),1/((1/D64)+(1/E64)),IF(AND(C64&lt;&gt;0,D64=0,E64=0),1/((1/C64)),IF(AND(C64=0,D64&lt;&gt;0,E64=0),1/((1/D64)),IF(AND(C64=0,D64=0,E64&lt;&gt;0),1/((1/E64)),IF(AND(C64=0,D64=0,E64=0),0))))))))</f>
        <v>15100.693167474199</v>
      </c>
      <c r="G64" s="64">
        <f>IFERROR(s_RadSpec!$I$25*G25,".")*$B$64</f>
        <v>0</v>
      </c>
      <c r="H64" s="64">
        <f>IFERROR(s_RadSpec!$G$25*H25,".")*$B$64</f>
        <v>2.8069794932925148E-9</v>
      </c>
      <c r="I64" s="64">
        <f>IFERROR(s_RadSpec!$F$25*I25,".")*$B$64</f>
        <v>3.6761632097468568E-6</v>
      </c>
      <c r="J64" s="73">
        <f t="shared" ref="J64:L76" si="68">IFERROR(IF(G64&gt;0.01,1-EXP(-G64),G64),".")</f>
        <v>0</v>
      </c>
      <c r="K64" s="73">
        <f t="shared" si="68"/>
        <v>2.8069794932925148E-9</v>
      </c>
      <c r="L64" s="73">
        <f t="shared" si="68"/>
        <v>3.6761632097468568E-6</v>
      </c>
      <c r="M64" s="73">
        <f t="shared" ref="M64:M76" si="69">IFERROR(IF(SUM(G64:I64)&gt;0.01,1-EXP(-SUM(G64:I64)),SUM(G64:I64)),".")</f>
        <v>3.6789701892401491E-6</v>
      </c>
      <c r="N64" s="56">
        <f t="shared" ref="N64:AD64" si="70">IFERROR(N25/$B50,0)</f>
        <v>15112.223486896148</v>
      </c>
      <c r="O64" s="56">
        <f t="shared" si="70"/>
        <v>128406.87702228803</v>
      </c>
      <c r="P64" s="56">
        <f t="shared" si="70"/>
        <v>32639.011626016832</v>
      </c>
      <c r="Q64" s="56">
        <f t="shared" si="70"/>
        <v>19041.93297821924</v>
      </c>
      <c r="R64" s="56">
        <f t="shared" si="70"/>
        <v>234516.85866387293</v>
      </c>
      <c r="S64" s="64">
        <f>IFERROR(s_RadSpec!$F$25*S25,".")*$B$64</f>
        <v>3.6761632097468568E-6</v>
      </c>
      <c r="T64" s="64">
        <f>IFERROR(s_RadSpec!$M$25*T25,".")*$B$64</f>
        <v>4.3264816720335876E-7</v>
      </c>
      <c r="U64" s="64">
        <f>IFERROR(s_RadSpec!$N$25*U25,".")*$B$64</f>
        <v>1.7021042376086118E-6</v>
      </c>
      <c r="V64" s="64">
        <f>IFERROR(s_RadSpec!$O$25*V25,".")*$B$64</f>
        <v>2.9175084306590902E-6</v>
      </c>
      <c r="W64" s="64">
        <f>IFERROR(s_RadSpec!$K$25*W25,".")*$B$64</f>
        <v>2.3689128498700196E-7</v>
      </c>
      <c r="X64" s="73">
        <f t="shared" ref="X64:AB76" si="71">IFERROR(IF(S64&gt;0.01,1-EXP(-S64),S64),".")</f>
        <v>3.6761632097468568E-6</v>
      </c>
      <c r="Y64" s="73">
        <f t="shared" si="71"/>
        <v>4.3264816720335876E-7</v>
      </c>
      <c r="Z64" s="73">
        <f t="shared" si="71"/>
        <v>1.7021042376086118E-6</v>
      </c>
      <c r="AA64" s="73">
        <f t="shared" si="71"/>
        <v>2.9175084306590902E-6</v>
      </c>
      <c r="AB64" s="73">
        <f t="shared" si="71"/>
        <v>2.3689128498700196E-7</v>
      </c>
      <c r="AC64" s="56">
        <f t="shared" si="70"/>
        <v>63.795853269537481</v>
      </c>
      <c r="AD64" s="56">
        <f t="shared" si="70"/>
        <v>490671.60880790063</v>
      </c>
      <c r="AE64" s="56">
        <f t="shared" ref="AE64:AE76" si="72">IFERROR(IF(AND(AC64&lt;&gt;0,AD64&lt;&gt;0),1/((1/AC64)+(1/AD64)),IF(AND(AC64&lt;&gt;0,AD64=0),1/((1/AC64)),IF(AND(AC64=0,AD64&lt;&gt;0),1/((1/AD64)),IF(AND(AC64=0,AD64=0),0)))),0)</f>
        <v>63.78755977602605</v>
      </c>
      <c r="AF64" s="64">
        <f>IFERROR(s_RadSpec!$G$25*AF25,".")*$B$64</f>
        <v>8.7082462499999997E-4</v>
      </c>
      <c r="AG64" s="64">
        <f>IFERROR(s_RadSpec!$J$25*AG25,".")*$B$64</f>
        <v>1.1322236502530136E-7</v>
      </c>
      <c r="AH64" s="73">
        <f t="shared" ref="AH64:AI76" si="73">IFERROR(IF(AF64&gt;0.01,1-EXP(-AF64),AF64),".")</f>
        <v>8.7082462499999997E-4</v>
      </c>
      <c r="AI64" s="73">
        <f t="shared" si="73"/>
        <v>1.1322236502530136E-7</v>
      </c>
      <c r="AJ64" s="73">
        <f t="shared" ref="AJ64:AJ76" si="74">IFERROR(IF(SUM(AF64:AG64)&gt;0.01,1-EXP(-SUM(AF64:AG64)),SUM(AF64:AG64)),".")</f>
        <v>8.7093784736502527E-4</v>
      </c>
    </row>
    <row r="65" spans="1:36" x14ac:dyDescent="0.25">
      <c r="A65" s="55" t="s">
        <v>307</v>
      </c>
      <c r="B65" s="60">
        <v>1</v>
      </c>
      <c r="C65" s="56">
        <f>IFERROR(C21/$B51,0)</f>
        <v>0</v>
      </c>
      <c r="D65" s="56">
        <f>IFERROR(D21/$B51,0)</f>
        <v>3246414.4204869489</v>
      </c>
      <c r="E65" s="56">
        <f>IFERROR(E21/$B51,0)</f>
        <v>0</v>
      </c>
      <c r="F65" s="56">
        <f t="shared" si="67"/>
        <v>3246414.4204869489</v>
      </c>
      <c r="G65" s="64">
        <f>IFERROR(s_RadSpec!$I$21*G21,".")*$B$65</f>
        <v>0</v>
      </c>
      <c r="H65" s="64">
        <f>IFERROR(s_RadSpec!$G$21*H21,".")*$B$65</f>
        <v>1.7112725858230684E-8</v>
      </c>
      <c r="I65" s="64">
        <f>IFERROR(s_RadSpec!$F$21*I21,".")*$B$65</f>
        <v>0</v>
      </c>
      <c r="J65" s="73">
        <f t="shared" si="68"/>
        <v>0</v>
      </c>
      <c r="K65" s="73">
        <f t="shared" si="68"/>
        <v>1.7112725858230684E-8</v>
      </c>
      <c r="L65" s="73">
        <f t="shared" si="68"/>
        <v>0</v>
      </c>
      <c r="M65" s="73">
        <f t="shared" si="69"/>
        <v>1.7112725858230684E-8</v>
      </c>
      <c r="N65" s="56">
        <f t="shared" ref="N65:AD65" si="75">IFERROR(N21/$B51,0)</f>
        <v>0</v>
      </c>
      <c r="O65" s="56">
        <f t="shared" si="75"/>
        <v>0</v>
      </c>
      <c r="P65" s="56">
        <f t="shared" si="75"/>
        <v>0</v>
      </c>
      <c r="Q65" s="56">
        <f t="shared" si="75"/>
        <v>0</v>
      </c>
      <c r="R65" s="56">
        <f t="shared" si="75"/>
        <v>0</v>
      </c>
      <c r="S65" s="64">
        <f>IFERROR(s_RadSpec!$F$21*S21,".")*$B$65</f>
        <v>0</v>
      </c>
      <c r="T65" s="64">
        <f>IFERROR(s_RadSpec!$M$21*T21,".")*$B$65</f>
        <v>0</v>
      </c>
      <c r="U65" s="64">
        <f>IFERROR(s_RadSpec!$N$21*U21,".")*$B$65</f>
        <v>0</v>
      </c>
      <c r="V65" s="64">
        <f>IFERROR(s_RadSpec!$O$21*V21,".")*$B$65</f>
        <v>0</v>
      </c>
      <c r="W65" s="64">
        <f>IFERROR(s_RadSpec!$K$21*W21,".")*$B$65</f>
        <v>0</v>
      </c>
      <c r="X65" s="73">
        <f t="shared" si="71"/>
        <v>0</v>
      </c>
      <c r="Y65" s="73">
        <f t="shared" si="71"/>
        <v>0</v>
      </c>
      <c r="Z65" s="73">
        <f t="shared" si="71"/>
        <v>0</v>
      </c>
      <c r="AA65" s="73">
        <f t="shared" si="71"/>
        <v>0</v>
      </c>
      <c r="AB65" s="73">
        <f t="shared" si="71"/>
        <v>0</v>
      </c>
      <c r="AC65" s="56">
        <f t="shared" si="75"/>
        <v>10.464355788096794</v>
      </c>
      <c r="AD65" s="56">
        <f t="shared" si="75"/>
        <v>20178506989.437328</v>
      </c>
      <c r="AE65" s="56">
        <f t="shared" si="72"/>
        <v>10.464355782670093</v>
      </c>
      <c r="AF65" s="64">
        <f>IFERROR(s_RadSpec!$G$21*AF21,".")*$B$65</f>
        <v>5.3089746874999998E-3</v>
      </c>
      <c r="AG65" s="64">
        <f>IFERROR(s_RadSpec!$J$21*AG21,".")*$B$65</f>
        <v>2.7531769337087667E-12</v>
      </c>
      <c r="AH65" s="73">
        <f t="shared" si="73"/>
        <v>5.3089746874999998E-3</v>
      </c>
      <c r="AI65" s="73">
        <f t="shared" si="73"/>
        <v>2.7531769337087667E-12</v>
      </c>
      <c r="AJ65" s="73">
        <f t="shared" si="74"/>
        <v>5.3089746902531768E-3</v>
      </c>
    </row>
    <row r="66" spans="1:36" x14ac:dyDescent="0.25">
      <c r="A66" s="55" t="s">
        <v>308</v>
      </c>
      <c r="B66" s="61">
        <v>0.99980000000000002</v>
      </c>
      <c r="C66" s="56">
        <f>IFERROR(C17/$B52,0)</f>
        <v>82466.240127302532</v>
      </c>
      <c r="D66" s="56">
        <f>IFERROR(D17/$B52,0)</f>
        <v>580877.57119980734</v>
      </c>
      <c r="E66" s="56">
        <f>IFERROR(E17/$B52,0)</f>
        <v>35.39575898188378</v>
      </c>
      <c r="F66" s="56">
        <f t="shared" si="67"/>
        <v>35.378418246113561</v>
      </c>
      <c r="G66" s="64">
        <f>IFERROR(s_RadSpec!$I$17*G17,".")*$B$66</f>
        <v>6.7366961212540004E-7</v>
      </c>
      <c r="H66" s="64">
        <f>IFERROR(s_RadSpec!$G$17*H17,".")*$B$66</f>
        <v>9.5639774634869593E-8</v>
      </c>
      <c r="I66" s="64">
        <f>IFERROR(s_RadSpec!$F$17*I17,".")*$B$66</f>
        <v>1.569538317526518E-3</v>
      </c>
      <c r="J66" s="73">
        <f t="shared" si="68"/>
        <v>6.7366961212540004E-7</v>
      </c>
      <c r="K66" s="73">
        <f t="shared" si="68"/>
        <v>9.5639774634869593E-8</v>
      </c>
      <c r="L66" s="73">
        <f t="shared" si="68"/>
        <v>1.569538317526518E-3</v>
      </c>
      <c r="M66" s="73">
        <f t="shared" si="69"/>
        <v>1.5703076269132782E-3</v>
      </c>
      <c r="N66" s="56">
        <f t="shared" ref="N66:AD66" si="76">IFERROR(N17/$B52,0)</f>
        <v>35.39575898188378</v>
      </c>
      <c r="O66" s="56">
        <f t="shared" si="76"/>
        <v>271.92215430932947</v>
      </c>
      <c r="P66" s="56">
        <f t="shared" si="76"/>
        <v>73.558691260493887</v>
      </c>
      <c r="Q66" s="56">
        <f t="shared" si="76"/>
        <v>44.252761961428746</v>
      </c>
      <c r="R66" s="56">
        <f t="shared" si="76"/>
        <v>528.13254696956483</v>
      </c>
      <c r="S66" s="64">
        <f>IFERROR(s_RadSpec!$F$17*S17,".")*$B$66</f>
        <v>1.569538317526518E-3</v>
      </c>
      <c r="T66" s="64">
        <f>IFERROR(s_RadSpec!$M$17*T17,".")*$B$66</f>
        <v>2.0430479502895707E-4</v>
      </c>
      <c r="U66" s="64">
        <f>IFERROR(s_RadSpec!$N$17*U17,".")*$B$66</f>
        <v>7.5524725967816245E-4</v>
      </c>
      <c r="V66" s="64">
        <f>IFERROR(s_RadSpec!$O$17*V17,".")*$B$66</f>
        <v>1.2554018673099413E-3</v>
      </c>
      <c r="W66" s="64">
        <f>IFERROR(s_RadSpec!$K$17*W17,".")*$B$66</f>
        <v>1.0519139621062117E-4</v>
      </c>
      <c r="X66" s="73">
        <f t="shared" si="71"/>
        <v>1.569538317526518E-3</v>
      </c>
      <c r="Y66" s="73">
        <f t="shared" si="71"/>
        <v>2.0430479502895707E-4</v>
      </c>
      <c r="Z66" s="73">
        <f t="shared" si="71"/>
        <v>7.5524725967816245E-4</v>
      </c>
      <c r="AA66" s="73">
        <f t="shared" si="71"/>
        <v>1.2554018673099413E-3</v>
      </c>
      <c r="AB66" s="73">
        <f t="shared" si="71"/>
        <v>1.0519139621062117E-4</v>
      </c>
      <c r="AC66" s="56">
        <f t="shared" si="76"/>
        <v>1.872376347271326</v>
      </c>
      <c r="AD66" s="56">
        <f t="shared" si="76"/>
        <v>781.40890061515358</v>
      </c>
      <c r="AE66" s="56">
        <f t="shared" si="72"/>
        <v>1.8679005691710033</v>
      </c>
      <c r="AF66" s="64">
        <f>IFERROR(s_RadSpec!$G$17*AF17,".")*$B$66</f>
        <v>2.9670851205187504E-2</v>
      </c>
      <c r="AG66" s="64">
        <f>IFERROR(s_RadSpec!$J$17*AG17,".")*$B$66</f>
        <v>7.1095939598672423E-5</v>
      </c>
      <c r="AH66" s="73">
        <f t="shared" si="73"/>
        <v>2.9234992899410117E-2</v>
      </c>
      <c r="AI66" s="73">
        <f t="shared" si="73"/>
        <v>7.1095939598672423E-5</v>
      </c>
      <c r="AJ66" s="73">
        <f t="shared" si="74"/>
        <v>2.930400789634735E-2</v>
      </c>
    </row>
    <row r="67" spans="1:36" x14ac:dyDescent="0.25">
      <c r="A67" s="55" t="s">
        <v>309</v>
      </c>
      <c r="B67" s="60">
        <v>2.0000000000000001E-4</v>
      </c>
      <c r="C67" s="56">
        <f>IFERROR(C5/$B53,0)</f>
        <v>0</v>
      </c>
      <c r="D67" s="56">
        <f>IFERROR(D5/$B53,0)</f>
        <v>0</v>
      </c>
      <c r="E67" s="56">
        <f>IFERROR(E5/$B53,0)</f>
        <v>0</v>
      </c>
      <c r="F67" s="56">
        <f t="shared" si="67"/>
        <v>0</v>
      </c>
      <c r="G67" s="64">
        <f>IFERROR(s_RadSpec!$I$5*G5,".")*$B$67</f>
        <v>0</v>
      </c>
      <c r="H67" s="64">
        <f>IFERROR(s_RadSpec!$G$5*H5,".")*$B$67</f>
        <v>0</v>
      </c>
      <c r="I67" s="64">
        <f>IFERROR(s_RadSpec!$F$5*I5,".")*$B$67</f>
        <v>0</v>
      </c>
      <c r="J67" s="73">
        <f t="shared" si="68"/>
        <v>0</v>
      </c>
      <c r="K67" s="73">
        <f t="shared" si="68"/>
        <v>0</v>
      </c>
      <c r="L67" s="73">
        <f t="shared" si="68"/>
        <v>0</v>
      </c>
      <c r="M67" s="73">
        <f t="shared" si="69"/>
        <v>0</v>
      </c>
      <c r="N67" s="56">
        <f t="shared" ref="N67:AD67" si="77">IFERROR(N5/$B53,0)</f>
        <v>0</v>
      </c>
      <c r="O67" s="56">
        <f t="shared" si="77"/>
        <v>0</v>
      </c>
      <c r="P67" s="56">
        <f t="shared" si="77"/>
        <v>0</v>
      </c>
      <c r="Q67" s="56">
        <f t="shared" si="77"/>
        <v>0</v>
      </c>
      <c r="R67" s="56">
        <f t="shared" si="77"/>
        <v>0</v>
      </c>
      <c r="S67" s="64">
        <f>IFERROR(s_RadSpec!$F$5*S5,".")*$B$67</f>
        <v>0</v>
      </c>
      <c r="T67" s="64">
        <f>IFERROR(s_RadSpec!$M$5*T5,".")*$B$67</f>
        <v>0</v>
      </c>
      <c r="U67" s="64">
        <f>IFERROR(s_RadSpec!$N$5*U5,".")*$B$67</f>
        <v>0</v>
      </c>
      <c r="V67" s="64">
        <f>IFERROR(s_RadSpec!$O$5*V5,".")*$B$67</f>
        <v>0</v>
      </c>
      <c r="W67" s="64">
        <f>IFERROR(s_RadSpec!$K$5*W5,".")*$B$67</f>
        <v>0</v>
      </c>
      <c r="X67" s="73">
        <f t="shared" si="71"/>
        <v>0</v>
      </c>
      <c r="Y67" s="73">
        <f t="shared" si="71"/>
        <v>0</v>
      </c>
      <c r="Z67" s="73">
        <f t="shared" si="71"/>
        <v>0</v>
      </c>
      <c r="AA67" s="73">
        <f t="shared" si="71"/>
        <v>0</v>
      </c>
      <c r="AB67" s="73">
        <f t="shared" si="71"/>
        <v>0</v>
      </c>
      <c r="AC67" s="56">
        <f t="shared" si="77"/>
        <v>0</v>
      </c>
      <c r="AD67" s="56">
        <f t="shared" si="77"/>
        <v>129173018227.83745</v>
      </c>
      <c r="AE67" s="56">
        <f t="shared" si="72"/>
        <v>129173018227.83746</v>
      </c>
      <c r="AF67" s="64">
        <f>IFERROR(s_RadSpec!$G$5*AF5,".")*$B$67</f>
        <v>0</v>
      </c>
      <c r="AG67" s="64">
        <f>IFERROR(s_RadSpec!$J$5*AG5,".")*$B$67</f>
        <v>4.3008207721841092E-13</v>
      </c>
      <c r="AH67" s="73">
        <f t="shared" si="73"/>
        <v>0</v>
      </c>
      <c r="AI67" s="73">
        <f t="shared" si="73"/>
        <v>4.3008207721841092E-13</v>
      </c>
      <c r="AJ67" s="73">
        <f t="shared" si="74"/>
        <v>4.3008207721841092E-13</v>
      </c>
    </row>
    <row r="68" spans="1:36" x14ac:dyDescent="0.25">
      <c r="A68" s="55" t="s">
        <v>310</v>
      </c>
      <c r="B68" s="60">
        <v>0.99999979999999999</v>
      </c>
      <c r="C68" s="56">
        <f>IFERROR(C9/$B54,0)</f>
        <v>123467.48484437421</v>
      </c>
      <c r="D68" s="56">
        <f>IFERROR(D9/$B54,0)</f>
        <v>730180.73575732182</v>
      </c>
      <c r="E68" s="56">
        <f>IFERROR(E9/$B54,0)</f>
        <v>1.7702048926630676</v>
      </c>
      <c r="F68" s="56">
        <f t="shared" si="67"/>
        <v>1.770175221418631</v>
      </c>
      <c r="G68" s="64">
        <f>IFERROR(s_RadSpec!$I$9*G9,".")*$B$68</f>
        <v>4.4995652150867766E-7</v>
      </c>
      <c r="H68" s="64">
        <f>IFERROR(s_RadSpec!$G$9*H9,".")*$B$68</f>
        <v>7.608390262772407E-8</v>
      </c>
      <c r="I68" s="64">
        <f>IFERROR(s_RadSpec!$F$9*I9,".")*$B$68</f>
        <v>3.1383372755468979E-2</v>
      </c>
      <c r="J68" s="73">
        <f t="shared" si="68"/>
        <v>4.4995652150867766E-7</v>
      </c>
      <c r="K68" s="73">
        <f t="shared" si="68"/>
        <v>7.608390262772407E-8</v>
      </c>
      <c r="L68" s="73">
        <f t="shared" si="68"/>
        <v>3.0896026210711525E-2</v>
      </c>
      <c r="M68" s="73">
        <f t="shared" si="69"/>
        <v>3.0896535998442887E-2</v>
      </c>
      <c r="N68" s="56">
        <f t="shared" ref="N68:AD68" si="78">IFERROR(N9/$B54,0)</f>
        <v>1.7702048926630676</v>
      </c>
      <c r="O68" s="56">
        <f t="shared" si="78"/>
        <v>20.075264902486705</v>
      </c>
      <c r="P68" s="56">
        <f t="shared" si="78"/>
        <v>4.9161754660024339</v>
      </c>
      <c r="Q68" s="56">
        <f t="shared" si="78"/>
        <v>2.5146995650179651</v>
      </c>
      <c r="R68" s="56">
        <f t="shared" si="78"/>
        <v>36.722650879724718</v>
      </c>
      <c r="S68" s="64">
        <f>IFERROR(s_RadSpec!$F$9*S9,".")*$B$68</f>
        <v>3.1383372755468979E-2</v>
      </c>
      <c r="T68" s="64">
        <f>IFERROR(s_RadSpec!$M$9*T9,".")*$B$68</f>
        <v>2.7673358369043706E-3</v>
      </c>
      <c r="U68" s="64">
        <f>IFERROR(s_RadSpec!$N$9*U9,".")*$B$68</f>
        <v>1.1300451007940587E-2</v>
      </c>
      <c r="V68" s="64">
        <f>IFERROR(s_RadSpec!$O$9*V9,".")*$B$68</f>
        <v>2.2092102282446253E-2</v>
      </c>
      <c r="W68" s="64">
        <f>IFERROR(s_RadSpec!$K$9*W9,".")*$B$68</f>
        <v>1.5128265163088476E-3</v>
      </c>
      <c r="X68" s="73">
        <f t="shared" si="71"/>
        <v>3.0896026210711525E-2</v>
      </c>
      <c r="Y68" s="73">
        <f t="shared" si="71"/>
        <v>2.7673358369043706E-3</v>
      </c>
      <c r="Z68" s="73">
        <f t="shared" si="71"/>
        <v>1.1236840745138532E-2</v>
      </c>
      <c r="AA68" s="73">
        <f t="shared" si="71"/>
        <v>2.1849858958223334E-2</v>
      </c>
      <c r="AB68" s="73">
        <f t="shared" si="71"/>
        <v>1.5128265163088476E-3</v>
      </c>
      <c r="AC68" s="56">
        <f t="shared" si="78"/>
        <v>2.3536338923213651</v>
      </c>
      <c r="AD68" s="56">
        <f t="shared" si="78"/>
        <v>119.02856416225418</v>
      </c>
      <c r="AE68" s="56">
        <f t="shared" si="72"/>
        <v>2.3079962898733264</v>
      </c>
      <c r="AF68" s="64">
        <f>IFERROR(s_RadSpec!$G$9*AF9,".")*$B$68</f>
        <v>2.3603925904213872E-2</v>
      </c>
      <c r="AG68" s="64">
        <f>IFERROR(s_RadSpec!$J$9*AG9,".")*$B$68</f>
        <v>4.6673670636125636E-4</v>
      </c>
      <c r="AH68" s="73">
        <f t="shared" si="73"/>
        <v>2.332753217499961E-2</v>
      </c>
      <c r="AI68" s="73">
        <f t="shared" si="73"/>
        <v>4.6673670636125636E-4</v>
      </c>
      <c r="AJ68" s="73">
        <f t="shared" si="74"/>
        <v>2.3783274701669632E-2</v>
      </c>
    </row>
    <row r="69" spans="1:36" x14ac:dyDescent="0.25">
      <c r="A69" s="55" t="s">
        <v>311</v>
      </c>
      <c r="B69" s="60">
        <v>1.9999999999999999E-7</v>
      </c>
      <c r="C69" s="56">
        <f>IFERROR(C24/$B55,0)</f>
        <v>0</v>
      </c>
      <c r="D69" s="56">
        <f>IFERROR(D24/$B55,0)</f>
        <v>0</v>
      </c>
      <c r="E69" s="56">
        <f>IFERROR(E24/$B55,0)</f>
        <v>33878908791.769711</v>
      </c>
      <c r="F69" s="56">
        <f t="shared" si="67"/>
        <v>33878908791.769711</v>
      </c>
      <c r="G69" s="64">
        <f>IFERROR(s_RadSpec!$I$24*G24,".")*$B$69</f>
        <v>0</v>
      </c>
      <c r="H69" s="64">
        <f>IFERROR(s_RadSpec!$G$24*H24,".")*$B$69</f>
        <v>0</v>
      </c>
      <c r="I69" s="64">
        <f>IFERROR(s_RadSpec!$F$24*I24,".")*$B$69</f>
        <v>1.6398107843867782E-12</v>
      </c>
      <c r="J69" s="73">
        <f t="shared" si="68"/>
        <v>0</v>
      </c>
      <c r="K69" s="73">
        <f t="shared" si="68"/>
        <v>0</v>
      </c>
      <c r="L69" s="73">
        <f t="shared" si="68"/>
        <v>1.6398107843867782E-12</v>
      </c>
      <c r="M69" s="73">
        <f t="shared" si="69"/>
        <v>1.6398107843867782E-12</v>
      </c>
      <c r="N69" s="56">
        <f t="shared" ref="N69:AD69" si="79">IFERROR(N24/$B55,0)</f>
        <v>33878908791.769711</v>
      </c>
      <c r="O69" s="56">
        <f t="shared" si="79"/>
        <v>298469518869.32776</v>
      </c>
      <c r="P69" s="56">
        <f t="shared" si="79"/>
        <v>74862438120.015106</v>
      </c>
      <c r="Q69" s="56">
        <f t="shared" si="79"/>
        <v>40394301025.975555</v>
      </c>
      <c r="R69" s="56">
        <f t="shared" si="79"/>
        <v>507800212647.68768</v>
      </c>
      <c r="S69" s="64">
        <f>IFERROR(s_RadSpec!$F$24*S24,".")*$B$69</f>
        <v>1.6398107843867782E-12</v>
      </c>
      <c r="T69" s="64">
        <f>IFERROR(s_RadSpec!$M$24*T24,".")*$B$69</f>
        <v>1.8613290968690977E-13</v>
      </c>
      <c r="U69" s="64">
        <f>IFERROR(s_RadSpec!$N$24*U24,".")*$B$69</f>
        <v>7.4209445210610732E-13</v>
      </c>
      <c r="V69" s="64">
        <f>IFERROR(s_RadSpec!$O$24*V24,".")*$B$69</f>
        <v>1.3753177698080563E-12</v>
      </c>
      <c r="W69" s="64">
        <f>IFERROR(s_RadSpec!$K$24*W24,".")*$B$69</f>
        <v>1.0940326257512639E-13</v>
      </c>
      <c r="X69" s="73">
        <f t="shared" si="71"/>
        <v>1.6398107843867782E-12</v>
      </c>
      <c r="Y69" s="73">
        <f t="shared" si="71"/>
        <v>1.8613290968690977E-13</v>
      </c>
      <c r="Z69" s="73">
        <f t="shared" si="71"/>
        <v>7.4209445210610732E-13</v>
      </c>
      <c r="AA69" s="73">
        <f t="shared" si="71"/>
        <v>1.3753177698080563E-12</v>
      </c>
      <c r="AB69" s="73">
        <f t="shared" si="71"/>
        <v>1.0940326257512639E-13</v>
      </c>
      <c r="AC69" s="56">
        <f t="shared" si="79"/>
        <v>0</v>
      </c>
      <c r="AD69" s="56">
        <f t="shared" si="79"/>
        <v>1249145670774.6921</v>
      </c>
      <c r="AE69" s="56">
        <f t="shared" si="72"/>
        <v>1249145670774.6921</v>
      </c>
      <c r="AF69" s="64">
        <f>IFERROR(s_RadSpec!$G$24*AF24,".")*$B$69</f>
        <v>0</v>
      </c>
      <c r="AG69" s="64">
        <f>IFERROR(s_RadSpec!$J$24*AG24,".")*$B$69</f>
        <v>4.4474396621449307E-14</v>
      </c>
      <c r="AH69" s="73">
        <f t="shared" si="73"/>
        <v>0</v>
      </c>
      <c r="AI69" s="73">
        <f t="shared" si="73"/>
        <v>4.4474396621449307E-14</v>
      </c>
      <c r="AJ69" s="73">
        <f t="shared" si="74"/>
        <v>4.4474396621449307E-14</v>
      </c>
    </row>
    <row r="70" spans="1:36" x14ac:dyDescent="0.25">
      <c r="A70" s="55" t="s">
        <v>312</v>
      </c>
      <c r="B70" s="60">
        <v>0.99979000004200003</v>
      </c>
      <c r="C70" s="56">
        <f>IFERROR(C20/$B56,0)</f>
        <v>0</v>
      </c>
      <c r="D70" s="56">
        <f>IFERROR(D20/$B56,0)</f>
        <v>0</v>
      </c>
      <c r="E70" s="56">
        <f>IFERROR(E20/$B56,0)</f>
        <v>46645.800103321337</v>
      </c>
      <c r="F70" s="56">
        <f t="shared" si="67"/>
        <v>46645.800103321337</v>
      </c>
      <c r="G70" s="64">
        <f>IFERROR(s_RadSpec!$I$20*G20,".")*$B$70</f>
        <v>0</v>
      </c>
      <c r="H70" s="64">
        <f>IFERROR(s_RadSpec!$G$20*H20,".")*$B$70</f>
        <v>0</v>
      </c>
      <c r="I70" s="64">
        <f>IFERROR(s_RadSpec!$F$20*I20,".")*$B$70</f>
        <v>1.1909968288022629E-6</v>
      </c>
      <c r="J70" s="73">
        <f t="shared" si="68"/>
        <v>0</v>
      </c>
      <c r="K70" s="73">
        <f t="shared" si="68"/>
        <v>0</v>
      </c>
      <c r="L70" s="73">
        <f t="shared" si="68"/>
        <v>1.1909968288022629E-6</v>
      </c>
      <c r="M70" s="73">
        <f t="shared" si="69"/>
        <v>1.1909968288022629E-6</v>
      </c>
      <c r="N70" s="56">
        <f t="shared" ref="N70:AD70" si="80">IFERROR(N20/$B56,0)</f>
        <v>46645.800103321337</v>
      </c>
      <c r="O70" s="56">
        <f t="shared" si="80"/>
        <v>465022.65246433474</v>
      </c>
      <c r="P70" s="56">
        <f t="shared" si="80"/>
        <v>115434.43907067057</v>
      </c>
      <c r="Q70" s="56">
        <f t="shared" si="80"/>
        <v>61711.721133585008</v>
      </c>
      <c r="R70" s="56">
        <f t="shared" si="80"/>
        <v>813311.61500455812</v>
      </c>
      <c r="S70" s="64">
        <f>IFERROR(s_RadSpec!$F$20*S20,".")*$B$70</f>
        <v>1.1909968288022629E-6</v>
      </c>
      <c r="T70" s="64">
        <f>IFERROR(s_RadSpec!$M$20*T20,".")*$B$70</f>
        <v>1.1946729843286686E-7</v>
      </c>
      <c r="U70" s="64">
        <f>IFERROR(s_RadSpec!$N$20*U20,".")*$B$70</f>
        <v>4.8126885223558319E-7</v>
      </c>
      <c r="V70" s="64">
        <f>IFERROR(s_RadSpec!$O$20*V20,".")*$B$70</f>
        <v>9.002341691255407E-7</v>
      </c>
      <c r="W70" s="64">
        <f>IFERROR(s_RadSpec!$K$20*W20,".")*$B$70</f>
        <v>6.8307151865387565E-8</v>
      </c>
      <c r="X70" s="73">
        <f t="shared" si="71"/>
        <v>1.1909968288022629E-6</v>
      </c>
      <c r="Y70" s="73">
        <f t="shared" si="71"/>
        <v>1.1946729843286686E-7</v>
      </c>
      <c r="Z70" s="73">
        <f t="shared" si="71"/>
        <v>4.8126885223558319E-7</v>
      </c>
      <c r="AA70" s="73">
        <f t="shared" si="71"/>
        <v>9.002341691255407E-7</v>
      </c>
      <c r="AB70" s="73">
        <f t="shared" si="71"/>
        <v>6.8307151865387565E-8</v>
      </c>
      <c r="AC70" s="56">
        <f t="shared" si="80"/>
        <v>0</v>
      </c>
      <c r="AD70" s="56">
        <f t="shared" si="80"/>
        <v>2229335.9259507577</v>
      </c>
      <c r="AE70" s="56">
        <f t="shared" si="72"/>
        <v>2229335.9259507577</v>
      </c>
      <c r="AF70" s="64">
        <f>IFERROR(s_RadSpec!$G$20*AF20,".")*$B$70</f>
        <v>0</v>
      </c>
      <c r="AG70" s="64">
        <f>IFERROR(s_RadSpec!$J$20*AG20,".")*$B$70</f>
        <v>2.4919977000014982E-8</v>
      </c>
      <c r="AH70" s="73">
        <f t="shared" si="73"/>
        <v>0</v>
      </c>
      <c r="AI70" s="73">
        <f t="shared" si="73"/>
        <v>2.4919977000014982E-8</v>
      </c>
      <c r="AJ70" s="73">
        <f t="shared" si="74"/>
        <v>2.4919977000014982E-8</v>
      </c>
    </row>
    <row r="71" spans="1:36" x14ac:dyDescent="0.25">
      <c r="A71" s="55" t="s">
        <v>313</v>
      </c>
      <c r="B71" s="60">
        <v>2.0999995799999999E-4</v>
      </c>
      <c r="C71" s="56">
        <f>IFERROR(C29/$B57,0)</f>
        <v>0</v>
      </c>
      <c r="D71" s="56">
        <f>IFERROR(D29/$B57,0)</f>
        <v>0</v>
      </c>
      <c r="E71" s="56">
        <f>IFERROR(E29/$B57,0)</f>
        <v>5015.5775856986274</v>
      </c>
      <c r="F71" s="56">
        <f t="shared" si="67"/>
        <v>5015.5775856986274</v>
      </c>
      <c r="G71" s="64">
        <f>IFERROR(s_RadSpec!$I$29*G29,".")*$B$71</f>
        <v>0</v>
      </c>
      <c r="H71" s="64">
        <f>IFERROR(s_RadSpec!$G$29*H29,".")*$B$71</f>
        <v>0</v>
      </c>
      <c r="I71" s="64">
        <f>IFERROR(s_RadSpec!$F$29*I29,".")*$B$71</f>
        <v>1.1076491002433902E-5</v>
      </c>
      <c r="J71" s="73">
        <f t="shared" si="68"/>
        <v>0</v>
      </c>
      <c r="K71" s="73">
        <f t="shared" si="68"/>
        <v>0</v>
      </c>
      <c r="L71" s="73">
        <f t="shared" si="68"/>
        <v>1.1076491002433902E-5</v>
      </c>
      <c r="M71" s="73">
        <f t="shared" si="69"/>
        <v>1.1076491002433902E-5</v>
      </c>
      <c r="N71" s="56">
        <f t="shared" ref="N71:AD71" si="81">IFERROR(N29/$B57,0)</f>
        <v>5015.5775856986274</v>
      </c>
      <c r="O71" s="56">
        <f t="shared" si="81"/>
        <v>54086.815517507217</v>
      </c>
      <c r="P71" s="56">
        <f t="shared" si="81"/>
        <v>13450.529938105783</v>
      </c>
      <c r="Q71" s="56">
        <f t="shared" si="81"/>
        <v>7148.2471592213551</v>
      </c>
      <c r="R71" s="56">
        <f t="shared" si="81"/>
        <v>100328.57791257965</v>
      </c>
      <c r="S71" s="64">
        <f>IFERROR(s_RadSpec!$F$29*S29,".")*$B$71</f>
        <v>1.1076491002433902E-5</v>
      </c>
      <c r="T71" s="64">
        <f>IFERROR(s_RadSpec!$M$29*T29,".")*$B$71</f>
        <v>1.027144960716305E-6</v>
      </c>
      <c r="U71" s="64">
        <f>IFERROR(s_RadSpec!$N$29*U29,".")*$B$71</f>
        <v>4.130320534257234E-6</v>
      </c>
      <c r="V71" s="64">
        <f>IFERROR(s_RadSpec!$O$29*V29,".")*$B$71</f>
        <v>7.7718353552357414E-6</v>
      </c>
      <c r="W71" s="64">
        <f>IFERROR(s_RadSpec!$K$29*W29,".")*$B$71</f>
        <v>5.5373056367256904E-7</v>
      </c>
      <c r="X71" s="73">
        <f t="shared" si="71"/>
        <v>1.1076491002433902E-5</v>
      </c>
      <c r="Y71" s="73">
        <f t="shared" si="71"/>
        <v>1.027144960716305E-6</v>
      </c>
      <c r="Z71" s="73">
        <f t="shared" si="71"/>
        <v>4.130320534257234E-6</v>
      </c>
      <c r="AA71" s="73">
        <f t="shared" si="71"/>
        <v>7.7718353552357414E-6</v>
      </c>
      <c r="AB71" s="73">
        <f t="shared" si="71"/>
        <v>5.5373056367256904E-7</v>
      </c>
      <c r="AC71" s="56">
        <f t="shared" si="81"/>
        <v>0</v>
      </c>
      <c r="AD71" s="56">
        <f t="shared" si="81"/>
        <v>306394.28241227142</v>
      </c>
      <c r="AE71" s="56">
        <f t="shared" si="72"/>
        <v>306394.28241227142</v>
      </c>
      <c r="AF71" s="64">
        <f>IFERROR(s_RadSpec!$G$29*AF29,".")*$B$71</f>
        <v>0</v>
      </c>
      <c r="AG71" s="64">
        <f>IFERROR(s_RadSpec!$J$29*AG29,".")*$B$71</f>
        <v>1.8131865765447759E-7</v>
      </c>
      <c r="AH71" s="73">
        <f t="shared" si="73"/>
        <v>0</v>
      </c>
      <c r="AI71" s="73">
        <f t="shared" si="73"/>
        <v>1.8131865765447759E-7</v>
      </c>
      <c r="AJ71" s="73">
        <f t="shared" si="74"/>
        <v>1.8131865765447759E-7</v>
      </c>
    </row>
    <row r="72" spans="1:36" x14ac:dyDescent="0.25">
      <c r="A72" s="55" t="s">
        <v>314</v>
      </c>
      <c r="B72" s="60">
        <v>1</v>
      </c>
      <c r="C72" s="56">
        <f>IFERROR(C16/$B58,0)</f>
        <v>30.333363666697</v>
      </c>
      <c r="D72" s="56">
        <f>IFERROR(D16/$B58,0)</f>
        <v>2842.8879509083722</v>
      </c>
      <c r="E72" s="56">
        <f>IFERROR(E16/$B58,0)</f>
        <v>257923839.69427079</v>
      </c>
      <c r="F72" s="56">
        <f t="shared" si="67"/>
        <v>30.013122764519576</v>
      </c>
      <c r="G72" s="64">
        <f>IFERROR(s_RadSpec!$I$16*G16,".")*$B$72</f>
        <v>1.8314816850000001E-3</v>
      </c>
      <c r="H72" s="64">
        <f>IFERROR(s_RadSpec!$G$16*H16,".")*$B$72</f>
        <v>1.9541748025014073E-5</v>
      </c>
      <c r="I72" s="64">
        <f>IFERROR(s_RadSpec!$F$16*I16,".")*$B$72</f>
        <v>2.153930403093097E-10</v>
      </c>
      <c r="J72" s="73">
        <f t="shared" si="68"/>
        <v>1.8314816850000001E-3</v>
      </c>
      <c r="K72" s="73">
        <f t="shared" si="68"/>
        <v>1.9541748025014073E-5</v>
      </c>
      <c r="L72" s="73">
        <f t="shared" si="68"/>
        <v>2.153930403093097E-10</v>
      </c>
      <c r="M72" s="73">
        <f t="shared" si="69"/>
        <v>1.8510236484180543E-3</v>
      </c>
      <c r="N72" s="56">
        <f t="shared" ref="N72:AD72" si="82">IFERROR(N16/$B58,0)</f>
        <v>257923839.69427079</v>
      </c>
      <c r="O72" s="56">
        <f t="shared" si="82"/>
        <v>714925191.55073071</v>
      </c>
      <c r="P72" s="56">
        <f t="shared" si="82"/>
        <v>279027893.57777947</v>
      </c>
      <c r="Q72" s="56">
        <f t="shared" si="82"/>
        <v>277377820.63452315</v>
      </c>
      <c r="R72" s="56">
        <f t="shared" si="82"/>
        <v>9279367840.0405693</v>
      </c>
      <c r="S72" s="64">
        <f>IFERROR(s_RadSpec!$F$16*S16,".")*$B$72</f>
        <v>2.153930403093097E-10</v>
      </c>
      <c r="T72" s="64">
        <f>IFERROR(s_RadSpec!$M$16*T16,".")*$B$72</f>
        <v>7.7707431010364449E-11</v>
      </c>
      <c r="U72" s="64">
        <f>IFERROR(s_RadSpec!$N$16*U16,".")*$B$72</f>
        <v>1.9910195818653507E-10</v>
      </c>
      <c r="V72" s="64">
        <f>IFERROR(s_RadSpec!$O$16*V16,".")*$B$72</f>
        <v>2.0028638148830228E-10</v>
      </c>
      <c r="W72" s="64">
        <f>IFERROR(s_RadSpec!$K$16*W16,".")*$B$72</f>
        <v>5.9869380067335596E-12</v>
      </c>
      <c r="X72" s="73">
        <f t="shared" si="71"/>
        <v>2.153930403093097E-10</v>
      </c>
      <c r="Y72" s="73">
        <f t="shared" si="71"/>
        <v>7.7707431010364449E-11</v>
      </c>
      <c r="Z72" s="73">
        <f t="shared" si="71"/>
        <v>1.9910195818653507E-10</v>
      </c>
      <c r="AA72" s="73">
        <f t="shared" si="71"/>
        <v>2.0028638148830228E-10</v>
      </c>
      <c r="AB72" s="73">
        <f t="shared" si="71"/>
        <v>5.9869380067335596E-12</v>
      </c>
      <c r="AC72" s="56">
        <f t="shared" si="82"/>
        <v>9.1636455272818898E-3</v>
      </c>
      <c r="AD72" s="56">
        <f t="shared" si="82"/>
        <v>202383.83864776907</v>
      </c>
      <c r="AE72" s="56">
        <f t="shared" si="72"/>
        <v>9.1636451123653824E-3</v>
      </c>
      <c r="AF72" s="64">
        <f>IFERROR(s_RadSpec!$G$16*AF16,".")*$B$72</f>
        <v>6.0625435406249997</v>
      </c>
      <c r="AG72" s="64">
        <f>IFERROR(s_RadSpec!$J$16*AG16,".")*$B$72</f>
        <v>2.7450314398220543E-7</v>
      </c>
      <c r="AH72" s="73">
        <f t="shared" si="73"/>
        <v>0.99767152921104285</v>
      </c>
      <c r="AI72" s="73">
        <f t="shared" si="73"/>
        <v>2.7450314398220543E-7</v>
      </c>
      <c r="AJ72" s="73">
        <f t="shared" si="74"/>
        <v>0.99767152985021534</v>
      </c>
    </row>
    <row r="73" spans="1:36" x14ac:dyDescent="0.25">
      <c r="A73" s="55" t="s">
        <v>315</v>
      </c>
      <c r="B73" s="60">
        <v>1</v>
      </c>
      <c r="C73" s="56">
        <f>IFERROR(C7/$B59,0)</f>
        <v>4865.3514000048654</v>
      </c>
      <c r="D73" s="56">
        <f>IFERROR(D7/$B59,0)</f>
        <v>99154.384629243243</v>
      </c>
      <c r="E73" s="56">
        <f>IFERROR(E7/$B59,0)</f>
        <v>16594.489932919259</v>
      </c>
      <c r="F73" s="56">
        <f t="shared" si="67"/>
        <v>3624.7479787746202</v>
      </c>
      <c r="G73" s="64">
        <f>IFERROR(s_RadSpec!$I$7*G7,".")*$B$73</f>
        <v>1.1418496925000001E-5</v>
      </c>
      <c r="H73" s="64">
        <f>IFERROR(s_RadSpec!$G$7*H7,".")*$B$73</f>
        <v>5.6028788043746651E-7</v>
      </c>
      <c r="I73" s="64">
        <f>IFERROR(s_RadSpec!$F$7*I7,".")*$B$73</f>
        <v>3.3477979874387681E-6</v>
      </c>
      <c r="J73" s="73">
        <f t="shared" si="68"/>
        <v>1.1418496925000001E-5</v>
      </c>
      <c r="K73" s="73">
        <f t="shared" si="68"/>
        <v>5.6028788043746651E-7</v>
      </c>
      <c r="L73" s="73">
        <f t="shared" si="68"/>
        <v>3.3477979874387681E-6</v>
      </c>
      <c r="M73" s="73">
        <f t="shared" si="69"/>
        <v>1.5326582792876236E-5</v>
      </c>
      <c r="N73" s="56">
        <f t="shared" ref="N73:AD73" si="83">IFERROR(N7/$B59,0)</f>
        <v>16594.489932919259</v>
      </c>
      <c r="O73" s="56">
        <f t="shared" si="83"/>
        <v>76525.810022494145</v>
      </c>
      <c r="P73" s="56">
        <f t="shared" si="83"/>
        <v>26044.730986862778</v>
      </c>
      <c r="Q73" s="56">
        <f t="shared" si="83"/>
        <v>18333.543435043466</v>
      </c>
      <c r="R73" s="56">
        <f t="shared" si="83"/>
        <v>25925.542796089037</v>
      </c>
      <c r="S73" s="64">
        <f>IFERROR(s_RadSpec!$F$7*S7,".")*$B$73</f>
        <v>3.3477979874387681E-6</v>
      </c>
      <c r="T73" s="64">
        <f>IFERROR(s_RadSpec!$M$7*T7,".")*$B$73</f>
        <v>7.2596422022413151E-7</v>
      </c>
      <c r="U73" s="64">
        <f>IFERROR(s_RadSpec!$N$7*U7,".")*$B$73</f>
        <v>2.1330610029346235E-6</v>
      </c>
      <c r="V73" s="64">
        <f>IFERROR(s_RadSpec!$O$7*V7,".")*$B$73</f>
        <v>3.0302380004625808E-6</v>
      </c>
      <c r="W73" s="64">
        <f>IFERROR(s_RadSpec!$K$7*W7,".")*$B$73</f>
        <v>2.1428673812908809E-6</v>
      </c>
      <c r="X73" s="73">
        <f t="shared" si="71"/>
        <v>3.3477979874387681E-6</v>
      </c>
      <c r="Y73" s="73">
        <f t="shared" si="71"/>
        <v>7.2596422022413151E-7</v>
      </c>
      <c r="Z73" s="73">
        <f t="shared" si="71"/>
        <v>2.1330610029346235E-6</v>
      </c>
      <c r="AA73" s="73">
        <f t="shared" si="71"/>
        <v>3.0302380004625808E-6</v>
      </c>
      <c r="AB73" s="73">
        <f t="shared" si="71"/>
        <v>2.1428673812908809E-6</v>
      </c>
      <c r="AC73" s="56">
        <f t="shared" si="83"/>
        <v>0.31961007570763672</v>
      </c>
      <c r="AD73" s="56">
        <f t="shared" si="83"/>
        <v>150559.27952383706</v>
      </c>
      <c r="AE73" s="56">
        <f t="shared" si="72"/>
        <v>0.3196093972347856</v>
      </c>
      <c r="AF73" s="64">
        <f>IFERROR(s_RadSpec!$G$7*AF7,".")*$B$73</f>
        <v>0.1738211784375</v>
      </c>
      <c r="AG73" s="64">
        <f>IFERROR(s_RadSpec!$J$7*AG7,".")*$B$73</f>
        <v>3.6899087306806843E-7</v>
      </c>
      <c r="AH73" s="73">
        <f t="shared" si="73"/>
        <v>0.15955282570141405</v>
      </c>
      <c r="AI73" s="73">
        <f t="shared" si="73"/>
        <v>3.6899087306806843E-7</v>
      </c>
      <c r="AJ73" s="73">
        <f t="shared" si="74"/>
        <v>0.15955313581869346</v>
      </c>
    </row>
    <row r="74" spans="1:36" x14ac:dyDescent="0.25">
      <c r="A74" s="55" t="s">
        <v>316</v>
      </c>
      <c r="B74" s="62">
        <v>1.9000000000000001E-8</v>
      </c>
      <c r="C74" s="56">
        <f>IFERROR(C12/$B60,0)</f>
        <v>0</v>
      </c>
      <c r="D74" s="56">
        <f>IFERROR(D12/$B60,0)</f>
        <v>0</v>
      </c>
      <c r="E74" s="56">
        <f>IFERROR(E12/$B60,0)</f>
        <v>3880526047.062716</v>
      </c>
      <c r="F74" s="56">
        <f t="shared" si="67"/>
        <v>3880526047.062716</v>
      </c>
      <c r="G74" s="64">
        <f>IFERROR(s_RadSpec!$I$12*G12,".")*$B$74</f>
        <v>0</v>
      </c>
      <c r="H74" s="64">
        <f>IFERROR(s_RadSpec!$G$12*H12,".")*$B$74</f>
        <v>0</v>
      </c>
      <c r="I74" s="64">
        <f>IFERROR(s_RadSpec!$F$12*I12,".")*$B$74</f>
        <v>1.4316357969572497E-11</v>
      </c>
      <c r="J74" s="73">
        <f t="shared" si="68"/>
        <v>0</v>
      </c>
      <c r="K74" s="73">
        <f t="shared" si="68"/>
        <v>0</v>
      </c>
      <c r="L74" s="73">
        <f t="shared" si="68"/>
        <v>1.4316357969572497E-11</v>
      </c>
      <c r="M74" s="73">
        <f t="shared" si="69"/>
        <v>1.4316357969572497E-11</v>
      </c>
      <c r="N74" s="56">
        <f t="shared" ref="N74:AD74" si="84">IFERROR(N12/$B60,0)</f>
        <v>3880526047.062716</v>
      </c>
      <c r="O74" s="56">
        <f t="shared" si="84"/>
        <v>30635967491.480095</v>
      </c>
      <c r="P74" s="56">
        <f t="shared" si="84"/>
        <v>7964446097.0097523</v>
      </c>
      <c r="Q74" s="56">
        <f t="shared" si="84"/>
        <v>4769114383.6751995</v>
      </c>
      <c r="R74" s="56">
        <f t="shared" si="84"/>
        <v>51990078573.620018</v>
      </c>
      <c r="S74" s="64">
        <f>IFERROR(s_RadSpec!$F$12*S12,".")*$B$74</f>
        <v>1.4316357969572497E-11</v>
      </c>
      <c r="T74" s="64">
        <f>IFERROR(s_RadSpec!$M$12*T12,".")*$B$74</f>
        <v>1.813391400661654E-12</v>
      </c>
      <c r="U74" s="64">
        <f>IFERROR(s_RadSpec!$N$12*U12,".")*$B$74</f>
        <v>6.9753752267666282E-12</v>
      </c>
      <c r="V74" s="64">
        <f>IFERROR(s_RadSpec!$O$12*V12,".")*$B$74</f>
        <v>1.1648913305616278E-11</v>
      </c>
      <c r="W74" s="64">
        <f>IFERROR(s_RadSpec!$K$12*W12,".")*$B$74</f>
        <v>1.0685692640631788E-12</v>
      </c>
      <c r="X74" s="73">
        <f t="shared" si="71"/>
        <v>1.4316357969572497E-11</v>
      </c>
      <c r="Y74" s="73">
        <f t="shared" si="71"/>
        <v>1.813391400661654E-12</v>
      </c>
      <c r="Z74" s="73">
        <f t="shared" si="71"/>
        <v>6.9753752267666282E-12</v>
      </c>
      <c r="AA74" s="73">
        <f t="shared" si="71"/>
        <v>1.1648913305616278E-11</v>
      </c>
      <c r="AB74" s="73">
        <f t="shared" si="71"/>
        <v>1.0685692640631788E-12</v>
      </c>
      <c r="AC74" s="56">
        <f t="shared" si="84"/>
        <v>0</v>
      </c>
      <c r="AD74" s="56">
        <f t="shared" si="84"/>
        <v>84462357429.47142</v>
      </c>
      <c r="AE74" s="56">
        <f t="shared" si="72"/>
        <v>84462357429.47142</v>
      </c>
      <c r="AF74" s="64">
        <f>IFERROR(s_RadSpec!$G$12*AF12,".")*$B$74</f>
        <v>0</v>
      </c>
      <c r="AG74" s="64">
        <f>IFERROR(s_RadSpec!$J$12*AG12,".")*$B$74</f>
        <v>6.5774863135202041E-13</v>
      </c>
      <c r="AH74" s="73">
        <f t="shared" si="73"/>
        <v>0</v>
      </c>
      <c r="AI74" s="73">
        <f t="shared" si="73"/>
        <v>6.5774863135202041E-13</v>
      </c>
      <c r="AJ74" s="73">
        <f t="shared" si="74"/>
        <v>6.5774863135202041E-13</v>
      </c>
    </row>
    <row r="75" spans="1:36" x14ac:dyDescent="0.25">
      <c r="A75" s="55" t="s">
        <v>317</v>
      </c>
      <c r="B75" s="60">
        <v>1</v>
      </c>
      <c r="C75" s="56">
        <f>IFERROR(C18/$B61,0)</f>
        <v>12.664961118569364</v>
      </c>
      <c r="D75" s="56">
        <f>IFERROR(D18/$B61,0)</f>
        <v>3111.2217626012548</v>
      </c>
      <c r="E75" s="56">
        <f>IFERROR(E18/$B61,0)</f>
        <v>397366.94583399</v>
      </c>
      <c r="F75" s="56">
        <f t="shared" si="67"/>
        <v>12.613214048440216</v>
      </c>
      <c r="G75" s="64">
        <f>IFERROR(s_RadSpec!$I$18*G18,".")*$B$75</f>
        <v>4.3865116899999999E-3</v>
      </c>
      <c r="H75" s="64">
        <f>IFERROR(s_RadSpec!$G$18*H18,".")*$B$75</f>
        <v>1.785632919768186E-5</v>
      </c>
      <c r="I75" s="64">
        <f>IFERROR(s_RadSpec!$F$18*I18,".")*$B$75</f>
        <v>1.3980780380059461E-7</v>
      </c>
      <c r="J75" s="73">
        <f t="shared" si="68"/>
        <v>4.3865116899999999E-3</v>
      </c>
      <c r="K75" s="73">
        <f t="shared" si="68"/>
        <v>1.785632919768186E-5</v>
      </c>
      <c r="L75" s="73">
        <f t="shared" si="68"/>
        <v>1.3980780380059461E-7</v>
      </c>
      <c r="M75" s="73">
        <f t="shared" si="69"/>
        <v>4.4045078270014831E-3</v>
      </c>
      <c r="N75" s="56">
        <f t="shared" ref="N75:AD75" si="85">IFERROR(N18/$B61,0)</f>
        <v>397366.94583399</v>
      </c>
      <c r="O75" s="56">
        <f t="shared" si="85"/>
        <v>3960095.2955493489</v>
      </c>
      <c r="P75" s="56">
        <f t="shared" si="85"/>
        <v>976750.45602320589</v>
      </c>
      <c r="Q75" s="56">
        <f t="shared" si="85"/>
        <v>519451.24937339174</v>
      </c>
      <c r="R75" s="56">
        <f t="shared" si="85"/>
        <v>6924794.1212073518</v>
      </c>
      <c r="S75" s="64">
        <f>IFERROR(s_RadSpec!$F$18*S18,".")*$B$75</f>
        <v>1.3980780380059461E-7</v>
      </c>
      <c r="T75" s="64">
        <f>IFERROR(s_RadSpec!$M$18*T18,".")*$B$75</f>
        <v>1.4028702809863406E-8</v>
      </c>
      <c r="U75" s="64">
        <f>IFERROR(s_RadSpec!$N$18*U18,".")*$B$75</f>
        <v>5.6877372984487336E-8</v>
      </c>
      <c r="V75" s="64">
        <f>IFERROR(s_RadSpec!$O$18*V18,".")*$B$75</f>
        <v>1.069494010593205E-7</v>
      </c>
      <c r="W75" s="64">
        <f>IFERROR(s_RadSpec!$K$18*W18,".")*$B$75</f>
        <v>8.0226211823195489E-9</v>
      </c>
      <c r="X75" s="73">
        <f t="shared" si="71"/>
        <v>1.3980780380059461E-7</v>
      </c>
      <c r="Y75" s="73">
        <f t="shared" si="71"/>
        <v>1.4028702809863406E-8</v>
      </c>
      <c r="Z75" s="73">
        <f t="shared" si="71"/>
        <v>5.6877372984487336E-8</v>
      </c>
      <c r="AA75" s="73">
        <f t="shared" si="71"/>
        <v>1.069494010593205E-7</v>
      </c>
      <c r="AB75" s="73">
        <f t="shared" si="71"/>
        <v>8.0226211823195489E-9</v>
      </c>
      <c r="AC75" s="56">
        <f t="shared" si="85"/>
        <v>1.0028581457152885E-2</v>
      </c>
      <c r="AD75" s="56">
        <f t="shared" si="85"/>
        <v>19051216.096172679</v>
      </c>
      <c r="AE75" s="56">
        <f t="shared" si="72"/>
        <v>1.0028581451873828E-2</v>
      </c>
      <c r="AF75" s="64">
        <f>IFERROR(s_RadSpec!$G$18*AF18,".")*$B$75</f>
        <v>5.5396668250000003</v>
      </c>
      <c r="AG75" s="64">
        <f>IFERROR(s_RadSpec!$J$18*AG18,".")*$B$75</f>
        <v>2.9160868114430133E-9</v>
      </c>
      <c r="AH75" s="73">
        <f t="shared" si="73"/>
        <v>0.99607216472315763</v>
      </c>
      <c r="AI75" s="73">
        <f t="shared" si="73"/>
        <v>2.9160868114430133E-9</v>
      </c>
      <c r="AJ75" s="73">
        <f t="shared" si="74"/>
        <v>0.99607216473461158</v>
      </c>
    </row>
    <row r="76" spans="1:36" x14ac:dyDescent="0.25">
      <c r="A76" s="55" t="s">
        <v>318</v>
      </c>
      <c r="B76" s="60">
        <v>1.339E-6</v>
      </c>
      <c r="C76" s="56">
        <f>IFERROR(C27/$B62,0)</f>
        <v>0</v>
      </c>
      <c r="D76" s="56">
        <f>IFERROR(D27/$B62,0)</f>
        <v>0</v>
      </c>
      <c r="E76" s="56">
        <f>IFERROR(E27/$B62,0)</f>
        <v>3594488282.2813702</v>
      </c>
      <c r="F76" s="56">
        <f t="shared" si="67"/>
        <v>3594488282.2813702</v>
      </c>
      <c r="G76" s="64">
        <f>IFERROR(s_RadSpec!$I$27*G27,".")*$B$76</f>
        <v>0</v>
      </c>
      <c r="H76" s="64">
        <f>IFERROR(s_RadSpec!$G$27*H27,".")*$B$76</f>
        <v>0</v>
      </c>
      <c r="I76" s="64">
        <f>IFERROR(s_RadSpec!$F$27*I27,".")*$B$76</f>
        <v>1.5455607484896298E-11</v>
      </c>
      <c r="J76" s="73">
        <f t="shared" si="68"/>
        <v>0</v>
      </c>
      <c r="K76" s="73">
        <f t="shared" si="68"/>
        <v>0</v>
      </c>
      <c r="L76" s="73">
        <f t="shared" si="68"/>
        <v>1.5455607484896298E-11</v>
      </c>
      <c r="M76" s="73">
        <f t="shared" si="69"/>
        <v>1.5455607484896298E-11</v>
      </c>
      <c r="N76" s="56">
        <f t="shared" ref="N76:AD76" si="86">IFERROR(N27/$B62,0)</f>
        <v>3594488282.2813702</v>
      </c>
      <c r="O76" s="56">
        <f t="shared" si="86"/>
        <v>31397272725.903416</v>
      </c>
      <c r="P76" s="56">
        <f t="shared" si="86"/>
        <v>9053502944.4361</v>
      </c>
      <c r="Q76" s="56">
        <f t="shared" si="86"/>
        <v>4953986860.4334974</v>
      </c>
      <c r="R76" s="56">
        <f t="shared" si="86"/>
        <v>23763102056.033272</v>
      </c>
      <c r="S76" s="64">
        <f>IFERROR(s_RadSpec!$F$27*S27,".")*$B$76</f>
        <v>1.5455607484896298E-11</v>
      </c>
      <c r="T76" s="64">
        <f>IFERROR(s_RadSpec!$M$27*T27,".")*$B$76</f>
        <v>1.7694212005288576E-12</v>
      </c>
      <c r="U76" s="64">
        <f>IFERROR(s_RadSpec!$N$27*U27,".")*$B$76</f>
        <v>6.1362988824277953E-12</v>
      </c>
      <c r="V76" s="64">
        <f>IFERROR(s_RadSpec!$O$27*V27,".")*$B$76</f>
        <v>1.1214200110966519E-11</v>
      </c>
      <c r="W76" s="64">
        <f>IFERROR(s_RadSpec!$K$27*W27,".")*$B$76</f>
        <v>2.337868173481795E-12</v>
      </c>
      <c r="X76" s="73">
        <f t="shared" si="71"/>
        <v>1.5455607484896298E-11</v>
      </c>
      <c r="Y76" s="73">
        <f t="shared" si="71"/>
        <v>1.7694212005288576E-12</v>
      </c>
      <c r="Z76" s="73">
        <f t="shared" si="71"/>
        <v>6.1362988824277953E-12</v>
      </c>
      <c r="AA76" s="73">
        <f t="shared" si="71"/>
        <v>1.1214200110966519E-11</v>
      </c>
      <c r="AB76" s="73">
        <f t="shared" si="71"/>
        <v>2.337868173481795E-12</v>
      </c>
      <c r="AC76" s="56">
        <f t="shared" si="86"/>
        <v>0</v>
      </c>
      <c r="AD76" s="56">
        <f t="shared" si="86"/>
        <v>63274580199.646706</v>
      </c>
      <c r="AE76" s="56">
        <f t="shared" si="72"/>
        <v>63274580199.646698</v>
      </c>
      <c r="AF76" s="64">
        <f>IFERROR(s_RadSpec!$G$27*AF27,".")*$B$76</f>
        <v>0</v>
      </c>
      <c r="AG76" s="64">
        <f>IFERROR(s_RadSpec!$J$27*AG27,".")*$B$76</f>
        <v>8.7799871330177839E-13</v>
      </c>
      <c r="AH76" s="73">
        <f t="shared" si="73"/>
        <v>0</v>
      </c>
      <c r="AI76" s="73">
        <f t="shared" si="73"/>
        <v>8.7799871330177839E-13</v>
      </c>
      <c r="AJ76" s="73">
        <f t="shared" si="74"/>
        <v>8.7799871330177839E-13</v>
      </c>
    </row>
  </sheetData>
  <sheetProtection algorithmName="SHA-512" hashValue="bQjIEPy1Twx2mn8rTM//gcETm+UTGlplayO0+oppcHdDrG7ce4ReyQXGvYWDrGlB0fhxNmG1RNovsXqKQF58lg==" saltValue="n2EDGcog0vm8hL7i3zwRTA==" spinCount="100000" sheet="1" objects="1" scenarios="1" formatColumns="0" formatRows="0" autoFilter="0"/>
  <autoFilter ref="A1:AE76" xr:uid="{00000000-0009-0000-0000-00000C000000}"/>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tabColor theme="9" tint="-0.499984740745262"/>
  </sheetPr>
  <dimension ref="A1:AU76"/>
  <sheetViews>
    <sheetView zoomScale="90" zoomScaleNormal="90" workbookViewId="0">
      <pane xSplit="2" ySplit="1" topLeftCell="C2" activePane="bottomRight" state="frozen"/>
      <selection activeCell="AA1390" sqref="AA1390"/>
      <selection pane="topRight" activeCell="AA1390" sqref="AA1390"/>
      <selection pane="bottomLeft" activeCell="AA1390" sqref="AA1390"/>
      <selection pane="bottomRight" activeCell="C2" sqref="C2"/>
    </sheetView>
  </sheetViews>
  <sheetFormatPr defaultColWidth="9.140625" defaultRowHeight="15" x14ac:dyDescent="0.25"/>
  <cols>
    <col min="1" max="1" width="15.42578125" style="3" customWidth="1"/>
    <col min="2" max="2" width="13.28515625" style="3" bestFit="1" customWidth="1"/>
    <col min="3" max="3" width="14.42578125" style="2" bestFit="1" customWidth="1"/>
    <col min="4" max="4" width="14.5703125" style="2" bestFit="1" customWidth="1"/>
    <col min="5" max="5" width="14.28515625" style="2" bestFit="1" customWidth="1"/>
    <col min="6" max="8" width="14.140625" style="2" bestFit="1" customWidth="1"/>
    <col min="9" max="9" width="14" style="2" bestFit="1" customWidth="1"/>
    <col min="10" max="11" width="14.5703125" style="2" bestFit="1" customWidth="1"/>
    <col min="12" max="12" width="14.42578125" style="2" bestFit="1" customWidth="1"/>
    <col min="13" max="13" width="14.28515625" style="2" bestFit="1" customWidth="1"/>
    <col min="14" max="14" width="18.28515625" style="2" bestFit="1" customWidth="1"/>
    <col min="15" max="15" width="18.42578125" style="2" bestFit="1" customWidth="1"/>
    <col min="16" max="16" width="18.140625" style="2" bestFit="1" customWidth="1"/>
    <col min="17" max="17" width="17.85546875" style="2" bestFit="1" customWidth="1"/>
    <col min="18" max="20" width="17.7109375" style="2" bestFit="1" customWidth="1"/>
    <col min="21" max="23" width="18.28515625" style="2" bestFit="1" customWidth="1"/>
    <col min="24" max="24" width="18.140625" style="2" bestFit="1" customWidth="1"/>
    <col min="25" max="25" width="13.5703125" style="2" bestFit="1" customWidth="1"/>
    <col min="26" max="27" width="15.42578125" style="2" bestFit="1" customWidth="1"/>
    <col min="28" max="28" width="16.42578125" style="2" bestFit="1" customWidth="1"/>
    <col min="29" max="29" width="13.85546875" style="2" bestFit="1" customWidth="1"/>
    <col min="30" max="30" width="13.140625" style="2" bestFit="1" customWidth="1"/>
    <col min="31" max="32" width="14.85546875" style="2" bestFit="1" customWidth="1"/>
    <col min="33" max="33" width="16" style="2" bestFit="1" customWidth="1"/>
    <col min="34" max="35" width="13.5703125" style="2" bestFit="1" customWidth="1"/>
    <col min="36" max="37" width="15.42578125" style="2" bestFit="1" customWidth="1"/>
    <col min="38" max="38" width="16.42578125" style="2" bestFit="1" customWidth="1"/>
    <col min="39" max="39" width="14.140625" style="2" bestFit="1" customWidth="1"/>
    <col min="40" max="40" width="13.85546875" style="2" bestFit="1" customWidth="1"/>
    <col min="41" max="41" width="14.140625" style="2" bestFit="1" customWidth="1"/>
    <col min="42" max="42" width="13.28515625" style="2" bestFit="1" customWidth="1"/>
    <col min="43" max="43" width="13.42578125" style="2" bestFit="1" customWidth="1"/>
    <col min="44" max="44" width="13.85546875" style="2" bestFit="1" customWidth="1"/>
    <col min="45" max="45" width="14" style="2" bestFit="1" customWidth="1"/>
    <col min="46" max="46" width="14.28515625" style="2" bestFit="1" customWidth="1"/>
    <col min="47" max="47" width="13.7109375" style="2" bestFit="1" customWidth="1"/>
    <col min="48" max="16384" width="9.140625" style="2"/>
  </cols>
  <sheetData>
    <row r="1" spans="1:47" x14ac:dyDescent="0.25">
      <c r="A1" s="47" t="s">
        <v>51</v>
      </c>
      <c r="B1" s="47" t="s">
        <v>274</v>
      </c>
      <c r="C1" s="48" t="s">
        <v>364</v>
      </c>
      <c r="D1" s="48" t="s">
        <v>365</v>
      </c>
      <c r="E1" s="48" t="s">
        <v>366</v>
      </c>
      <c r="F1" s="48" t="s">
        <v>367</v>
      </c>
      <c r="G1" s="65" t="s">
        <v>376</v>
      </c>
      <c r="H1" s="65" t="s">
        <v>377</v>
      </c>
      <c r="I1" s="65" t="s">
        <v>378</v>
      </c>
      <c r="J1" s="66" t="s">
        <v>379</v>
      </c>
      <c r="K1" s="66" t="s">
        <v>380</v>
      </c>
      <c r="L1" s="66" t="s">
        <v>381</v>
      </c>
      <c r="M1" s="66" t="s">
        <v>382</v>
      </c>
      <c r="N1" s="48" t="s">
        <v>383</v>
      </c>
      <c r="O1" s="48" t="s">
        <v>384</v>
      </c>
      <c r="P1" s="48" t="s">
        <v>385</v>
      </c>
      <c r="Q1" s="48" t="s">
        <v>386</v>
      </c>
      <c r="R1" s="65" t="s">
        <v>387</v>
      </c>
      <c r="S1" s="65" t="s">
        <v>388</v>
      </c>
      <c r="T1" s="65" t="s">
        <v>389</v>
      </c>
      <c r="U1" s="66" t="s">
        <v>390</v>
      </c>
      <c r="V1" s="66" t="s">
        <v>391</v>
      </c>
      <c r="W1" s="66" t="s">
        <v>392</v>
      </c>
      <c r="X1" s="66" t="s">
        <v>393</v>
      </c>
      <c r="Y1" s="48" t="s">
        <v>368</v>
      </c>
      <c r="Z1" s="50" t="s">
        <v>369</v>
      </c>
      <c r="AA1" s="50" t="s">
        <v>370</v>
      </c>
      <c r="AB1" s="50" t="s">
        <v>371</v>
      </c>
      <c r="AC1" s="50" t="s">
        <v>372</v>
      </c>
      <c r="AD1" s="67" t="s">
        <v>394</v>
      </c>
      <c r="AE1" s="67" t="s">
        <v>395</v>
      </c>
      <c r="AF1" s="67" t="s">
        <v>396</v>
      </c>
      <c r="AG1" s="67" t="s">
        <v>397</v>
      </c>
      <c r="AH1" s="67" t="s">
        <v>398</v>
      </c>
      <c r="AI1" s="68" t="s">
        <v>399</v>
      </c>
      <c r="AJ1" s="68" t="s">
        <v>400</v>
      </c>
      <c r="AK1" s="68" t="s">
        <v>401</v>
      </c>
      <c r="AL1" s="68" t="s">
        <v>402</v>
      </c>
      <c r="AM1" s="68" t="s">
        <v>403</v>
      </c>
      <c r="AN1" s="50" t="s">
        <v>373</v>
      </c>
      <c r="AO1" s="50" t="s">
        <v>374</v>
      </c>
      <c r="AP1" s="50" t="s">
        <v>375</v>
      </c>
      <c r="AQ1" s="67" t="s">
        <v>404</v>
      </c>
      <c r="AR1" s="67" t="s">
        <v>405</v>
      </c>
      <c r="AS1" s="68" t="s">
        <v>406</v>
      </c>
      <c r="AT1" s="68" t="s">
        <v>407</v>
      </c>
      <c r="AU1" s="68" t="s">
        <v>408</v>
      </c>
    </row>
    <row r="2" spans="1:47" x14ac:dyDescent="0.25">
      <c r="A2" s="49" t="s">
        <v>12</v>
      </c>
      <c r="B2" s="50" t="s">
        <v>289</v>
      </c>
      <c r="C2" s="48">
        <f>IFERROR((s_TR/(s_RadSpec!I2*s_EF_cw*s_ED_con*s_IRS_cw*(1/1000)))*1,".")</f>
        <v>2685.2485868879307</v>
      </c>
      <c r="D2" s="48">
        <f>IFERROR(IF(A2="H-3",(s_TR/(s_RadSpec!G2*s_EF_cw*s_ED_con*s_ET_cw_o*(1/24)*s_IRA_cw*(1/17)*1000))*1,(s_TR/(s_RadSpec!G2*s_EF_cw*s_ED_con*s_ET_cw_o*(1/24)*s_IRA_cw*(1/s_PEFsc)*1000))*1),".")</f>
        <v>37.975778139603534</v>
      </c>
      <c r="E2" s="48">
        <f>IFERROR((s_TR/(s_RadSpec!F2*s_EF_cw*(1/365)*s_ED_con*s_RadSpec!Q2*s_ET_cw_o*(1/24)*s_RadSpec!V2))*1,".")</f>
        <v>30084.687312973649</v>
      </c>
      <c r="F2" s="48">
        <f t="shared" ref="F2" si="0">(IF(AND(ISNUMBER(C2),ISNUMBER(D2),ISNUMBER(E2)),1/((1/C2)+(1/D2)+(1/E2)),IF(AND(ISNUMBER(C2),ISNUMBER(D2),NOT(ISNUMBER(E2))), 1/((1/C2)+(1/D2)),IF(AND(ISNUMBER(C2),NOT(ISNUMBER(D2)),ISNUMBER(E2)),1/((1/C2)+(1/E2)),IF(AND(NOT(ISNUMBER(C2)),ISNUMBER(D2),ISNUMBER(E2)),1/((1/D2)+(1/E2)),IF(AND(ISNUMBER(C2),NOT(ISNUMBER(D2)),NOT(ISNUMBER(E2))),1/((1/C2)),IF(AND(NOT(ISNUMBER(C2)),NOT(ISNUMBER(D2)),ISNUMBER(E2)),1/((1/E2)),IF(AND(NOT(ISNUMBER(C2)),ISNUMBER(D2),NOT(ISNUMBER(E2))),1/((1/D2)),IF(AND(NOT(ISNUMBER(C2)),NOT(ISNUMBER(D2)),NOT(ISNUMBER(E2))),".")))))))))</f>
        <v>37.399649053091309</v>
      </c>
      <c r="G2" s="69">
        <f t="shared" ref="G2:G30" si="1">s_C*s_EF_cw*s_ED_con*s_IRS_cw*(1/1000)*1</f>
        <v>229164.375</v>
      </c>
      <c r="H2" s="69">
        <f t="shared" ref="H2:H30" si="2">s_C*s_EF_cw*s_ED_con*(s_ET_cw_i+s_ET_cw_o)*(1/24)*s_IRA_cw*(1/s_PEFsc)*1000*1</f>
        <v>51215.031719100385</v>
      </c>
      <c r="I2" s="69">
        <f>s_C*s_EF_cw*(1/365)*s_ED_con*(s_ET_cw_i+s_ET_cw_o)*(1/24)*s_RadSpec!V2*s_RadSpec!Q2*1</f>
        <v>44.801984700609246</v>
      </c>
      <c r="J2" s="11"/>
      <c r="K2" s="11"/>
      <c r="L2" s="11"/>
      <c r="M2" s="11"/>
      <c r="N2" s="48">
        <f>IFERROR((s_TR/(s_RadSpec!I2*s_EF_cw*s_ED_con*s_IRS_cw*(1/1000)))*1,".")</f>
        <v>2685.2485868879307</v>
      </c>
      <c r="O2" s="48">
        <f>IFERROR(IF(A2="H-3",(s_TR/(s_RadSpec!G2*s_EF_cw*s_ED_con*s_ET_cw_o*(1/24)*s_IRA_cw*(1/17)*1000))*1,(s_TR/(s_RadSpec!G2*s_EF_cw*s_ED_con*s_ET_cw_o*(1/24)*s_IRA_cw*(1/s_PEF__sc)*1000))*1),".")</f>
        <v>238.84473525789966</v>
      </c>
      <c r="P2" s="48">
        <f>IFERROR((s_TR/(s_RadSpec!F2*s_EF_cw*(1/365)*s_ED_con*s_RadSpec!Q2*s_ET_cw_o*(1/24)*s_RadSpec!V2))*1,".")</f>
        <v>30084.687312973649</v>
      </c>
      <c r="Q2" s="48">
        <f t="shared" ref="Q2" si="3">(IF(AND(ISNUMBER(N2),ISNUMBER(O2),ISNUMBER(P2)),1/((1/N2)+(1/O2)+(1/P2)),IF(AND(ISNUMBER(N2),ISNUMBER(O2),NOT(ISNUMBER(P2))), 1/((1/N2)+(1/O2)),IF(AND(ISNUMBER(N2),NOT(ISNUMBER(O2)),ISNUMBER(P2)),1/((1/N2)+(1/P2)),IF(AND(NOT(ISNUMBER(N2)),ISNUMBER(O2),ISNUMBER(P2)),1/((1/O2)+(1/P2)),IF(AND(ISNUMBER(N2),NOT(ISNUMBER(O2)),NOT(ISNUMBER(P2))),1/((1/N2)),IF(AND(NOT(ISNUMBER(N2)),NOT(ISNUMBER(O2)),ISNUMBER(P2)),1/((1/P2)),IF(AND(NOT(ISNUMBER(N2)),ISNUMBER(O2),NOT(ISNUMBER(P2))),1/((1/O2)),IF(AND(NOT(ISNUMBER(N2)),NOT(ISNUMBER(O2)),NOT(ISNUMBER(P2))),".")))))))))</f>
        <v>217.74799168637634</v>
      </c>
      <c r="R2" s="69">
        <f t="shared" ref="R2:R30" si="4">s_C*s_EF_cw*s_ED_con*s_IRS_cw*(1/1000)*1</f>
        <v>229164.375</v>
      </c>
      <c r="S2" s="69">
        <f t="shared" ref="S2:S30" si="5">s_C*s_EF_cw*s_ED_con*(s_ET_cw_i+s_ET_cw_o)*(1/24)*s_IRA_cw*(1/s_PEF__sc)*1000*1</f>
        <v>8143.0753743733067</v>
      </c>
      <c r="T2" s="69">
        <f>s_C*s_EF_cw*(1/365)*s_ED_con*(s_ET_cw_i+s_ET_cw_o)*(1/24)*s_RadSpec!V2*s_RadSpec!Q2*1</f>
        <v>44.801984700609246</v>
      </c>
      <c r="U2" s="11"/>
      <c r="V2" s="11"/>
      <c r="W2" s="11"/>
      <c r="X2" s="48"/>
      <c r="Y2" s="48">
        <f>IFERROR((s_TR/(s_RadSpec!F2*s_EF_cw*(1/365)*s_ED_con*s_RadSpec!Q2*s_ET_cw_o*(1/24)*s_RadSpec!V2))*1,".")</f>
        <v>30084.687312973649</v>
      </c>
      <c r="Z2" s="48">
        <f>IFERROR((s_TR/(s_RadSpec!M2*s_EF_cw*(1/365)*s_ED_con*s_RadSpec!R2*s_ET_cw_o*(1/24)*s_RadSpec!W2))*1,".")</f>
        <v>217159.67516504906</v>
      </c>
      <c r="AA2" s="48">
        <f>IFERROR((s_TR/(s_RadSpec!N2*s_EF_cw*(1/365)*s_ED_con*s_RadSpec!S2*s_ET_cw_o*(1/24)*s_RadSpec!X2))*1,".")</f>
        <v>56968.922711884559</v>
      </c>
      <c r="AB2" s="48">
        <f>IFERROR((s_TR/(s_RadSpec!O2*s_EF_cw*(1/365)*s_ED_con*s_RadSpec!T2*s_ET_cw_o*(1/24)*s_RadSpec!Y2))*1,".")</f>
        <v>35240.011990058803</v>
      </c>
      <c r="AC2" s="48">
        <f>IFERROR((s_TR/(s_RadSpec!K2*s_EF_cw*(1/365)*s_ED_con*s_RadSpec!P2*s_ET_cw_o*(1/24)*s_RadSpec!U2))*1,".")</f>
        <v>1649715.6661023495</v>
      </c>
      <c r="AD2" s="69">
        <f>s_C*s_EF_cw*(1/365)*s_ED_con*(s_ET_cw_i+s_ET_cw_o)*(1/24)*s_RadSpec!V2*s_RadSpec!Q2*1</f>
        <v>44.801984700609246</v>
      </c>
      <c r="AE2" s="69">
        <f>s_C*s_EF_cw*(1/365)*s_ED_con*(s_ET_cw_i+s_ET_cw_o)*(1/24)*s_RadSpec!W2*s_RadSpec!R2*1</f>
        <v>22.157962328767127</v>
      </c>
      <c r="AF2" s="69">
        <f>s_C*s_EF_cw*(1/365)*s_ED_con*(s_ET_cw_i+s_ET_cw_o)*(1/24)*s_RadSpec!X2*s_RadSpec!S2*1</f>
        <v>32.62417127678259</v>
      </c>
      <c r="AG2" s="69">
        <f>s_C*s_EF_cw*(1/365)*s_ED_con*(s_ET_cw_i+s_ET_cw_o)*(1/24)*s_RadSpec!Y2*s_RadSpec!T2*1</f>
        <v>39.24849161151301</v>
      </c>
      <c r="AH2" s="69">
        <f>s_C*s_EF_cw*(1/365)*s_ED_con*(s_ET_cw_i+s_ET_cw_o)*(1/24)*s_RadSpec!U2*s_RadSpec!P2*1</f>
        <v>2.8000844997022032</v>
      </c>
      <c r="AI2" s="11"/>
      <c r="AJ2" s="11"/>
      <c r="AK2" s="11"/>
      <c r="AL2" s="11"/>
      <c r="AM2" s="11"/>
      <c r="AN2" s="48">
        <f>IFERROR(s_TR/(s_RadSpec!G2*s_EF_cw*s_ED_con*s_ET_cw_o*(1/24)*s_IRA_cw),".")</f>
        <v>7.4686085048779355E-2</v>
      </c>
      <c r="AO2" s="48">
        <f>IFERROR(s_TR/(s_RadSpec!J2*s_EF_cw*(1/365)*s_ED_con*s_ET_cw_o*(1/24)*s_GSF_a),".")</f>
        <v>226828.99164543615</v>
      </c>
      <c r="AP2" s="48">
        <f t="shared" ref="AP2" si="6">IFERROR(IF(AND(ISNUMBER(AN2),ISNUMBER(AO2)),1/((1/AN2)+(1/AO2)),IF(AND(ISNUMBER(AN2),NOT(ISNUMBER(AO2))),1/((1/AN2)),IF(AND(NOT(ISNUMBER(AN2)),ISNUMBER(AO2)),1/((1/AO2)),IF(AND(NOT(ISNUMBER(AN2)),NOT(ISNUMBER(AO2))),".")))),".")</f>
        <v>7.468606045752485E-2</v>
      </c>
      <c r="AQ2" s="69">
        <f t="shared" ref="AQ2:AQ30" si="7">s_C*s_EF_cw*s_ED_con*(s_ET_cw_i+s_ET_cw_o)*(1/24)*s_IRA_cw*1</f>
        <v>26041406.25</v>
      </c>
      <c r="AR2" s="69">
        <f t="shared" ref="AR2:AR30" si="8">s_C*s_EF_cw*(1/365)*s_ED_con*(s_ET_cw_i+s_ET_cw_o)*(1/24)*s_GSF_a*1</f>
        <v>4756.4212328767117</v>
      </c>
      <c r="AS2" s="11"/>
      <c r="AT2" s="11"/>
      <c r="AU2" s="11"/>
    </row>
    <row r="3" spans="1:47" x14ac:dyDescent="0.25">
      <c r="A3" s="51" t="s">
        <v>13</v>
      </c>
      <c r="B3" s="50" t="s">
        <v>275</v>
      </c>
      <c r="C3" s="48">
        <f>IFERROR((s_TR/(s_RadSpec!I3*s_EF_cw*s_ED_con*s_IRS_cw*(1/1000)))*1,".")</f>
        <v>2663.4172975636388</v>
      </c>
      <c r="D3" s="48">
        <f>IFERROR(IF(A3="H-3",(s_TR/(s_RadSpec!G3*s_EF_cw*s_ED_con*s_ET_cw_o*(1/24)*s_IRA_cw*(1/17)*1000))*1,(s_TR/(s_RadSpec!G3*s_EF_cw*s_ED_con*s_ET_cw_o*(1/24)*s_IRA_cw*(1/s_PEFsc)*1000))*1),".")</f>
        <v>28.742451689974441</v>
      </c>
      <c r="E3" s="48">
        <f>IFERROR((s_TR/(s_RadSpec!F3*s_EF_cw*(1/365)*s_ED_con*s_RadSpec!Q3*s_ET_cw_o*(1/24)*s_RadSpec!V3))*1,".")</f>
        <v>5878890.6378991222</v>
      </c>
      <c r="F3" s="48">
        <f t="shared" ref="F3:F30" si="9">(IF(AND(ISNUMBER(C3),ISNUMBER(D3),ISNUMBER(E3)),1/((1/C3)+(1/D3)+(1/E3)),IF(AND(ISNUMBER(C3),ISNUMBER(D3),NOT(ISNUMBER(E3))), 1/((1/C3)+(1/D3)),IF(AND(ISNUMBER(C3),NOT(ISNUMBER(D3)),ISNUMBER(E3)),1/((1/C3)+(1/E3)),IF(AND(NOT(ISNUMBER(C3)),ISNUMBER(D3),ISNUMBER(E3)),1/((1/D3)+(1/E3)),IF(AND(ISNUMBER(C3),NOT(ISNUMBER(D3)),NOT(ISNUMBER(E3))),1/((1/C3)),IF(AND(NOT(ISNUMBER(C3)),NOT(ISNUMBER(D3)),ISNUMBER(E3)),1/((1/E3)),IF(AND(NOT(ISNUMBER(C3)),ISNUMBER(D3),NOT(ISNUMBER(E3))),1/((1/D3)),IF(AND(NOT(ISNUMBER(C3)),NOT(ISNUMBER(D3)),NOT(ISNUMBER(E3))),".")))))))))</f>
        <v>28.435449548946899</v>
      </c>
      <c r="G3" s="69">
        <f t="shared" si="1"/>
        <v>229164.375</v>
      </c>
      <c r="H3" s="69">
        <f t="shared" si="2"/>
        <v>51215.031719100385</v>
      </c>
      <c r="I3" s="69">
        <f>s_C*s_EF_cw*(1/365)*s_ED_con*(s_ET_cw_i+s_ET_cw_o)*(1/24)*s_RadSpec!V3*s_RadSpec!Q3*1</f>
        <v>0.34148665261678945</v>
      </c>
      <c r="J3" s="4"/>
      <c r="K3" s="4"/>
      <c r="L3" s="4"/>
      <c r="M3" s="4"/>
      <c r="N3" s="48">
        <f>IFERROR((s_TR/(s_RadSpec!I3*s_EF_cw*s_ED_con*s_IRS_cw*(1/1000)))*1,".")</f>
        <v>2663.4172975636388</v>
      </c>
      <c r="O3" s="48">
        <f>IFERROR(IF(A3="H-3",(s_TR/(s_RadSpec!G3*s_EF_cw*s_ED_con*s_ET_cw_o*(1/24)*s_IRA_cw*(1/17)*1000))*1,(s_TR/(s_RadSpec!G3*s_EF_cw*s_ED_con*s_ET_cw_o*(1/24)*s_IRA_cw*(1/s_PEF__sc)*1000))*1),".")</f>
        <v>180.77268197950832</v>
      </c>
      <c r="P3" s="48">
        <f>IFERROR((s_TR/(s_RadSpec!F3*s_EF_cw*(1/365)*s_ED_con*s_RadSpec!Q3*s_ET_cw_o*(1/24)*s_RadSpec!V3))*1,".")</f>
        <v>5878890.6378991222</v>
      </c>
      <c r="Q3" s="48">
        <f>(IF(AND(ISNUMBER(N3),ISNUMBER(O3),ISNUMBER(P3)),1/((1/N3)+(1/O3)+(1/P3)),IF(AND(ISNUMBER(N3),ISNUMBER(O3),NOT(ISNUMBER(P3))), 1/((1/N3)+(1/O3)),IF(AND(ISNUMBER(N3),NOT(ISNUMBER(O3)),ISNUMBER(P3)),1/((1/N3)+(1/P3)),IF(AND(NOT(ISNUMBER(N3)),ISNUMBER(O3),ISNUMBER(P3)),1/((1/O3)+(1/P3)),IF(AND(ISNUMBER(N3),NOT(ISNUMBER(O3)),NOT(ISNUMBER(P3))),1/((1/N3)),IF(AND(NOT(ISNUMBER(N3)),NOT(ISNUMBER(O3)),ISNUMBER(P3)),1/((1/P3)),IF(AND(NOT(ISNUMBER(N3)),ISNUMBER(O3),NOT(ISNUMBER(P3))),1/((1/O3)),IF(AND(NOT(ISNUMBER(N3)),NOT(ISNUMBER(O3)),NOT(ISNUMBER(P3))),".")))))))))</f>
        <v>169.27815227722525</v>
      </c>
      <c r="R3" s="69">
        <f t="shared" si="4"/>
        <v>229164.375</v>
      </c>
      <c r="S3" s="69">
        <f t="shared" si="5"/>
        <v>8143.0753743733067</v>
      </c>
      <c r="T3" s="69">
        <f>s_C*s_EF_cw*(1/365)*s_ED_con*(s_ET_cw_i+s_ET_cw_o)*(1/24)*s_RadSpec!V3*s_RadSpec!Q3*1</f>
        <v>0.34148665261678945</v>
      </c>
      <c r="U3" s="11"/>
      <c r="V3" s="11"/>
      <c r="W3" s="11"/>
      <c r="X3" s="11"/>
      <c r="Y3" s="48">
        <f>IFERROR((s_TR/(s_RadSpec!F3*s_EF_cw*(1/365)*s_ED_con*s_RadSpec!Q3*s_ET_cw_o*(1/24)*s_RadSpec!V3))*1,".")</f>
        <v>5878890.6378991222</v>
      </c>
      <c r="Z3" s="48">
        <f>IFERROR((s_TR/(s_RadSpec!M3*s_EF_cw*(1/365)*s_ED_con*s_RadSpec!R3*s_ET_cw_o*(1/24)*s_RadSpec!W3))*1,".")</f>
        <v>16584296.640615804</v>
      </c>
      <c r="AA3" s="48">
        <f>IFERROR((s_TR/(s_RadSpec!N3*s_EF_cw*(1/365)*s_ED_con*s_RadSpec!S3*s_ET_cw_o*(1/24)*s_RadSpec!X3))*1,".")</f>
        <v>6708019.2731080363</v>
      </c>
      <c r="AB3" s="48">
        <f>IFERROR((s_TR/(s_RadSpec!O3*s_EF_cw*(1/365)*s_ED_con*s_RadSpec!T3*s_ET_cw_o*(1/24)*s_RadSpec!Y3))*1,".")</f>
        <v>6442088.6099516116</v>
      </c>
      <c r="AC3" s="48">
        <f>IFERROR((s_TR/(s_RadSpec!K3*s_EF_cw*(1/365)*s_ED_con*s_RadSpec!P3*s_ET_cw_o*(1/24)*s_RadSpec!U3))*1,".")</f>
        <v>18931135.951767515</v>
      </c>
      <c r="AD3" s="69">
        <f>s_C*s_EF_cw*(1/365)*s_ED_con*(s_ET_cw_i+s_ET_cw_o)*(1/24)*s_RadSpec!V3*s_RadSpec!Q3*1</f>
        <v>0.34148665261678945</v>
      </c>
      <c r="AE3" s="69">
        <f>s_C*s_EF_cw*(1/365)*s_ED_con*(s_ET_cw_i+s_ET_cw_o)*(1/24)*s_RadSpec!W3*s_RadSpec!R3*1</f>
        <v>0.24354269806413698</v>
      </c>
      <c r="AF3" s="69">
        <f>s_C*s_EF_cw*(1/365)*s_ED_con*(s_ET_cw_i+s_ET_cw_o)*(1/24)*s_RadSpec!X3*s_RadSpec!S3*1</f>
        <v>0.32123591162338982</v>
      </c>
      <c r="AG3" s="69">
        <f>s_C*s_EF_cw*(1/365)*s_ED_con*(s_ET_cw_i+s_ET_cw_o)*(1/24)*s_RadSpec!Y3*s_RadSpec!T3*1</f>
        <v>0.31163226813352274</v>
      </c>
      <c r="AH3" s="69">
        <f>s_C*s_EF_cw*(1/365)*s_ED_con*(s_ET_cw_i+s_ET_cw_o)*(1/24)*s_RadSpec!U3*s_RadSpec!P3*1</f>
        <v>0.1570799678786553</v>
      </c>
      <c r="AI3" s="11"/>
      <c r="AJ3" s="11"/>
      <c r="AK3" s="11"/>
      <c r="AL3" s="11"/>
      <c r="AM3" s="11"/>
      <c r="AN3" s="48">
        <f>IFERROR(s_TR/(s_RadSpec!G3*s_EF_cw*s_ED_con*s_ET_cw_o*(1/24)*s_IRA_cw),".")</f>
        <v>5.6527115350644766E-2</v>
      </c>
      <c r="AO3" s="48">
        <f>IFERROR(s_TR/(s_RadSpec!J3*s_EF_cw*(1/365)*s_ED_con*s_ET_cw_o*(1/24)*s_GSF_a),".")</f>
        <v>201270.79540369686</v>
      </c>
      <c r="AP3" s="48">
        <f>IFERROR(IF(AND(ISNUMBER(AN3),ISNUMBER(AO3)),1/((1/AN3)+(1/AO3)),IF(AND(ISNUMBER(AN3),NOT(ISNUMBER(AO3))),1/((1/AN3)),IF(AND(NOT(ISNUMBER(AN3)),ISNUMBER(AO3)),1/((1/AO3)),IF(AND(NOT(ISNUMBER(AN3)),NOT(ISNUMBER(AO3))),".")))),".")</f>
        <v>5.6527099474949216E-2</v>
      </c>
      <c r="AQ3" s="69">
        <f t="shared" si="7"/>
        <v>26041406.25</v>
      </c>
      <c r="AR3" s="69">
        <f t="shared" si="8"/>
        <v>4756.4212328767117</v>
      </c>
      <c r="AS3" s="10"/>
      <c r="AT3" s="10"/>
      <c r="AU3" s="10"/>
    </row>
    <row r="4" spans="1:47" x14ac:dyDescent="0.25">
      <c r="A4" s="49" t="s">
        <v>14</v>
      </c>
      <c r="B4" s="50" t="s">
        <v>289</v>
      </c>
      <c r="C4" s="48" t="str">
        <f>IFERROR((s_TR/(s_RadSpec!I4*s_EF_cw*s_ED_con*s_IRS_cw*(1/1000)))*1,".")</f>
        <v>.</v>
      </c>
      <c r="D4" s="48" t="str">
        <f>IFERROR(IF(A4="H-3",(s_TR/(s_RadSpec!G4*s_EF_cw*s_ED_con*s_ET_cw_o*(1/24)*s_IRA_cw*(1/17)*1000))*1,(s_TR/(s_RadSpec!G4*s_EF_cw*s_ED_con*s_ET_cw_o*(1/24)*s_IRA_cw*(1/s_PEFsc)*1000))*1),".")</f>
        <v>.</v>
      </c>
      <c r="E4" s="48">
        <f>IFERROR((s_TR/(s_RadSpec!F4*s_EF_cw*(1/365)*s_ED_con*s_RadSpec!Q4*s_ET_cw_o*(1/24)*s_RadSpec!V4))*1,".")</f>
        <v>646736.02771724516</v>
      </c>
      <c r="F4" s="48">
        <f t="shared" si="9"/>
        <v>646736.02771724516</v>
      </c>
      <c r="G4" s="69">
        <f t="shared" si="1"/>
        <v>229164.375</v>
      </c>
      <c r="H4" s="69">
        <f t="shared" si="2"/>
        <v>51215.031719100385</v>
      </c>
      <c r="I4" s="69">
        <f>s_C*s_EF_cw*(1/365)*s_ED_con*(s_ET_cw_i+s_ET_cw_o)*(1/24)*s_RadSpec!V4*s_RadSpec!Q4*1</f>
        <v>91.730980919765145</v>
      </c>
      <c r="J4" s="4"/>
      <c r="K4" s="4"/>
      <c r="L4" s="4"/>
      <c r="M4" s="4"/>
      <c r="N4" s="48" t="str">
        <f>IFERROR((s_TR/(s_RadSpec!I4*s_EF_cw*s_ED_con*s_IRS_cw*(1/1000)))*1,".")</f>
        <v>.</v>
      </c>
      <c r="O4" s="48" t="str">
        <f>IFERROR(IF(A4="H-3",(s_TR/(s_RadSpec!G4*s_EF_cw*s_ED_con*s_ET_cw_o*(1/24)*s_IRA_cw*(1/17)*1000))*1,(s_TR/(s_RadSpec!G4*s_EF_cw*s_ED_con*s_ET_cw_o*(1/24)*s_IRA_cw*(1/s_PEF__sc)*1000))*1),".")</f>
        <v>.</v>
      </c>
      <c r="P4" s="48">
        <f>IFERROR((s_TR/(s_RadSpec!F4*s_EF_cw*(1/365)*s_ED_con*s_RadSpec!Q4*s_ET_cw_o*(1/24)*s_RadSpec!V4))*1,".")</f>
        <v>646736.02771724516</v>
      </c>
      <c r="Q4" s="48">
        <f t="shared" ref="Q4:Q30" si="10">(IF(AND(ISNUMBER(N4),ISNUMBER(O4),ISNUMBER(P4)),1/((1/N4)+(1/O4)+(1/P4)),IF(AND(ISNUMBER(N4),ISNUMBER(O4),NOT(ISNUMBER(P4))), 1/((1/N4)+(1/O4)),IF(AND(ISNUMBER(N4),NOT(ISNUMBER(O4)),ISNUMBER(P4)),1/((1/N4)+(1/P4)),IF(AND(NOT(ISNUMBER(N4)),ISNUMBER(O4),ISNUMBER(P4)),1/((1/O4)+(1/P4)),IF(AND(ISNUMBER(N4),NOT(ISNUMBER(O4)),NOT(ISNUMBER(P4))),1/((1/N4)),IF(AND(NOT(ISNUMBER(N4)),NOT(ISNUMBER(O4)),ISNUMBER(P4)),1/((1/P4)),IF(AND(NOT(ISNUMBER(N4)),ISNUMBER(O4),NOT(ISNUMBER(P4))),1/((1/O4)),IF(AND(NOT(ISNUMBER(N4)),NOT(ISNUMBER(O4)),NOT(ISNUMBER(P4))),".")))))))))</f>
        <v>646736.02771724516</v>
      </c>
      <c r="R4" s="69">
        <f t="shared" si="4"/>
        <v>229164.375</v>
      </c>
      <c r="S4" s="69">
        <f t="shared" si="5"/>
        <v>8143.0753743733067</v>
      </c>
      <c r="T4" s="69">
        <f>s_C*s_EF_cw*(1/365)*s_ED_con*(s_ET_cw_i+s_ET_cw_o)*(1/24)*s_RadSpec!V4*s_RadSpec!Q4*1</f>
        <v>91.730980919765145</v>
      </c>
      <c r="U4" s="11"/>
      <c r="V4" s="11"/>
      <c r="W4" s="11"/>
      <c r="X4" s="11"/>
      <c r="Y4" s="48">
        <f>IFERROR((s_TR/(s_RadSpec!F4*s_EF_cw*(1/365)*s_ED_con*s_RadSpec!Q4*s_ET_cw_o*(1/24)*s_RadSpec!V4))*1,".")</f>
        <v>646736.02771724516</v>
      </c>
      <c r="Z4" s="48">
        <f>IFERROR((s_TR/(s_RadSpec!M4*s_EF_cw*(1/365)*s_ED_con*s_RadSpec!R4*s_ET_cw_o*(1/24)*s_RadSpec!W4))*1,".")</f>
        <v>4560458.5480438126</v>
      </c>
      <c r="AA4" s="48">
        <f>IFERROR((s_TR/(s_RadSpec!N4*s_EF_cw*(1/365)*s_ED_con*s_RadSpec!S4*s_ET_cw_o*(1/24)*s_RadSpec!X4))*1,".")</f>
        <v>1189234.200423677</v>
      </c>
      <c r="AB4" s="48">
        <f>IFERROR((s_TR/(s_RadSpec!O4*s_EF_cw*(1/365)*s_ED_con*s_RadSpec!T4*s_ET_cw_o*(1/24)*s_RadSpec!Y4))*1,".")</f>
        <v>704833.37996516505</v>
      </c>
      <c r="AC4" s="48">
        <f>IFERROR((s_TR/(s_RadSpec!K4*s_EF_cw*(1/365)*s_ED_con*s_RadSpec!P4*s_ET_cw_o*(1/24)*s_RadSpec!U4))*1,".")</f>
        <v>8588670.5574485511</v>
      </c>
      <c r="AD4" s="69">
        <f>s_C*s_EF_cw*(1/365)*s_ED_con*(s_ET_cw_i+s_ET_cw_o)*(1/24)*s_RadSpec!V4*s_RadSpec!Q4*1</f>
        <v>91.730980919765145</v>
      </c>
      <c r="AE4" s="69">
        <f>s_C*s_EF_cw*(1/365)*s_ED_con*(s_ET_cw_i+s_ET_cw_o)*(1/24)*s_RadSpec!W4*s_RadSpec!R4*1</f>
        <v>56.212250933997488</v>
      </c>
      <c r="AF4" s="69">
        <f>s_C*s_EF_cw*(1/365)*s_ED_con*(s_ET_cw_i+s_ET_cw_o)*(1/24)*s_RadSpec!X4*s_RadSpec!S4*1</f>
        <v>78.141205968688851</v>
      </c>
      <c r="AG4" s="69">
        <f>s_C*s_EF_cw*(1/365)*s_ED_con*(s_ET_cw_i+s_ET_cw_o)*(1/24)*s_RadSpec!Y4*s_RadSpec!T4*1</f>
        <v>89.766265264754267</v>
      </c>
      <c r="AH4" s="69">
        <f>s_C*s_EF_cw*(1/365)*s_ED_con*(s_ET_cw_i+s_ET_cw_o)*(1/24)*s_RadSpec!U4*s_RadSpec!P4*1</f>
        <v>30.43828143997731</v>
      </c>
      <c r="AI4" s="11"/>
      <c r="AJ4" s="11"/>
      <c r="AK4" s="11"/>
      <c r="AL4" s="11"/>
      <c r="AM4" s="11"/>
      <c r="AN4" s="48" t="str">
        <f>IFERROR(s_TR/(s_RadSpec!G4*s_EF_cw*s_ED_con*s_ET_cw_o*(1/24)*s_IRA_cw),".")</f>
        <v>.</v>
      </c>
      <c r="AO4" s="48">
        <f>IFERROR(s_TR/(s_RadSpec!J4*s_EF_cw*(1/365)*s_ED_con*s_ET_cw_o*(1/24)*s_GSF_a),".")</f>
        <v>11965500.635841783</v>
      </c>
      <c r="AP4" s="48">
        <f t="shared" ref="AP4:AP30" si="11">IFERROR(IF(AND(ISNUMBER(AN4),ISNUMBER(AO4)),1/((1/AN4)+(1/AO4)),IF(AND(ISNUMBER(AN4),NOT(ISNUMBER(AO4))),1/((1/AN4)),IF(AND(NOT(ISNUMBER(AN4)),ISNUMBER(AO4)),1/((1/AO4)),IF(AND(NOT(ISNUMBER(AN4)),NOT(ISNUMBER(AO4))),".")))),".")</f>
        <v>11965500.635841783</v>
      </c>
      <c r="AQ4" s="69">
        <f t="shared" si="7"/>
        <v>26041406.25</v>
      </c>
      <c r="AR4" s="69">
        <f t="shared" si="8"/>
        <v>4756.4212328767117</v>
      </c>
      <c r="AS4" s="10"/>
      <c r="AT4" s="10"/>
      <c r="AU4" s="10"/>
    </row>
    <row r="5" spans="1:47" x14ac:dyDescent="0.25">
      <c r="A5" s="49" t="s">
        <v>15</v>
      </c>
      <c r="B5" s="50" t="s">
        <v>289</v>
      </c>
      <c r="C5" s="48" t="str">
        <f>IFERROR((s_TR/(s_RadSpec!I5*s_EF_cw*s_ED_con*s_IRS_cw*(1/1000)))*1,".")</f>
        <v>.</v>
      </c>
      <c r="D5" s="48" t="str">
        <f>IFERROR(IF(A5="H-3",(s_TR/(s_RadSpec!G5*s_EF_cw*s_ED_con*s_ET_cw_o*(1/24)*s_IRA_cw*(1/17)*1000))*1,(s_TR/(s_RadSpec!G5*s_EF_cw*s_ED_con*s_ET_cw_o*(1/24)*s_IRA_cw*(1/s_PEFsc)*1000))*1),".")</f>
        <v>.</v>
      </c>
      <c r="E5" s="48" t="str">
        <f>IFERROR((s_TR/(s_RadSpec!F5*s_EF_cw*(1/365)*s_ED_con*s_RadSpec!Q5*s_ET_cw_o*(1/24)*s_RadSpec!V5))*1,".")</f>
        <v>.</v>
      </c>
      <c r="F5" s="48" t="str">
        <f t="shared" si="9"/>
        <v>.</v>
      </c>
      <c r="G5" s="69">
        <f t="shared" si="1"/>
        <v>229164.375</v>
      </c>
      <c r="H5" s="69">
        <f t="shared" si="2"/>
        <v>51215.031719100385</v>
      </c>
      <c r="I5" s="69">
        <f>s_C*s_EF_cw*(1/365)*s_ED_con*(s_ET_cw_i+s_ET_cw_o)*(1/24)*s_RadSpec!V5*s_RadSpec!Q5*1</f>
        <v>0</v>
      </c>
      <c r="J5" s="4"/>
      <c r="K5" s="4"/>
      <c r="L5" s="4"/>
      <c r="M5" s="4"/>
      <c r="N5" s="48" t="str">
        <f>IFERROR((s_TR/(s_RadSpec!I5*s_EF_cw*s_ED_con*s_IRS_cw*(1/1000)))*1,".")</f>
        <v>.</v>
      </c>
      <c r="O5" s="48" t="str">
        <f>IFERROR(IF(A5="H-3",(s_TR/(s_RadSpec!G5*s_EF_cw*s_ED_con*s_ET_cw_o*(1/24)*s_IRA_cw*(1/17)*1000))*1,(s_TR/(s_RadSpec!G5*s_EF_cw*s_ED_con*s_ET_cw_o*(1/24)*s_IRA_cw*(1/s_PEF__sc)*1000))*1),".")</f>
        <v>.</v>
      </c>
      <c r="P5" s="48" t="str">
        <f>IFERROR((s_TR/(s_RadSpec!F5*s_EF_cw*(1/365)*s_ED_con*s_RadSpec!Q5*s_ET_cw_o*(1/24)*s_RadSpec!V5))*1,".")</f>
        <v>.</v>
      </c>
      <c r="Q5" s="48" t="str">
        <f t="shared" si="10"/>
        <v>.</v>
      </c>
      <c r="R5" s="69">
        <f t="shared" si="4"/>
        <v>229164.375</v>
      </c>
      <c r="S5" s="69">
        <f t="shared" si="5"/>
        <v>8143.0753743733067</v>
      </c>
      <c r="T5" s="69">
        <f>s_C*s_EF_cw*(1/365)*s_ED_con*(s_ET_cw_i+s_ET_cw_o)*(1/24)*s_RadSpec!V5*s_RadSpec!Q5*1</f>
        <v>0</v>
      </c>
      <c r="U5" s="11"/>
      <c r="V5" s="11"/>
      <c r="W5" s="11"/>
      <c r="X5" s="11"/>
      <c r="Y5" s="48" t="str">
        <f>IFERROR((s_TR/(s_RadSpec!F5*s_EF_cw*(1/365)*s_ED_con*s_RadSpec!Q5*s_ET_cw_o*(1/24)*s_RadSpec!V5))*1,".")</f>
        <v>.</v>
      </c>
      <c r="Z5" s="48" t="str">
        <f>IFERROR((s_TR/(s_RadSpec!M5*s_EF_cw*(1/365)*s_ED_con*s_RadSpec!R5*s_ET_cw_o*(1/24)*s_RadSpec!W5))*1,".")</f>
        <v>.</v>
      </c>
      <c r="AA5" s="48" t="str">
        <f>IFERROR((s_TR/(s_RadSpec!N5*s_EF_cw*(1/365)*s_ED_con*s_RadSpec!S5*s_ET_cw_o*(1/24)*s_RadSpec!X5))*1,".")</f>
        <v>.</v>
      </c>
      <c r="AB5" s="48" t="str">
        <f>IFERROR((s_TR/(s_RadSpec!O5*s_EF_cw*(1/365)*s_ED_con*s_RadSpec!T5*s_ET_cw_o*(1/24)*s_RadSpec!Y5))*1,".")</f>
        <v>.</v>
      </c>
      <c r="AC5" s="48" t="str">
        <f>IFERROR((s_TR/(s_RadSpec!K5*s_EF_cw*(1/365)*s_ED_con*s_RadSpec!P5*s_ET_cw_o*(1/24)*s_RadSpec!U5))*1,".")</f>
        <v>.</v>
      </c>
      <c r="AD5" s="69">
        <f>s_C*s_EF_cw*(1/365)*s_ED_con*(s_ET_cw_i+s_ET_cw_o)*(1/24)*s_RadSpec!V5*s_RadSpec!Q5*1</f>
        <v>0</v>
      </c>
      <c r="AE5" s="69">
        <f>s_C*s_EF_cw*(1/365)*s_ED_con*(s_ET_cw_i+s_ET_cw_o)*(1/24)*s_RadSpec!W5*s_RadSpec!R5*1</f>
        <v>0</v>
      </c>
      <c r="AF5" s="69">
        <f>s_C*s_EF_cw*(1/365)*s_ED_con*(s_ET_cw_i+s_ET_cw_o)*(1/24)*s_RadSpec!X5*s_RadSpec!S5*1</f>
        <v>0</v>
      </c>
      <c r="AG5" s="69">
        <f>s_C*s_EF_cw*(1/365)*s_ED_con*(s_ET_cw_i+s_ET_cw_o)*(1/24)*s_RadSpec!Y5*s_RadSpec!T5*1</f>
        <v>0</v>
      </c>
      <c r="AH5" s="69">
        <f>s_C*s_EF_cw*(1/365)*s_ED_con*(s_ET_cw_i+s_ET_cw_o)*(1/24)*s_RadSpec!U5*s_RadSpec!P5*1</f>
        <v>0</v>
      </c>
      <c r="AI5" s="11"/>
      <c r="AJ5" s="11"/>
      <c r="AK5" s="11"/>
      <c r="AL5" s="11"/>
      <c r="AM5" s="11"/>
      <c r="AN5" s="48" t="str">
        <f>IFERROR(s_TR/(s_RadSpec!G5*s_EF_cw*s_ED_con*s_ET_cw_o*(1/24)*s_IRA_cw),".")</f>
        <v>.</v>
      </c>
      <c r="AO5" s="48">
        <f>IFERROR(s_TR/(s_RadSpec!J5*s_EF_cw*(1/365)*s_ED_con*s_ET_cw_o*(1/24)*s_GSF_a),".")</f>
        <v>378907520.13498986</v>
      </c>
      <c r="AP5" s="48">
        <f t="shared" si="11"/>
        <v>378907520.13498986</v>
      </c>
      <c r="AQ5" s="69">
        <f t="shared" si="7"/>
        <v>26041406.25</v>
      </c>
      <c r="AR5" s="69">
        <f t="shared" si="8"/>
        <v>4756.4212328767117</v>
      </c>
      <c r="AS5" s="10"/>
      <c r="AT5" s="10"/>
      <c r="AU5" s="10"/>
    </row>
    <row r="6" spans="1:47" x14ac:dyDescent="0.25">
      <c r="A6" s="49" t="s">
        <v>16</v>
      </c>
      <c r="B6" s="50" t="s">
        <v>289</v>
      </c>
      <c r="C6" s="48" t="str">
        <f>IFERROR((s_TR/(s_RadSpec!I6*s_EF_cw*s_ED_con*s_IRS_cw*(1/1000)))*1,".")</f>
        <v>.</v>
      </c>
      <c r="D6" s="48" t="str">
        <f>IFERROR(IF(A6="H-3",(s_TR/(s_RadSpec!G6*s_EF_cw*s_ED_con*s_ET_cw_o*(1/24)*s_IRA_cw*(1/17)*1000))*1,(s_TR/(s_RadSpec!G6*s_EF_cw*s_ED_con*s_ET_cw_o*(1/24)*s_IRA_cw*(1/s_PEFsc)*1000))*1),".")</f>
        <v>.</v>
      </c>
      <c r="E6" s="48">
        <f>IFERROR((s_TR/(s_RadSpec!F6*s_EF_cw*(1/365)*s_ED_con*s_RadSpec!Q6*s_ET_cw_o*(1/24)*s_RadSpec!V6))*1,".")</f>
        <v>115.90765790738236</v>
      </c>
      <c r="F6" s="48">
        <f t="shared" si="9"/>
        <v>115.90765790738236</v>
      </c>
      <c r="G6" s="69">
        <f t="shared" si="1"/>
        <v>229164.375</v>
      </c>
      <c r="H6" s="69">
        <f t="shared" si="2"/>
        <v>51215.031719100385</v>
      </c>
      <c r="I6" s="69">
        <f>s_C*s_EF_cw*(1/365)*s_ED_con*(s_ET_cw_i+s_ET_cw_o)*(1/24)*s_RadSpec!V6*s_RadSpec!Q6*1</f>
        <v>178.47504265695343</v>
      </c>
      <c r="J6" s="4"/>
      <c r="K6" s="4"/>
      <c r="L6" s="4"/>
      <c r="M6" s="4"/>
      <c r="N6" s="48" t="str">
        <f>IFERROR((s_TR/(s_RadSpec!I6*s_EF_cw*s_ED_con*s_IRS_cw*(1/1000)))*1,".")</f>
        <v>.</v>
      </c>
      <c r="O6" s="48" t="str">
        <f>IFERROR(IF(A6="H-3",(s_TR/(s_RadSpec!G6*s_EF_cw*s_ED_con*s_ET_cw_o*(1/24)*s_IRA_cw*(1/17)*1000))*1,(s_TR/(s_RadSpec!G6*s_EF_cw*s_ED_con*s_ET_cw_o*(1/24)*s_IRA_cw*(1/s_PEF__sc)*1000))*1),".")</f>
        <v>.</v>
      </c>
      <c r="P6" s="48">
        <f>IFERROR((s_TR/(s_RadSpec!F6*s_EF_cw*(1/365)*s_ED_con*s_RadSpec!Q6*s_ET_cw_o*(1/24)*s_RadSpec!V6))*1,".")</f>
        <v>115.90765790738236</v>
      </c>
      <c r="Q6" s="48">
        <f t="shared" si="10"/>
        <v>115.90765790738236</v>
      </c>
      <c r="R6" s="69">
        <f t="shared" si="4"/>
        <v>229164.375</v>
      </c>
      <c r="S6" s="69">
        <f t="shared" si="5"/>
        <v>8143.0753743733067</v>
      </c>
      <c r="T6" s="69">
        <f>s_C*s_EF_cw*(1/365)*s_ED_con*(s_ET_cw_i+s_ET_cw_o)*(1/24)*s_RadSpec!V6*s_RadSpec!Q6*1</f>
        <v>178.47504265695343</v>
      </c>
      <c r="U6" s="11"/>
      <c r="V6" s="11"/>
      <c r="W6" s="11"/>
      <c r="X6" s="11"/>
      <c r="Y6" s="48">
        <f>IFERROR((s_TR/(s_RadSpec!F6*s_EF_cw*(1/365)*s_ED_con*s_RadSpec!Q6*s_ET_cw_o*(1/24)*s_RadSpec!V6))*1,".")</f>
        <v>115.90765790738236</v>
      </c>
      <c r="Z6" s="48">
        <f>IFERROR((s_TR/(s_RadSpec!M6*s_EF_cw*(1/365)*s_ED_con*s_RadSpec!R6*s_ET_cw_o*(1/24)*s_RadSpec!W6))*1,".")</f>
        <v>1061.5929615031728</v>
      </c>
      <c r="AA6" s="48">
        <f>IFERROR((s_TR/(s_RadSpec!N6*s_EF_cw*(1/365)*s_ED_con*s_RadSpec!S6*s_ET_cw_o*(1/24)*s_RadSpec!X6))*1,".")</f>
        <v>266.02700817450756</v>
      </c>
      <c r="AB6" s="48">
        <f>IFERROR((s_TR/(s_RadSpec!O6*s_EF_cw*(1/365)*s_ED_con*s_RadSpec!T6*s_ET_cw_o*(1/24)*s_RadSpec!Y6))*1,".")</f>
        <v>141.86954737628776</v>
      </c>
      <c r="AC6" s="48">
        <f>IFERROR((s_TR/(s_RadSpec!K6*s_EF_cw*(1/365)*s_ED_con*s_RadSpec!P6*s_ET_cw_o*(1/24)*s_RadSpec!U6))*1,".")</f>
        <v>1821.2885909076235</v>
      </c>
      <c r="AD6" s="69">
        <f>s_C*s_EF_cw*(1/365)*s_ED_con*(s_ET_cw_i+s_ET_cw_o)*(1/24)*s_RadSpec!V6*s_RadSpec!Q6*1</f>
        <v>178.47504265695343</v>
      </c>
      <c r="AE6" s="69">
        <f>s_C*s_EF_cw*(1/365)*s_ED_con*(s_ET_cw_i+s_ET_cw_o)*(1/24)*s_RadSpec!W6*s_RadSpec!R6*1</f>
        <v>95.603067532663744</v>
      </c>
      <c r="AF6" s="69">
        <f>s_C*s_EF_cw*(1/365)*s_ED_con*(s_ET_cw_i+s_ET_cw_o)*(1/24)*s_RadSpec!X6*s_RadSpec!S6*1</f>
        <v>135.28831114955508</v>
      </c>
      <c r="AG6" s="69">
        <f>s_C*s_EF_cw*(1/365)*s_ED_con*(s_ET_cw_i+s_ET_cw_o)*(1/24)*s_RadSpec!Y6*s_RadSpec!T6*1</f>
        <v>163.59665386964491</v>
      </c>
      <c r="AH6" s="69">
        <f>s_C*s_EF_cw*(1/365)*s_ED_con*(s_ET_cw_i+s_ET_cw_o)*(1/24)*s_RadSpec!U6*s_RadSpec!P6*1</f>
        <v>56.914904070672449</v>
      </c>
      <c r="AI6" s="11"/>
      <c r="AJ6" s="11"/>
      <c r="AK6" s="11"/>
      <c r="AL6" s="11"/>
      <c r="AM6" s="11"/>
      <c r="AN6" s="48" t="str">
        <f>IFERROR(s_TR/(s_RadSpec!G6*s_EF_cw*s_ED_con*s_ET_cw_o*(1/24)*s_IRA_cw),".")</f>
        <v>.</v>
      </c>
      <c r="AO6" s="48">
        <f>IFERROR(s_TR/(s_RadSpec!J6*s_EF_cw*(1/365)*s_ED_con*s_ET_cw_o*(1/24)*s_GSF_a),".")</f>
        <v>4631.0919127609877</v>
      </c>
      <c r="AP6" s="48">
        <f t="shared" si="11"/>
        <v>4631.0919127609877</v>
      </c>
      <c r="AQ6" s="69">
        <f t="shared" si="7"/>
        <v>26041406.25</v>
      </c>
      <c r="AR6" s="69">
        <f t="shared" si="8"/>
        <v>4756.4212328767117</v>
      </c>
      <c r="AS6" s="10"/>
      <c r="AT6" s="10"/>
      <c r="AU6" s="10"/>
    </row>
    <row r="7" spans="1:47" x14ac:dyDescent="0.25">
      <c r="A7" s="49" t="s">
        <v>17</v>
      </c>
      <c r="B7" s="50" t="s">
        <v>289</v>
      </c>
      <c r="C7" s="48">
        <f>IFERROR((s_TR/(s_RadSpec!I7*s_EF_cw*s_ED_con*s_IRS_cw*(1/1000)))*1,".")</f>
        <v>64871.352000064864</v>
      </c>
      <c r="D7" s="48">
        <f>IFERROR(IF(A7="H-3",(s_TR/(s_RadSpec!G7*s_EF_cw*s_ED_con*s_ET_cw_o*(1/24)*s_IRA_cw*(1/17)*1000))*1,(s_TR/(s_RadSpec!G7*s_EF_cw*s_ED_con*s_ET_cw_o*(1/24)*s_IRA_cw*(1/s_PEFsc)*1000))*1),".")</f>
        <v>2383.5203840466611</v>
      </c>
      <c r="E7" s="48">
        <f>IFERROR((s_TR/(s_RadSpec!F7*s_EF_cw*(1/365)*s_ED_con*s_RadSpec!Q7*s_ET_cw_o*(1/24)*s_RadSpec!V7))*1,".")</f>
        <v>243385.85234948245</v>
      </c>
      <c r="F7" s="48">
        <f t="shared" si="9"/>
        <v>2277.534321738468</v>
      </c>
      <c r="G7" s="69">
        <f t="shared" si="1"/>
        <v>229164.375</v>
      </c>
      <c r="H7" s="69">
        <f t="shared" si="2"/>
        <v>51215.031719100385</v>
      </c>
      <c r="I7" s="69">
        <f>s_C*s_EF_cw*(1/365)*s_ED_con*(s_ET_cw_i+s_ET_cw_o)*(1/24)*s_RadSpec!V7*s_RadSpec!Q7*1</f>
        <v>82.484773279001232</v>
      </c>
      <c r="J7" s="4"/>
      <c r="K7" s="4"/>
      <c r="L7" s="4"/>
      <c r="M7" s="4"/>
      <c r="N7" s="48">
        <f>IFERROR((s_TR/(s_RadSpec!I7*s_EF_cw*s_ED_con*s_IRS_cw*(1/1000)))*1,".")</f>
        <v>64871.352000064864</v>
      </c>
      <c r="O7" s="48">
        <f>IFERROR(IF(A7="H-3",(s_TR/(s_RadSpec!G7*s_EF_cw*s_ED_con*s_ET_cw_o*(1/24)*s_IRA_cw*(1/17)*1000))*1,(s_TR/(s_RadSpec!G7*s_EF_cw*s_ED_con*s_ET_cw_o*(1/24)*s_IRA_cw*(1/s_PEF__sc)*1000))*1),".")</f>
        <v>14990.905334886058</v>
      </c>
      <c r="P7" s="48">
        <f>IFERROR((s_TR/(s_RadSpec!F7*s_EF_cw*(1/365)*s_ED_con*s_RadSpec!Q7*s_ET_cw_o*(1/24)*s_RadSpec!V7))*1,".")</f>
        <v>243385.85234948245</v>
      </c>
      <c r="Q7" s="48">
        <f t="shared" si="10"/>
        <v>11596.765726453272</v>
      </c>
      <c r="R7" s="69">
        <f t="shared" si="4"/>
        <v>229164.375</v>
      </c>
      <c r="S7" s="69">
        <f t="shared" si="5"/>
        <v>8143.0753743733067</v>
      </c>
      <c r="T7" s="69">
        <f>s_C*s_EF_cw*(1/365)*s_ED_con*(s_ET_cw_i+s_ET_cw_o)*(1/24)*s_RadSpec!V7*s_RadSpec!Q7*1</f>
        <v>82.484773279001232</v>
      </c>
      <c r="U7" s="11"/>
      <c r="V7" s="11"/>
      <c r="W7" s="11"/>
      <c r="X7" s="11"/>
      <c r="Y7" s="48">
        <f>IFERROR((s_TR/(s_RadSpec!F7*s_EF_cw*(1/365)*s_ED_con*s_RadSpec!Q7*s_ET_cw_o*(1/24)*s_RadSpec!V7))*1,".")</f>
        <v>243385.85234948245</v>
      </c>
      <c r="Z7" s="48">
        <f>IFERROR((s_TR/(s_RadSpec!M7*s_EF_cw*(1/365)*s_ED_con*s_RadSpec!R7*s_ET_cw_o*(1/24)*s_RadSpec!W7))*1,".")</f>
        <v>1122378.5469965809</v>
      </c>
      <c r="AA7" s="48">
        <f>IFERROR((s_TR/(s_RadSpec!N7*s_EF_cw*(1/365)*s_ED_con*s_RadSpec!S7*s_ET_cw_o*(1/24)*s_RadSpec!X7))*1,".")</f>
        <v>381989.38780732075</v>
      </c>
      <c r="AB7" s="48">
        <f>IFERROR((s_TR/(s_RadSpec!O7*s_EF_cw*(1/365)*s_ED_con*s_RadSpec!T7*s_ET_cw_o*(1/24)*s_RadSpec!Y7))*1,".")</f>
        <v>268891.97038063756</v>
      </c>
      <c r="AC7" s="48">
        <f>IFERROR((s_TR/(s_RadSpec!K7*s_EF_cw*(1/365)*s_ED_con*s_RadSpec!P7*s_ET_cw_o*(1/24)*s_RadSpec!U7))*1,".")</f>
        <v>380241.29434263927</v>
      </c>
      <c r="AD7" s="69">
        <f>s_C*s_EF_cw*(1/365)*s_ED_con*(s_ET_cw_i+s_ET_cw_o)*(1/24)*s_RadSpec!V7*s_RadSpec!Q7*1</f>
        <v>82.484773279001232</v>
      </c>
      <c r="AE7" s="69">
        <f>s_C*s_EF_cw*(1/365)*s_ED_con*(s_ET_cw_i+s_ET_cw_o)*(1/24)*s_RadSpec!W7*s_RadSpec!R7*1</f>
        <v>51.848622294259094</v>
      </c>
      <c r="AF7" s="69">
        <f>s_C*s_EF_cw*(1/365)*s_ED_con*(s_ET_cw_i+s_ET_cw_o)*(1/24)*s_RadSpec!X7*s_RadSpec!S7*1</f>
        <v>70.770700636942664</v>
      </c>
      <c r="AG7" s="69">
        <f>s_C*s_EF_cw*(1/365)*s_ED_con*(s_ET_cw_i+s_ET_cw_o)*(1/24)*s_RadSpec!Y7*s_RadSpec!T7*1</f>
        <v>76.932844666220817</v>
      </c>
      <c r="AH7" s="69">
        <f>s_C*s_EF_cw*(1/365)*s_ED_con*(s_ET_cw_i+s_ET_cw_o)*(1/24)*s_RadSpec!U7*s_RadSpec!P7*1</f>
        <v>30.297593157350935</v>
      </c>
      <c r="AI7" s="11"/>
      <c r="AJ7" s="11"/>
      <c r="AK7" s="11"/>
      <c r="AL7" s="11"/>
      <c r="AM7" s="11"/>
      <c r="AN7" s="48">
        <f>IFERROR(s_TR/(s_RadSpec!G7*s_EF_cw*s_ED_con*s_ET_cw_o*(1/24)*s_IRA_cw),".")</f>
        <v>4.6876144437120049</v>
      </c>
      <c r="AO7" s="48">
        <f>IFERROR(s_TR/(s_RadSpec!J7*s_EF_cw*(1/365)*s_ED_con*s_ET_cw_o*(1/24)*s_GSF_a),".")</f>
        <v>2208202.7663496095</v>
      </c>
      <c r="AP7" s="48">
        <f t="shared" si="11"/>
        <v>4.6876044927768543</v>
      </c>
      <c r="AQ7" s="69">
        <f t="shared" si="7"/>
        <v>26041406.25</v>
      </c>
      <c r="AR7" s="69">
        <f t="shared" si="8"/>
        <v>4756.4212328767117</v>
      </c>
      <c r="AS7" s="10"/>
      <c r="AT7" s="10"/>
      <c r="AU7" s="10"/>
    </row>
    <row r="8" spans="1:47" x14ac:dyDescent="0.25">
      <c r="A8" s="49" t="s">
        <v>18</v>
      </c>
      <c r="B8" s="50" t="s">
        <v>289</v>
      </c>
      <c r="C8" s="48">
        <f>IFERROR((s_TR/(s_RadSpec!I8*s_EF_cw*s_ED_con*s_IRS_cw*(1/1000)))*1,".")</f>
        <v>764528.1857650585</v>
      </c>
      <c r="D8" s="48">
        <f>IFERROR(IF(A8="H-3",(s_TR/(s_RadSpec!G8*s_EF_cw*s_ED_con*s_ET_cw_o*(1/24)*s_IRA_cw*(1/17)*1000))*1,(s_TR/(s_RadSpec!G8*s_EF_cw*s_ED_con*s_ET_cw_o*(1/24)*s_IRA_cw*(1/s_PEFsc)*1000))*1),".")</f>
        <v>14658.650361886963</v>
      </c>
      <c r="E8" s="48">
        <f>IFERROR((s_TR/(s_RadSpec!F8*s_EF_cw*(1/365)*s_ED_con*s_RadSpec!Q8*s_ET_cw_o*(1/24)*s_RadSpec!V8))*1,".")</f>
        <v>713.11057077624218</v>
      </c>
      <c r="F8" s="48">
        <f t="shared" si="9"/>
        <v>679.4243639918592</v>
      </c>
      <c r="G8" s="69">
        <f t="shared" si="1"/>
        <v>229164.375</v>
      </c>
      <c r="H8" s="69">
        <f t="shared" si="2"/>
        <v>51215.031719100385</v>
      </c>
      <c r="I8" s="69">
        <f>s_C*s_EF_cw*(1/365)*s_ED_con*(s_ET_cw_i+s_ET_cw_o)*(1/24)*s_RadSpec!V8*s_RadSpec!Q8*1</f>
        <v>143.48537385844739</v>
      </c>
      <c r="J8" s="4"/>
      <c r="K8" s="4"/>
      <c r="L8" s="4"/>
      <c r="M8" s="4"/>
      <c r="N8" s="48">
        <f>IFERROR((s_TR/(s_RadSpec!I8*s_EF_cw*s_ED_con*s_IRS_cw*(1/1000)))*1,".")</f>
        <v>764528.1857650585</v>
      </c>
      <c r="O8" s="48">
        <f>IFERROR(IF(A8="H-3",(s_TR/(s_RadSpec!G8*s_EF_cw*s_ED_con*s_ET_cw_o*(1/24)*s_IRA_cw*(1/17)*1000))*1,(s_TR/(s_RadSpec!G8*s_EF_cw*s_ED_con*s_ET_cw_o*(1/24)*s_IRA_cw*(1/s_PEF__sc)*1000))*1),".")</f>
        <v>92194.067809549248</v>
      </c>
      <c r="P8" s="48">
        <f>IFERROR((s_TR/(s_RadSpec!F8*s_EF_cw*(1/365)*s_ED_con*s_RadSpec!Q8*s_ET_cw_o*(1/24)*s_RadSpec!V8))*1,".")</f>
        <v>713.11057077624218</v>
      </c>
      <c r="Q8" s="48">
        <f t="shared" si="10"/>
        <v>706.98270514900264</v>
      </c>
      <c r="R8" s="69">
        <f t="shared" si="4"/>
        <v>229164.375</v>
      </c>
      <c r="S8" s="69">
        <f t="shared" si="5"/>
        <v>8143.0753743733067</v>
      </c>
      <c r="T8" s="69">
        <f>s_C*s_EF_cw*(1/365)*s_ED_con*(s_ET_cw_i+s_ET_cw_o)*(1/24)*s_RadSpec!V8*s_RadSpec!Q8*1</f>
        <v>143.48537385844739</v>
      </c>
      <c r="U8" s="11"/>
      <c r="V8" s="11"/>
      <c r="W8" s="11"/>
      <c r="X8" s="11"/>
      <c r="Y8" s="48">
        <f>IFERROR((s_TR/(s_RadSpec!F8*s_EF_cw*(1/365)*s_ED_con*s_RadSpec!Q8*s_ET_cw_o*(1/24)*s_RadSpec!V8))*1,".")</f>
        <v>713.11057077624218</v>
      </c>
      <c r="Z8" s="48">
        <f>IFERROR((s_TR/(s_RadSpec!M8*s_EF_cw*(1/365)*s_ED_con*s_RadSpec!R8*s_ET_cw_o*(1/24)*s_RadSpec!W8))*1,".")</f>
        <v>6038.8042907633844</v>
      </c>
      <c r="AA8" s="48">
        <f>IFERROR((s_TR/(s_RadSpec!N8*s_EF_cw*(1/365)*s_ED_con*s_RadSpec!S8*s_ET_cw_o*(1/24)*s_RadSpec!X8))*1,".")</f>
        <v>1577.77956909002</v>
      </c>
      <c r="AB8" s="48">
        <f>IFERROR((s_TR/(s_RadSpec!O8*s_EF_cw*(1/365)*s_ED_con*s_RadSpec!T8*s_ET_cw_o*(1/24)*s_RadSpec!Y8))*1,".")</f>
        <v>956.23348929965914</v>
      </c>
      <c r="AC8" s="48">
        <f>IFERROR((s_TR/(s_RadSpec!K8*s_EF_cw*(1/365)*s_ED_con*s_RadSpec!P8*s_ET_cw_o*(1/24)*s_RadSpec!U8))*1,".")</f>
        <v>10950.222410260683</v>
      </c>
      <c r="AD8" s="69">
        <f>s_C*s_EF_cw*(1/365)*s_ED_con*(s_ET_cw_i+s_ET_cw_o)*(1/24)*s_RadSpec!V8*s_RadSpec!Q8*1</f>
        <v>143.48537385844739</v>
      </c>
      <c r="AE8" s="69">
        <f>s_C*s_EF_cw*(1/365)*s_ED_con*(s_ET_cw_i+s_ET_cw_o)*(1/24)*s_RadSpec!W8*s_RadSpec!R8*1</f>
        <v>78.163855593607309</v>
      </c>
      <c r="AF8" s="69">
        <f>s_C*s_EF_cw*(1/365)*s_ED_con*(s_ET_cw_i+s_ET_cw_o)*(1/24)*s_RadSpec!X8*s_RadSpec!S8*1</f>
        <v>107.08742661448139</v>
      </c>
      <c r="AG8" s="69">
        <f>s_C*s_EF_cw*(1/365)*s_ED_con*(s_ET_cw_i+s_ET_cw_o)*(1/24)*s_RadSpec!Y8*s_RadSpec!T8*1</f>
        <v>116.80028759888093</v>
      </c>
      <c r="AH8" s="69">
        <f>s_C*s_EF_cw*(1/365)*s_ED_con*(s_ET_cw_i+s_ET_cw_o)*(1/24)*s_RadSpec!U8*s_RadSpec!P8*1</f>
        <v>42.184926410632748</v>
      </c>
      <c r="AI8" s="11"/>
      <c r="AJ8" s="11"/>
      <c r="AK8" s="11"/>
      <c r="AL8" s="11"/>
      <c r="AM8" s="11"/>
      <c r="AN8" s="48">
        <f>IFERROR(s_TR/(s_RadSpec!G8*s_EF_cw*s_ED_con*s_ET_cw_o*(1/24)*s_IRA_cw),".")</f>
        <v>28.828828828828829</v>
      </c>
      <c r="AO8" s="48">
        <f>IFERROR(s_TR/(s_RadSpec!J8*s_EF_cw*(1/365)*s_ED_con*s_ET_cw_o*(1/24)*s_GSF_a),".")</f>
        <v>21936.751165709942</v>
      </c>
      <c r="AP8" s="48">
        <f t="shared" si="11"/>
        <v>28.790992296770561</v>
      </c>
      <c r="AQ8" s="69">
        <f t="shared" si="7"/>
        <v>26041406.25</v>
      </c>
      <c r="AR8" s="69">
        <f t="shared" si="8"/>
        <v>4756.4212328767117</v>
      </c>
      <c r="AS8" s="10"/>
      <c r="AT8" s="10"/>
      <c r="AU8" s="10"/>
    </row>
    <row r="9" spans="1:47" x14ac:dyDescent="0.25">
      <c r="A9" s="49" t="s">
        <v>19</v>
      </c>
      <c r="B9" s="50" t="s">
        <v>289</v>
      </c>
      <c r="C9" s="48">
        <f>IFERROR((s_TR/(s_RadSpec!I9*s_EF_cw*s_ED_con*s_IRS_cw*(1/1000)))*1,".")</f>
        <v>1646232.8020116964</v>
      </c>
      <c r="D9" s="48">
        <f>IFERROR(IF(A9="H-3",(s_TR/(s_RadSpec!G9*s_EF_cw*s_ED_con*s_ET_cw_o*(1/24)*s_IRA_cw*(1/17)*1000))*1,(s_TR/(s_RadSpec!G9*s_EF_cw*s_ED_con*s_ET_cw_o*(1/24)*s_IRA_cw*(1/s_PEFsc)*1000))*1),".")</f>
        <v>17552.429235916428</v>
      </c>
      <c r="E9" s="48">
        <f>IFERROR((s_TR/(s_RadSpec!F9*s_EF_cw*(1/365)*s_ED_con*s_RadSpec!Q9*s_ET_cw_o*(1/24)*s_RadSpec!V9))*1,".")</f>
        <v>25.962999899790638</v>
      </c>
      <c r="F9" s="48">
        <f t="shared" si="9"/>
        <v>25.924244718995297</v>
      </c>
      <c r="G9" s="69">
        <f t="shared" si="1"/>
        <v>229164.375</v>
      </c>
      <c r="H9" s="69">
        <f t="shared" si="2"/>
        <v>51215.031719100385</v>
      </c>
      <c r="I9" s="69">
        <f>s_C*s_EF_cw*(1/365)*s_ED_con*(s_ET_cw_i+s_ET_cw_o)*(1/24)*s_RadSpec!V9*s_RadSpec!Q9*1</f>
        <v>291.34793459594965</v>
      </c>
      <c r="J9" s="4"/>
      <c r="K9" s="4"/>
      <c r="L9" s="4"/>
      <c r="M9" s="4"/>
      <c r="N9" s="48">
        <f>IFERROR((s_TR/(s_RadSpec!I9*s_EF_cw*s_ED_con*s_IRS_cw*(1/1000)))*1,".")</f>
        <v>1646232.8020116964</v>
      </c>
      <c r="O9" s="48">
        <f>IFERROR(IF(A9="H-3",(s_TR/(s_RadSpec!G9*s_EF_cw*s_ED_con*s_ET_cw_o*(1/24)*s_IRA_cw*(1/17)*1000))*1,(s_TR/(s_RadSpec!G9*s_EF_cw*s_ED_con*s_ET_cw_o*(1/24)*s_IRA_cw*(1/s_PEF__sc)*1000))*1),".")</f>
        <v>110394.19122826285</v>
      </c>
      <c r="P9" s="48">
        <f>IFERROR((s_TR/(s_RadSpec!F9*s_EF_cw*(1/365)*s_ED_con*s_RadSpec!Q9*s_ET_cw_o*(1/24)*s_RadSpec!V9))*1,".")</f>
        <v>25.962999899790638</v>
      </c>
      <c r="Q9" s="48">
        <f t="shared" si="10"/>
        <v>25.956485973388581</v>
      </c>
      <c r="R9" s="69">
        <f t="shared" si="4"/>
        <v>229164.375</v>
      </c>
      <c r="S9" s="69">
        <f t="shared" si="5"/>
        <v>8143.0753743733067</v>
      </c>
      <c r="T9" s="69">
        <f>s_C*s_EF_cw*(1/365)*s_ED_con*(s_ET_cw_i+s_ET_cw_o)*(1/24)*s_RadSpec!V9*s_RadSpec!Q9*1</f>
        <v>291.34793459594965</v>
      </c>
      <c r="U9" s="11"/>
      <c r="V9" s="11"/>
      <c r="W9" s="11"/>
      <c r="X9" s="11"/>
      <c r="Y9" s="48">
        <f>IFERROR((s_TR/(s_RadSpec!F9*s_EF_cw*(1/365)*s_ED_con*s_RadSpec!Q9*s_ET_cw_o*(1/24)*s_RadSpec!V9))*1,".")</f>
        <v>25.962999899790638</v>
      </c>
      <c r="Z9" s="48">
        <f>IFERROR((s_TR/(s_RadSpec!M9*s_EF_cw*(1/365)*s_ED_con*s_RadSpec!R9*s_ET_cw_o*(1/24)*s_RadSpec!W9))*1,".")</f>
        <v>294.43715968236131</v>
      </c>
      <c r="AA9" s="48">
        <f>IFERROR((s_TR/(s_RadSpec!N9*s_EF_cw*(1/365)*s_ED_con*s_RadSpec!S9*s_ET_cw_o*(1/24)*s_RadSpec!X9))*1,".")</f>
        <v>72.103892413920988</v>
      </c>
      <c r="AB9" s="48">
        <f>IFERROR((s_TR/(s_RadSpec!O9*s_EF_cw*(1/365)*s_ED_con*s_RadSpec!T9*s_ET_cw_o*(1/24)*s_RadSpec!Y9))*1,".")</f>
        <v>36.882252910478108</v>
      </c>
      <c r="AC9" s="48">
        <f>IFERROR((s_TR/(s_RadSpec!K9*s_EF_cw*(1/365)*s_ED_con*s_RadSpec!P9*s_ET_cw_o*(1/24)*s_RadSpec!U9))*1,".")</f>
        <v>538.59877184952006</v>
      </c>
      <c r="AD9" s="69">
        <f>s_C*s_EF_cw*(1/365)*s_ED_con*(s_ET_cw_i+s_ET_cw_o)*(1/24)*s_RadSpec!V9*s_RadSpec!Q9*1</f>
        <v>291.34793459594965</v>
      </c>
      <c r="AE9" s="69">
        <f>s_C*s_EF_cw*(1/365)*s_ED_con*(s_ET_cw_i+s_ET_cw_o)*(1/24)*s_RadSpec!W9*s_RadSpec!R9*1</f>
        <v>142.24811163743431</v>
      </c>
      <c r="AF9" s="69">
        <f>s_C*s_EF_cw*(1/365)*s_ED_con*(s_ET_cw_i+s_ET_cw_o)*(1/24)*s_RadSpec!X9*s_RadSpec!S9*1</f>
        <v>202.16622451294919</v>
      </c>
      <c r="AG9" s="69">
        <f>s_C*s_EF_cw*(1/365)*s_ED_con*(s_ET_cw_i+s_ET_cw_o)*(1/24)*s_RadSpec!Y9*s_RadSpec!T9*1</f>
        <v>245.25296982020546</v>
      </c>
      <c r="AH9" s="69">
        <f>s_C*s_EF_cw*(1/365)*s_ED_con*(s_ET_cw_i+s_ET_cw_o)*(1/24)*s_RadSpec!U9*s_RadSpec!P9*1</f>
        <v>80.308112157534197</v>
      </c>
      <c r="AI9" s="11"/>
      <c r="AJ9" s="11"/>
      <c r="AK9" s="11"/>
      <c r="AL9" s="11"/>
      <c r="AM9" s="11"/>
      <c r="AN9" s="48">
        <f>IFERROR(s_TR/(s_RadSpec!G9*s_EF_cw*s_ED_con*s_ET_cw_o*(1/24)*s_IRA_cw),".")</f>
        <v>34.519956850053937</v>
      </c>
      <c r="AO9" s="48">
        <f>IFERROR(s_TR/(s_RadSpec!J9*s_EF_cw*(1/365)*s_ED_con*s_ET_cw_o*(1/24)*s_GSF_a),".")</f>
        <v>1745.751925229273</v>
      </c>
      <c r="AP9" s="48">
        <f t="shared" si="11"/>
        <v>33.850605481353</v>
      </c>
      <c r="AQ9" s="69">
        <f t="shared" si="7"/>
        <v>26041406.25</v>
      </c>
      <c r="AR9" s="69">
        <f t="shared" si="8"/>
        <v>4756.4212328767117</v>
      </c>
      <c r="AS9" s="10"/>
      <c r="AT9" s="10"/>
      <c r="AU9" s="10"/>
    </row>
    <row r="10" spans="1:47" x14ac:dyDescent="0.25">
      <c r="A10" s="51" t="s">
        <v>20</v>
      </c>
      <c r="B10" s="50" t="s">
        <v>275</v>
      </c>
      <c r="C10" s="48">
        <f>IFERROR((s_TR/(s_RadSpec!I10*s_EF_cw*s_ED_con*s_IRS_cw*(1/1000)))*1,".")</f>
        <v>7627.4814342334712</v>
      </c>
      <c r="D10" s="48">
        <f>IFERROR(IF(A10="H-3",(s_TR/(s_RadSpec!G10*s_EF_cw*s_ED_con*s_ET_cw_o*(1/24)*s_IRA_cw*(1/17)*1000))*1,(s_TR/(s_RadSpec!G10*s_EF_cw*s_ED_con*s_ET_cw_o*(1/24)*s_IRA_cw*(1/s_PEFsc)*1000))*1),".")</f>
        <v>9643.8489222940552</v>
      </c>
      <c r="E10" s="48">
        <f>IFERROR((s_TR/(s_RadSpec!F10*s_EF_cw*(1/365)*s_ED_con*s_RadSpec!Q10*s_ET_cw_o*(1/24)*s_RadSpec!V10))*1,".")</f>
        <v>660633.44374366337</v>
      </c>
      <c r="F10" s="48">
        <f t="shared" si="9"/>
        <v>4231.7006326326709</v>
      </c>
      <c r="G10" s="69">
        <f t="shared" si="1"/>
        <v>229164.375</v>
      </c>
      <c r="H10" s="69">
        <f t="shared" si="2"/>
        <v>51215.031719100385</v>
      </c>
      <c r="I10" s="69">
        <f>s_C*s_EF_cw*(1/365)*s_ED_con*(s_ET_cw_i+s_ET_cw_o)*(1/24)*s_RadSpec!V10*s_RadSpec!Q10*1</f>
        <v>152.26348458904107</v>
      </c>
      <c r="J10" s="4"/>
      <c r="K10" s="4"/>
      <c r="L10" s="4"/>
      <c r="M10" s="4"/>
      <c r="N10" s="48">
        <f>IFERROR((s_TR/(s_RadSpec!I10*s_EF_cw*s_ED_con*s_IRS_cw*(1/1000)))*1,".")</f>
        <v>7627.4814342334712</v>
      </c>
      <c r="O10" s="48">
        <f>IFERROR(IF(A10="H-3",(s_TR/(s_RadSpec!G10*s_EF_cw*s_ED_con*s_ET_cw_o*(1/24)*s_IRA_cw*(1/17)*1000))*1,(s_TR/(s_RadSpec!G10*s_EF_cw*s_ED_con*s_ET_cw_o*(1/24)*s_IRA_cw*(1/s_PEF__sc)*1000))*1),".")</f>
        <v>60653.99197996661</v>
      </c>
      <c r="P10" s="48">
        <f>IFERROR((s_TR/(s_RadSpec!F10*s_EF_cw*(1/365)*s_ED_con*s_RadSpec!Q10*s_ET_cw_o*(1/24)*s_RadSpec!V10))*1,".")</f>
        <v>660633.44374366337</v>
      </c>
      <c r="Q10" s="48">
        <f t="shared" si="10"/>
        <v>6706.6591584884118</v>
      </c>
      <c r="R10" s="69">
        <f t="shared" si="4"/>
        <v>229164.375</v>
      </c>
      <c r="S10" s="69">
        <f t="shared" si="5"/>
        <v>8143.0753743733067</v>
      </c>
      <c r="T10" s="69">
        <f>s_C*s_EF_cw*(1/365)*s_ED_con*(s_ET_cw_i+s_ET_cw_o)*(1/24)*s_RadSpec!V10*s_RadSpec!Q10*1</f>
        <v>152.26348458904107</v>
      </c>
      <c r="U10" s="11"/>
      <c r="V10" s="11"/>
      <c r="W10" s="11"/>
      <c r="X10" s="11"/>
      <c r="Y10" s="48">
        <f>IFERROR((s_TR/(s_RadSpec!F10*s_EF_cw*(1/365)*s_ED_con*s_RadSpec!Q10*s_ET_cw_o*(1/24)*s_RadSpec!V10))*1,".")</f>
        <v>660633.44374366337</v>
      </c>
      <c r="Z10" s="48">
        <f>IFERROR((s_TR/(s_RadSpec!M10*s_EF_cw*(1/365)*s_ED_con*s_RadSpec!R10*s_ET_cw_o*(1/24)*s_RadSpec!W10))*1,".")</f>
        <v>2954649.486643625</v>
      </c>
      <c r="AA10" s="48">
        <f>IFERROR((s_TR/(s_RadSpec!N10*s_EF_cw*(1/365)*s_ED_con*s_RadSpec!S10*s_ET_cw_o*(1/24)*s_RadSpec!X10))*1,".")</f>
        <v>957403.7526824798</v>
      </c>
      <c r="AB10" s="48">
        <f>IFERROR((s_TR/(s_RadSpec!O10*s_EF_cw*(1/365)*s_ED_con*s_RadSpec!T10*s_ET_cw_o*(1/24)*s_RadSpec!Y10))*1,".")</f>
        <v>685428.53922771162</v>
      </c>
      <c r="AC10" s="48">
        <f>IFERROR((s_TR/(s_RadSpec!K10*s_EF_cw*(1/365)*s_ED_con*s_RadSpec!P10*s_ET_cw_o*(1/24)*s_RadSpec!U10))*1,".")</f>
        <v>1726927.5959839502</v>
      </c>
      <c r="AD10" s="69">
        <f>s_C*s_EF_cw*(1/365)*s_ED_con*(s_ET_cw_i+s_ET_cw_o)*(1/24)*s_RadSpec!V10*s_RadSpec!Q10*1</f>
        <v>152.26348458904107</v>
      </c>
      <c r="AE10" s="69">
        <f>s_C*s_EF_cw*(1/365)*s_ED_con*(s_ET_cw_i+s_ET_cw_o)*(1/24)*s_RadSpec!W10*s_RadSpec!R10*1</f>
        <v>97.713436197141192</v>
      </c>
      <c r="AF10" s="69">
        <f>s_C*s_EF_cw*(1/365)*s_ED_con*(s_ET_cw_i+s_ET_cw_o)*(1/24)*s_RadSpec!X10*s_RadSpec!S10*1</f>
        <v>136.82847779522763</v>
      </c>
      <c r="AG10" s="69">
        <f>s_C*s_EF_cw*(1/365)*s_ED_con*(s_ET_cw_i+s_ET_cw_o)*(1/24)*s_RadSpec!Y10*s_RadSpec!T10*1</f>
        <v>149.60196467195385</v>
      </c>
      <c r="AH10" s="69">
        <f>s_C*s_EF_cw*(1/365)*s_ED_con*(s_ET_cw_i+s_ET_cw_o)*(1/24)*s_RadSpec!U10*s_RadSpec!P10*1</f>
        <v>58.125270848211372</v>
      </c>
      <c r="AI10" s="11"/>
      <c r="AJ10" s="11"/>
      <c r="AK10" s="11"/>
      <c r="AL10" s="11"/>
      <c r="AM10" s="11"/>
      <c r="AN10" s="48">
        <f>IFERROR(s_TR/(s_RadSpec!G10*s_EF_cw*s_ED_con*s_ET_cw_o*(1/24)*s_IRA_cw),".")</f>
        <v>18.966334755808443</v>
      </c>
      <c r="AO10" s="48">
        <f>IFERROR(s_TR/(s_RadSpec!J10*s_EF_cw*(1/365)*s_ED_con*s_ET_cw_o*(1/24)*s_GSF_a),".")</f>
        <v>7196516.9291825416</v>
      </c>
      <c r="AP10" s="48">
        <f t="shared" si="11"/>
        <v>18.966284770390558</v>
      </c>
      <c r="AQ10" s="69">
        <f t="shared" si="7"/>
        <v>26041406.25</v>
      </c>
      <c r="AR10" s="69">
        <f t="shared" si="8"/>
        <v>4756.4212328767117</v>
      </c>
      <c r="AS10" s="10"/>
      <c r="AT10" s="10"/>
      <c r="AU10" s="10"/>
    </row>
    <row r="11" spans="1:47" x14ac:dyDescent="0.25">
      <c r="A11" s="49" t="s">
        <v>21</v>
      </c>
      <c r="B11" s="50" t="s">
        <v>289</v>
      </c>
      <c r="C11" s="48" t="str">
        <f>IFERROR((s_TR/(s_RadSpec!I11*s_EF_cw*s_ED_con*s_IRS_cw*(1/1000)))*1,".")</f>
        <v>.</v>
      </c>
      <c r="D11" s="48" t="str">
        <f>IFERROR(IF(A11="H-3",(s_TR/(s_RadSpec!G11*s_EF_cw*s_ED_con*s_ET_cw_o*(1/24)*s_IRA_cw*(1/17)*1000))*1,(s_TR/(s_RadSpec!G11*s_EF_cw*s_ED_con*s_ET_cw_o*(1/24)*s_IRA_cw*(1/s_PEFsc)*1000))*1),".")</f>
        <v>.</v>
      </c>
      <c r="E11" s="48">
        <f>IFERROR((s_TR/(s_RadSpec!F11*s_EF_cw*(1/365)*s_ED_con*s_RadSpec!Q11*s_ET_cw_o*(1/24)*s_RadSpec!V11))*1,".")</f>
        <v>10404.910487076499</v>
      </c>
      <c r="F11" s="48">
        <f t="shared" si="9"/>
        <v>10404.910487076499</v>
      </c>
      <c r="G11" s="69">
        <f t="shared" si="1"/>
        <v>229164.375</v>
      </c>
      <c r="H11" s="69">
        <f t="shared" si="2"/>
        <v>51215.031719100385</v>
      </c>
      <c r="I11" s="69">
        <f>s_C*s_EF_cw*(1/365)*s_ED_con*(s_ET_cw_i+s_ET_cw_o)*(1/24)*s_RadSpec!V11*s_RadSpec!Q11*1</f>
        <v>50.921686140209502</v>
      </c>
      <c r="J11" s="4"/>
      <c r="K11" s="4"/>
      <c r="L11" s="4"/>
      <c r="M11" s="4"/>
      <c r="N11" s="48" t="str">
        <f>IFERROR((s_TR/(s_RadSpec!I11*s_EF_cw*s_ED_con*s_IRS_cw*(1/1000)))*1,".")</f>
        <v>.</v>
      </c>
      <c r="O11" s="48" t="str">
        <f>IFERROR(IF(A11="H-3",(s_TR/(s_RadSpec!G11*s_EF_cw*s_ED_con*s_ET_cw_o*(1/24)*s_IRA_cw*(1/17)*1000))*1,(s_TR/(s_RadSpec!G11*s_EF_cw*s_ED_con*s_ET_cw_o*(1/24)*s_IRA_cw*(1/s_PEF__sc)*1000))*1),".")</f>
        <v>.</v>
      </c>
      <c r="P11" s="48">
        <f>IFERROR((s_TR/(s_RadSpec!F11*s_EF_cw*(1/365)*s_ED_con*s_RadSpec!Q11*s_ET_cw_o*(1/24)*s_RadSpec!V11))*1,".")</f>
        <v>10404.910487076499</v>
      </c>
      <c r="Q11" s="48">
        <f t="shared" si="10"/>
        <v>10404.910487076499</v>
      </c>
      <c r="R11" s="69">
        <f t="shared" si="4"/>
        <v>229164.375</v>
      </c>
      <c r="S11" s="69">
        <f t="shared" si="5"/>
        <v>8143.0753743733067</v>
      </c>
      <c r="T11" s="69">
        <f>s_C*s_EF_cw*(1/365)*s_ED_con*(s_ET_cw_i+s_ET_cw_o)*(1/24)*s_RadSpec!V11*s_RadSpec!Q11*1</f>
        <v>50.921686140209502</v>
      </c>
      <c r="U11" s="11"/>
      <c r="V11" s="11"/>
      <c r="W11" s="11"/>
      <c r="X11" s="11"/>
      <c r="Y11" s="48">
        <f>IFERROR((s_TR/(s_RadSpec!F11*s_EF_cw*(1/365)*s_ED_con*s_RadSpec!Q11*s_ET_cw_o*(1/24)*s_RadSpec!V11))*1,".")</f>
        <v>10404.910487076499</v>
      </c>
      <c r="Z11" s="48">
        <f>IFERROR((s_TR/(s_RadSpec!M11*s_EF_cw*(1/365)*s_ED_con*s_RadSpec!R11*s_ET_cw_o*(1/24)*s_RadSpec!W11))*1,".")</f>
        <v>53935.9229583341</v>
      </c>
      <c r="AA11" s="48">
        <f>IFERROR((s_TR/(s_RadSpec!N11*s_EF_cw*(1/365)*s_ED_con*s_RadSpec!S11*s_ET_cw_o*(1/24)*s_RadSpec!X11))*1,".")</f>
        <v>15171.228645350095</v>
      </c>
      <c r="AB11" s="48">
        <f>IFERROR((s_TR/(s_RadSpec!O11*s_EF_cw*(1/365)*s_ED_con*s_RadSpec!T11*s_ET_cw_o*(1/24)*s_RadSpec!Y11))*1,".")</f>
        <v>10104.298205467267</v>
      </c>
      <c r="AC11" s="48">
        <f>IFERROR((s_TR/(s_RadSpec!K11*s_EF_cw*(1/365)*s_ED_con*s_RadSpec!P11*s_ET_cw_o*(1/24)*s_RadSpec!U11))*1,".")</f>
        <v>101895.83609072326</v>
      </c>
      <c r="AD11" s="69">
        <f>s_C*s_EF_cw*(1/365)*s_ED_con*(s_ET_cw_i+s_ET_cw_o)*(1/24)*s_RadSpec!V11*s_RadSpec!Q11*1</f>
        <v>50.921686140209502</v>
      </c>
      <c r="AE11" s="69">
        <f>s_C*s_EF_cw*(1/365)*s_ED_con*(s_ET_cw_i+s_ET_cw_o)*(1/24)*s_RadSpec!W11*s_RadSpec!R11*1</f>
        <v>40.243782775042803</v>
      </c>
      <c r="AF11" s="69">
        <f>s_C*s_EF_cw*(1/365)*s_ED_con*(s_ET_cw_i+s_ET_cw_o)*(1/24)*s_RadSpec!X11*s_RadSpec!S11*1</f>
        <v>51.854317754499064</v>
      </c>
      <c r="AG11" s="69">
        <f>s_C*s_EF_cw*(1/365)*s_ED_con*(s_ET_cw_i+s_ET_cw_o)*(1/24)*s_RadSpec!Y11*s_RadSpec!T11*1</f>
        <v>54.437127220292304</v>
      </c>
      <c r="AH11" s="69">
        <f>s_C*s_EF_cw*(1/365)*s_ED_con*(s_ET_cw_i+s_ET_cw_o)*(1/24)*s_RadSpec!U11*s_RadSpec!P11*1</f>
        <v>21.617589835219373</v>
      </c>
      <c r="AI11" s="11"/>
      <c r="AJ11" s="11"/>
      <c r="AK11" s="11"/>
      <c r="AL11" s="11"/>
      <c r="AM11" s="11"/>
      <c r="AN11" s="48" t="str">
        <f>IFERROR(s_TR/(s_RadSpec!G11*s_EF_cw*s_ED_con*s_ET_cw_o*(1/24)*s_IRA_cw),".")</f>
        <v>.</v>
      </c>
      <c r="AO11" s="48">
        <f>IFERROR(s_TR/(s_RadSpec!J11*s_EF_cw*(1/365)*s_ED_con*s_ET_cw_o*(1/24)*s_GSF_a),".")</f>
        <v>101349.12392668423</v>
      </c>
      <c r="AP11" s="48">
        <f t="shared" si="11"/>
        <v>101349.12392668423</v>
      </c>
      <c r="AQ11" s="69">
        <f t="shared" si="7"/>
        <v>26041406.25</v>
      </c>
      <c r="AR11" s="69">
        <f t="shared" si="8"/>
        <v>4756.4212328767117</v>
      </c>
      <c r="AS11" s="10"/>
      <c r="AT11" s="10"/>
      <c r="AU11" s="10"/>
    </row>
    <row r="12" spans="1:47" x14ac:dyDescent="0.25">
      <c r="A12" s="49" t="s">
        <v>22</v>
      </c>
      <c r="B12" s="50" t="s">
        <v>289</v>
      </c>
      <c r="C12" s="48" t="str">
        <f>IFERROR((s_TR/(s_RadSpec!I12*s_EF_cw*s_ED_con*s_IRS_cw*(1/1000)))*1,".")</f>
        <v>.</v>
      </c>
      <c r="D12" s="48" t="str">
        <f>IFERROR(IF(A12="H-3",(s_TR/(s_RadSpec!G12*s_EF_cw*s_ED_con*s_ET_cw_o*(1/24)*s_IRA_cw*(1/17)*1000))*1,(s_TR/(s_RadSpec!G12*s_EF_cw*s_ED_con*s_ET_cw_o*(1/24)*s_IRA_cw*(1/s_PEFsc)*1000))*1),".")</f>
        <v>.</v>
      </c>
      <c r="E12" s="48">
        <f>IFERROR((s_TR/(s_RadSpec!F12*s_EF_cw*(1/365)*s_ED_con*s_RadSpec!Q12*s_ET_cw_o*(1/24)*s_RadSpec!V12))*1,".")</f>
        <v>1081.373258448144</v>
      </c>
      <c r="F12" s="48">
        <f t="shared" si="9"/>
        <v>1081.373258448144</v>
      </c>
      <c r="G12" s="69">
        <f t="shared" si="1"/>
        <v>229164.375</v>
      </c>
      <c r="H12" s="69">
        <f t="shared" si="2"/>
        <v>51215.031719100385</v>
      </c>
      <c r="I12" s="69">
        <f>s_C*s_EF_cw*(1/365)*s_ED_con*(s_ET_cw_i+s_ET_cw_o)*(1/24)*s_RadSpec!V12*s_RadSpec!Q12*1</f>
        <v>106.27754019496869</v>
      </c>
      <c r="J12" s="4"/>
      <c r="K12" s="4"/>
      <c r="L12" s="4"/>
      <c r="M12" s="4"/>
      <c r="N12" s="48" t="str">
        <f>IFERROR((s_TR/(s_RadSpec!I12*s_EF_cw*s_ED_con*s_IRS_cw*(1/1000)))*1,".")</f>
        <v>.</v>
      </c>
      <c r="O12" s="48" t="str">
        <f>IFERROR(IF(A12="H-3",(s_TR/(s_RadSpec!G12*s_EF_cw*s_ED_con*s_ET_cw_o*(1/24)*s_IRA_cw*(1/17)*1000))*1,(s_TR/(s_RadSpec!G12*s_EF_cw*s_ED_con*s_ET_cw_o*(1/24)*s_IRA_cw*(1/s_PEF__sc)*1000))*1),".")</f>
        <v>.</v>
      </c>
      <c r="P12" s="48">
        <f>IFERROR((s_TR/(s_RadSpec!F12*s_EF_cw*(1/365)*s_ED_con*s_RadSpec!Q12*s_ET_cw_o*(1/24)*s_RadSpec!V12))*1,".")</f>
        <v>1081.373258448144</v>
      </c>
      <c r="Q12" s="48">
        <f t="shared" si="10"/>
        <v>1081.373258448144</v>
      </c>
      <c r="R12" s="69">
        <f t="shared" si="4"/>
        <v>229164.375</v>
      </c>
      <c r="S12" s="69">
        <f t="shared" si="5"/>
        <v>8143.0753743733067</v>
      </c>
      <c r="T12" s="69">
        <f>s_C*s_EF_cw*(1/365)*s_ED_con*(s_ET_cw_i+s_ET_cw_o)*(1/24)*s_RadSpec!V12*s_RadSpec!Q12*1</f>
        <v>106.27754019496869</v>
      </c>
      <c r="U12" s="11"/>
      <c r="V12" s="11"/>
      <c r="W12" s="11"/>
      <c r="X12" s="11"/>
      <c r="Y12" s="48">
        <f>IFERROR((s_TR/(s_RadSpec!F12*s_EF_cw*(1/365)*s_ED_con*s_RadSpec!Q12*s_ET_cw_o*(1/24)*s_RadSpec!V12))*1,".")</f>
        <v>1081.373258448144</v>
      </c>
      <c r="Z12" s="48">
        <f>IFERROR((s_TR/(s_RadSpec!M12*s_EF_cw*(1/365)*s_ED_con*s_RadSpec!R12*s_ET_cw_o*(1/24)*s_RadSpec!W12))*1,".")</f>
        <v>8537.22294095912</v>
      </c>
      <c r="AA12" s="48">
        <f>IFERROR((s_TR/(s_RadSpec!N12*s_EF_cw*(1/365)*s_ED_con*s_RadSpec!S12*s_ET_cw_o*(1/24)*s_RadSpec!X12))*1,".")</f>
        <v>2219.4256457000511</v>
      </c>
      <c r="AB12" s="48">
        <f>IFERROR((s_TR/(s_RadSpec!O12*s_EF_cw*(1/365)*s_ED_con*s_RadSpec!T12*s_ET_cw_o*(1/24)*s_RadSpec!Y12))*1,".")</f>
        <v>1328.9932082508221</v>
      </c>
      <c r="AC12" s="48">
        <f>IFERROR((s_TR/(s_RadSpec!K12*s_EF_cw*(1/365)*s_ED_con*s_RadSpec!P12*s_ET_cw_o*(1/24)*s_RadSpec!U12))*1,".")</f>
        <v>14487.901895848783</v>
      </c>
      <c r="AD12" s="69">
        <f>s_C*s_EF_cw*(1/365)*s_ED_con*(s_ET_cw_i+s_ET_cw_o)*(1/24)*s_RadSpec!V12*s_RadSpec!Q12*1</f>
        <v>106.27754019496869</v>
      </c>
      <c r="AE12" s="69">
        <f>s_C*s_EF_cw*(1/365)*s_ED_con*(s_ET_cw_i+s_ET_cw_o)*(1/24)*s_RadSpec!W12*s_RadSpec!R12*1</f>
        <v>59.238428560636564</v>
      </c>
      <c r="AF12" s="69">
        <f>s_C*s_EF_cw*(1/365)*s_ED_con*(s_ET_cw_i+s_ET_cw_o)*(1/24)*s_RadSpec!X12*s_RadSpec!S12*1</f>
        <v>81.698301940639283</v>
      </c>
      <c r="AG12" s="69">
        <f>s_C*s_EF_cw*(1/365)*s_ED_con*(s_ET_cw_i+s_ET_cw_o)*(1/24)*s_RadSpec!Y12*s_RadSpec!T12*1</f>
        <v>92.508946297399248</v>
      </c>
      <c r="AH12" s="69">
        <f>s_C*s_EF_cw*(1/365)*s_ED_con*(s_ET_cw_i+s_ET_cw_o)*(1/24)*s_RadSpec!U12*s_RadSpec!P12*1</f>
        <v>34.316266072779221</v>
      </c>
      <c r="AI12" s="11"/>
      <c r="AJ12" s="11"/>
      <c r="AK12" s="11"/>
      <c r="AL12" s="11"/>
      <c r="AM12" s="11"/>
      <c r="AN12" s="48" t="str">
        <f>IFERROR(s_TR/(s_RadSpec!G12*s_EF_cw*s_ED_con*s_ET_cw_o*(1/24)*s_IRA_cw),".")</f>
        <v>.</v>
      </c>
      <c r="AO12" s="48">
        <f>IFERROR(s_TR/(s_RadSpec!J12*s_EF_cw*(1/365)*s_ED_con*s_ET_cw_o*(1/24)*s_GSF_a),".")</f>
        <v>23536.843603679376</v>
      </c>
      <c r="AP12" s="48">
        <f t="shared" si="11"/>
        <v>23536.843603679376</v>
      </c>
      <c r="AQ12" s="69">
        <f t="shared" si="7"/>
        <v>26041406.25</v>
      </c>
      <c r="AR12" s="69">
        <f t="shared" si="8"/>
        <v>4756.4212328767117</v>
      </c>
      <c r="AS12" s="10"/>
      <c r="AT12" s="10"/>
      <c r="AU12" s="10"/>
    </row>
    <row r="13" spans="1:47" x14ac:dyDescent="0.25">
      <c r="A13" s="49" t="s">
        <v>23</v>
      </c>
      <c r="B13" s="50" t="s">
        <v>289</v>
      </c>
      <c r="C13" s="48">
        <f>IFERROR((s_TR/(s_RadSpec!I13*s_EF_cw*s_ED_con*s_IRS_cw*(1/1000)))*1,".")</f>
        <v>5159.0602771705135</v>
      </c>
      <c r="D13" s="48">
        <f>IFERROR(IF(A13="H-3",(s_TR/(s_RadSpec!G13*s_EF_cw*s_ED_con*s_ET_cw_o*(1/24)*s_IRA_cw*(1/17)*1000))*1,(s_TR/(s_RadSpec!G13*s_EF_cw*s_ED_con*s_ET_cw_o*(1/24)*s_IRA_cw*(1/s_PEFsc)*1000))*1),".")</f>
        <v>37.828775127450228</v>
      </c>
      <c r="E13" s="48">
        <f>IFERROR((s_TR/(s_RadSpec!F13*s_EF_cw*(1/365)*s_ED_con*s_RadSpec!Q13*s_ET_cw_o*(1/24)*s_RadSpec!V13))*1,".")</f>
        <v>77678.030935241928</v>
      </c>
      <c r="F13" s="48">
        <f t="shared" si="9"/>
        <v>37.535268550789986</v>
      </c>
      <c r="G13" s="69">
        <f t="shared" si="1"/>
        <v>229164.375</v>
      </c>
      <c r="H13" s="69">
        <f t="shared" si="2"/>
        <v>51215.031719100385</v>
      </c>
      <c r="I13" s="69">
        <f>s_C*s_EF_cw*(1/365)*s_ED_con*(s_ET_cw_i+s_ET_cw_o)*(1/24)*s_RadSpec!V13*s_RadSpec!Q13*1</f>
        <v>13.826604058344154</v>
      </c>
      <c r="J13" s="4"/>
      <c r="K13" s="4"/>
      <c r="L13" s="4"/>
      <c r="M13" s="4"/>
      <c r="N13" s="48">
        <f>IFERROR((s_TR/(s_RadSpec!I13*s_EF_cw*s_ED_con*s_IRS_cw*(1/1000)))*1,".")</f>
        <v>5159.0602771705135</v>
      </c>
      <c r="O13" s="48">
        <f>IFERROR(IF(A13="H-3",(s_TR/(s_RadSpec!G13*s_EF_cw*s_ED_con*s_ET_cw_o*(1/24)*s_IRA_cw*(1/17)*1000))*1,(s_TR/(s_RadSpec!G13*s_EF_cw*s_ED_con*s_ET_cw_o*(1/24)*s_IRA_cw*(1/s_PEF__sc)*1000))*1),".")</f>
        <v>237.92017499238517</v>
      </c>
      <c r="P13" s="48">
        <f>IFERROR((s_TR/(s_RadSpec!F13*s_EF_cw*(1/365)*s_ED_con*s_RadSpec!Q13*s_ET_cw_o*(1/24)*s_RadSpec!V13))*1,".")</f>
        <v>77678.030935241928</v>
      </c>
      <c r="Q13" s="48">
        <f t="shared" si="10"/>
        <v>226.7677676015436</v>
      </c>
      <c r="R13" s="69">
        <f t="shared" si="4"/>
        <v>229164.375</v>
      </c>
      <c r="S13" s="69">
        <f t="shared" si="5"/>
        <v>8143.0753743733067</v>
      </c>
      <c r="T13" s="69">
        <f>s_C*s_EF_cw*(1/365)*s_ED_con*(s_ET_cw_i+s_ET_cw_o)*(1/24)*s_RadSpec!V13*s_RadSpec!Q13*1</f>
        <v>13.826604058344154</v>
      </c>
      <c r="U13" s="11"/>
      <c r="V13" s="11"/>
      <c r="W13" s="11"/>
      <c r="X13" s="11"/>
      <c r="Y13" s="48">
        <f>IFERROR((s_TR/(s_RadSpec!F13*s_EF_cw*(1/365)*s_ED_con*s_RadSpec!Q13*s_ET_cw_o*(1/24)*s_RadSpec!V13))*1,".")</f>
        <v>77678.030935241928</v>
      </c>
      <c r="Z13" s="48">
        <f>IFERROR((s_TR/(s_RadSpec!M13*s_EF_cw*(1/365)*s_ED_con*s_RadSpec!R13*s_ET_cw_o*(1/24)*s_RadSpec!W13))*1,".")</f>
        <v>505004.35668634361</v>
      </c>
      <c r="AA13" s="48">
        <f>IFERROR((s_TR/(s_RadSpec!N13*s_EF_cw*(1/365)*s_ED_con*s_RadSpec!S13*s_ET_cw_o*(1/24)*s_RadSpec!X13))*1,".")</f>
        <v>126082.86130423266</v>
      </c>
      <c r="AB13" s="48">
        <f>IFERROR((s_TR/(s_RadSpec!O13*s_EF_cw*(1/365)*s_ED_con*s_RadSpec!T13*s_ET_cw_o*(1/24)*s_RadSpec!Y13))*1,".")</f>
        <v>83455.86304714781</v>
      </c>
      <c r="AC13" s="48">
        <f>IFERROR((s_TR/(s_RadSpec!K13*s_EF_cw*(1/365)*s_ED_con*s_RadSpec!P13*s_ET_cw_o*(1/24)*s_RadSpec!U13))*1,".")</f>
        <v>4010856.3887304962</v>
      </c>
      <c r="AD13" s="69">
        <f>s_C*s_EF_cw*(1/365)*s_ED_con*(s_ET_cw_i+s_ET_cw_o)*(1/24)*s_RadSpec!V13*s_RadSpec!Q13*1</f>
        <v>13.826604058344154</v>
      </c>
      <c r="AE13" s="69">
        <f>s_C*s_EF_cw*(1/365)*s_ED_con*(s_ET_cw_i+s_ET_cw_o)*(1/24)*s_RadSpec!W13*s_RadSpec!R13*1</f>
        <v>6.3402083029728926</v>
      </c>
      <c r="AF13" s="69">
        <f>s_C*s_EF_cw*(1/365)*s_ED_con*(s_ET_cw_i+s_ET_cw_o)*(1/24)*s_RadSpec!X13*s_RadSpec!S13*1</f>
        <v>10.672081873208031</v>
      </c>
      <c r="AG13" s="69">
        <f>s_C*s_EF_cw*(1/365)*s_ED_con*(s_ET_cw_i+s_ET_cw_o)*(1/24)*s_RadSpec!Y13*s_RadSpec!T13*1</f>
        <v>12.927722423586381</v>
      </c>
      <c r="AH13" s="69">
        <f>s_C*s_EF_cw*(1/365)*s_ED_con*(s_ET_cw_i+s_ET_cw_o)*(1/24)*s_RadSpec!U13*s_RadSpec!P13*1</f>
        <v>0.65903403474085598</v>
      </c>
      <c r="AI13" s="11"/>
      <c r="AJ13" s="11"/>
      <c r="AK13" s="11"/>
      <c r="AL13" s="11"/>
      <c r="AM13" s="11"/>
      <c r="AN13" s="48">
        <f>IFERROR(s_TR/(s_RadSpec!G13*s_EF_cw*s_ED_con*s_ET_cw_o*(1/24)*s_IRA_cw),".")</f>
        <v>7.4396977622784077E-2</v>
      </c>
      <c r="AO13" s="48">
        <f>IFERROR(s_TR/(s_RadSpec!J13*s_EF_cw*(1/365)*s_ED_con*s_ET_cw_o*(1/24)*s_GSF_a),".")</f>
        <v>152255.07658392287</v>
      </c>
      <c r="AP13" s="48">
        <f t="shared" si="11"/>
        <v>7.4396941269923481E-2</v>
      </c>
      <c r="AQ13" s="69">
        <f t="shared" si="7"/>
        <v>26041406.25</v>
      </c>
      <c r="AR13" s="69">
        <f t="shared" si="8"/>
        <v>4756.4212328767117</v>
      </c>
      <c r="AS13" s="10"/>
      <c r="AT13" s="10"/>
      <c r="AU13" s="10"/>
    </row>
    <row r="14" spans="1:47" x14ac:dyDescent="0.25">
      <c r="A14" s="49" t="s">
        <v>24</v>
      </c>
      <c r="B14" s="50" t="s">
        <v>289</v>
      </c>
      <c r="C14" s="48">
        <f>IFERROR((s_TR/(s_RadSpec!I14*s_EF_cw*s_ED_con*s_IRS_cw*(1/1000)))*1,".")</f>
        <v>93868.288710695575</v>
      </c>
      <c r="D14" s="48">
        <f>IFERROR(IF(A14="H-3",(s_TR/(s_RadSpec!G14*s_EF_cw*s_ED_con*s_ET_cw_o*(1/24)*s_IRA_cw*(1/17)*1000))*1,(s_TR/(s_RadSpec!G14*s_EF_cw*s_ED_con*s_ET_cw_o*(1/24)*s_IRA_cw*(1/s_PEFsc)*1000))*1),".")</f>
        <v>70986.200299694727</v>
      </c>
      <c r="E14" s="48">
        <f>IFERROR((s_TR/(s_RadSpec!F14*s_EF_cw*(1/365)*s_ED_con*s_RadSpec!Q14*s_ET_cw_o*(1/24)*s_RadSpec!V14))*1,".")</f>
        <v>750.83438076489597</v>
      </c>
      <c r="F14" s="48">
        <f t="shared" si="9"/>
        <v>737.14124823808629</v>
      </c>
      <c r="G14" s="69">
        <f t="shared" si="1"/>
        <v>229164.375</v>
      </c>
      <c r="H14" s="69">
        <f t="shared" si="2"/>
        <v>51215.031719100385</v>
      </c>
      <c r="I14" s="69">
        <f>s_C*s_EF_cw*(1/365)*s_ED_con*(s_ET_cw_i+s_ET_cw_o)*(1/24)*s_RadSpec!V14*s_RadSpec!Q14*1</f>
        <v>92.105353085484765</v>
      </c>
      <c r="J14" s="4"/>
      <c r="K14" s="4"/>
      <c r="L14" s="4"/>
      <c r="M14" s="4"/>
      <c r="N14" s="48">
        <f>IFERROR((s_TR/(s_RadSpec!I14*s_EF_cw*s_ED_con*s_IRS_cw*(1/1000)))*1,".")</f>
        <v>93868.288710695575</v>
      </c>
      <c r="O14" s="48">
        <f>IFERROR(IF(A14="H-3",(s_TR/(s_RadSpec!G14*s_EF_cw*s_ED_con*s_ET_cw_o*(1/24)*s_IRA_cw*(1/17)*1000))*1,(s_TR/(s_RadSpec!G14*s_EF_cw*s_ED_con*s_ET_cw_o*(1/24)*s_IRA_cw*(1/s_PEF__sc)*1000))*1),".")</f>
        <v>446460.37680169125</v>
      </c>
      <c r="P14" s="48">
        <f>IFERROR((s_TR/(s_RadSpec!F14*s_EF_cw*(1/365)*s_ED_con*s_RadSpec!Q14*s_ET_cw_o*(1/24)*s_RadSpec!V14))*1,".")</f>
        <v>750.83438076489597</v>
      </c>
      <c r="Q14" s="48">
        <f t="shared" si="10"/>
        <v>743.63557435308121</v>
      </c>
      <c r="R14" s="69">
        <f t="shared" si="4"/>
        <v>229164.375</v>
      </c>
      <c r="S14" s="69">
        <f t="shared" si="5"/>
        <v>8143.0753743733067</v>
      </c>
      <c r="T14" s="69">
        <f>s_C*s_EF_cw*(1/365)*s_ED_con*(s_ET_cw_i+s_ET_cw_o)*(1/24)*s_RadSpec!V14*s_RadSpec!Q14*1</f>
        <v>92.105353085484765</v>
      </c>
      <c r="U14" s="11"/>
      <c r="V14" s="11"/>
      <c r="W14" s="11"/>
      <c r="X14" s="11"/>
      <c r="Y14" s="48">
        <f>IFERROR((s_TR/(s_RadSpec!F14*s_EF_cw*(1/365)*s_ED_con*s_RadSpec!Q14*s_ET_cw_o*(1/24)*s_RadSpec!V14))*1,".")</f>
        <v>750.83438076489597</v>
      </c>
      <c r="Z14" s="48">
        <f>IFERROR((s_TR/(s_RadSpec!M14*s_EF_cw*(1/365)*s_ED_con*s_RadSpec!R14*s_ET_cw_o*(1/24)*s_RadSpec!W14))*1,".")</f>
        <v>5748.4798049429419</v>
      </c>
      <c r="AA14" s="48">
        <f>IFERROR((s_TR/(s_RadSpec!N14*s_EF_cw*(1/365)*s_ED_con*s_RadSpec!S14*s_ET_cw_o*(1/24)*s_RadSpec!X14))*1,".")</f>
        <v>1548.2514739139149</v>
      </c>
      <c r="AB14" s="48">
        <f>IFERROR((s_TR/(s_RadSpec!O14*s_EF_cw*(1/365)*s_ED_con*s_RadSpec!T14*s_ET_cw_o*(1/24)*s_RadSpec!Y14))*1,".")</f>
        <v>933.66195058311325</v>
      </c>
      <c r="AC14" s="48">
        <f>IFERROR((s_TR/(s_RadSpec!K14*s_EF_cw*(1/365)*s_ED_con*s_RadSpec!P14*s_ET_cw_o*(1/24)*s_RadSpec!U14))*1,".")</f>
        <v>16258.984256663522</v>
      </c>
      <c r="AD14" s="69">
        <f>s_C*s_EF_cw*(1/365)*s_ED_con*(s_ET_cw_i+s_ET_cw_o)*(1/24)*s_RadSpec!V14*s_RadSpec!Q14*1</f>
        <v>92.105353085484765</v>
      </c>
      <c r="AE14" s="69">
        <f>s_C*s_EF_cw*(1/365)*s_ED_con*(s_ET_cw_i+s_ET_cw_o)*(1/24)*s_RadSpec!W14*s_RadSpec!R14*1</f>
        <v>50.715918631134421</v>
      </c>
      <c r="AF14" s="69">
        <f>s_C*s_EF_cw*(1/365)*s_ED_con*(s_ET_cw_i+s_ET_cw_o)*(1/24)*s_RadSpec!X14*s_RadSpec!S14*1</f>
        <v>68.595866215008883</v>
      </c>
      <c r="AG14" s="69">
        <f>s_C*s_EF_cw*(1/365)*s_ED_con*(s_ET_cw_i+s_ET_cw_o)*(1/24)*s_RadSpec!Y14*s_RadSpec!T14*1</f>
        <v>78.279278082191752</v>
      </c>
      <c r="AH14" s="69">
        <f>s_C*s_EF_cw*(1/365)*s_ED_con*(s_ET_cw_i+s_ET_cw_o)*(1/24)*s_RadSpec!U14*s_RadSpec!P14*1</f>
        <v>18.175994148157994</v>
      </c>
      <c r="AI14" s="11"/>
      <c r="AJ14" s="11"/>
      <c r="AK14" s="11"/>
      <c r="AL14" s="11"/>
      <c r="AM14" s="11"/>
      <c r="AN14" s="48">
        <f>IFERROR(s_TR/(s_RadSpec!G14*s_EF_cw*s_ED_con*s_ET_cw_o*(1/24)*s_IRA_cw),".")</f>
        <v>139.60691926793621</v>
      </c>
      <c r="AO14" s="48">
        <f>IFERROR(s_TR/(s_RadSpec!J14*s_EF_cw*(1/365)*s_ED_con*s_ET_cw_o*(1/24)*s_GSF_a),".")</f>
        <v>13684.211397488009</v>
      </c>
      <c r="AP14" s="48">
        <f t="shared" si="11"/>
        <v>138.19702719174623</v>
      </c>
      <c r="AQ14" s="69">
        <f t="shared" si="7"/>
        <v>26041406.25</v>
      </c>
      <c r="AR14" s="69">
        <f t="shared" si="8"/>
        <v>4756.4212328767117</v>
      </c>
      <c r="AS14" s="10"/>
      <c r="AT14" s="10"/>
      <c r="AU14" s="10"/>
    </row>
    <row r="15" spans="1:47" x14ac:dyDescent="0.25">
      <c r="A15" s="49" t="s">
        <v>25</v>
      </c>
      <c r="B15" s="50" t="s">
        <v>289</v>
      </c>
      <c r="C15" s="48">
        <f>IFERROR((s_TR/(s_RadSpec!I15*s_EF_cw*s_ED_con*s_IRS_cw*(1/1000)))*1,".")</f>
        <v>1985456.5309110761</v>
      </c>
      <c r="D15" s="48">
        <f>IFERROR(IF(A15="H-3",(s_TR/(s_RadSpec!G15*s_EF_cw*s_ED_con*s_ET_cw_o*(1/24)*s_IRA_cw*(1/17)*1000))*1,(s_TR/(s_RadSpec!G15*s_EF_cw*s_ED_con*s_ET_cw_o*(1/24)*s_IRA_cw*(1/s_PEFsc)*1000))*1),".")</f>
        <v>5216601.5522729401</v>
      </c>
      <c r="E15" s="48" t="str">
        <f>IFERROR((s_TR/(s_RadSpec!F15*s_EF_cw*(1/365)*s_ED_con*s_RadSpec!Q15*s_ET_cw_o*(1/24)*s_RadSpec!V15))*1,".")</f>
        <v>.</v>
      </c>
      <c r="F15" s="48">
        <f t="shared" si="9"/>
        <v>1438107.7605170058</v>
      </c>
      <c r="G15" s="69">
        <f t="shared" si="1"/>
        <v>229164.375</v>
      </c>
      <c r="H15" s="69">
        <f t="shared" si="2"/>
        <v>51215.031719100385</v>
      </c>
      <c r="I15" s="69">
        <f>s_C*s_EF_cw*(1/365)*s_ED_con*(s_ET_cw_i+s_ET_cw_o)*(1/24)*s_RadSpec!V15*s_RadSpec!Q15*1</f>
        <v>0</v>
      </c>
      <c r="J15" s="4"/>
      <c r="K15" s="4"/>
      <c r="L15" s="4"/>
      <c r="M15" s="4"/>
      <c r="N15" s="48">
        <f>IFERROR((s_TR/(s_RadSpec!I15*s_EF_cw*s_ED_con*s_IRS_cw*(1/1000)))*1,".")</f>
        <v>1985456.5309110761</v>
      </c>
      <c r="O15" s="48">
        <f>IFERROR(IF(A15="H-3",(s_TR/(s_RadSpec!G15*s_EF_cw*s_ED_con*s_ET_cw_o*(1/24)*s_IRA_cw*(1/17)*1000))*1,(s_TR/(s_RadSpec!G15*s_EF_cw*s_ED_con*s_ET_cw_o*(1/24)*s_IRA_cw*(1/s_PEF__sc)*1000))*1),".")</f>
        <v>32809276.800551333</v>
      </c>
      <c r="P15" s="48" t="str">
        <f>IFERROR((s_TR/(s_RadSpec!F15*s_EF_cw*(1/365)*s_ED_con*s_RadSpec!Q15*s_ET_cw_o*(1/24)*s_RadSpec!V15))*1,".")</f>
        <v>.</v>
      </c>
      <c r="Q15" s="48">
        <f t="shared" si="10"/>
        <v>1872162.441297435</v>
      </c>
      <c r="R15" s="69">
        <f t="shared" si="4"/>
        <v>229164.375</v>
      </c>
      <c r="S15" s="69">
        <f t="shared" si="5"/>
        <v>8143.0753743733067</v>
      </c>
      <c r="T15" s="69">
        <f>s_C*s_EF_cw*(1/365)*s_ED_con*(s_ET_cw_i+s_ET_cw_o)*(1/24)*s_RadSpec!V15*s_RadSpec!Q15*1</f>
        <v>0</v>
      </c>
      <c r="U15" s="11"/>
      <c r="V15" s="11"/>
      <c r="W15" s="11"/>
      <c r="X15" s="11"/>
      <c r="Y15" s="48" t="str">
        <f>IFERROR((s_TR/(s_RadSpec!F15*s_EF_cw*(1/365)*s_ED_con*s_RadSpec!Q15*s_ET_cw_o*(1/24)*s_RadSpec!V15))*1,".")</f>
        <v>.</v>
      </c>
      <c r="Z15" s="48" t="str">
        <f>IFERROR((s_TR/(s_RadSpec!M15*s_EF_cw*(1/365)*s_ED_con*s_RadSpec!R15*s_ET_cw_o*(1/24)*s_RadSpec!W15))*1,".")</f>
        <v>.</v>
      </c>
      <c r="AA15" s="48" t="str">
        <f>IFERROR((s_TR/(s_RadSpec!N15*s_EF_cw*(1/365)*s_ED_con*s_RadSpec!S15*s_ET_cw_o*(1/24)*s_RadSpec!X15))*1,".")</f>
        <v>.</v>
      </c>
      <c r="AB15" s="48" t="str">
        <f>IFERROR((s_TR/(s_RadSpec!O15*s_EF_cw*(1/365)*s_ED_con*s_RadSpec!T15*s_ET_cw_o*(1/24)*s_RadSpec!Y15))*1,".")</f>
        <v>.</v>
      </c>
      <c r="AC15" s="48" t="str">
        <f>IFERROR((s_TR/(s_RadSpec!K15*s_EF_cw*(1/365)*s_ED_con*s_RadSpec!P15*s_ET_cw_o*(1/24)*s_RadSpec!U15))*1,".")</f>
        <v>.</v>
      </c>
      <c r="AD15" s="69">
        <f>s_C*s_EF_cw*(1/365)*s_ED_con*(s_ET_cw_i+s_ET_cw_o)*(1/24)*s_RadSpec!V15*s_RadSpec!Q15*1</f>
        <v>0</v>
      </c>
      <c r="AE15" s="69">
        <f>s_C*s_EF_cw*(1/365)*s_ED_con*(s_ET_cw_i+s_ET_cw_o)*(1/24)*s_RadSpec!W15*s_RadSpec!R15*1</f>
        <v>0</v>
      </c>
      <c r="AF15" s="69">
        <f>s_C*s_EF_cw*(1/365)*s_ED_con*(s_ET_cw_i+s_ET_cw_o)*(1/24)*s_RadSpec!X15*s_RadSpec!S15*1</f>
        <v>0</v>
      </c>
      <c r="AG15" s="69">
        <f>s_C*s_EF_cw*(1/365)*s_ED_con*(s_ET_cw_i+s_ET_cw_o)*(1/24)*s_RadSpec!Y15*s_RadSpec!T15*1</f>
        <v>0</v>
      </c>
      <c r="AH15" s="69">
        <f>s_C*s_EF_cw*(1/365)*s_ED_con*(s_ET_cw_i+s_ET_cw_o)*(1/24)*s_RadSpec!U15*s_RadSpec!P15*1</f>
        <v>0</v>
      </c>
      <c r="AI15" s="11"/>
      <c r="AJ15" s="11"/>
      <c r="AK15" s="11"/>
      <c r="AL15" s="11"/>
      <c r="AM15" s="11"/>
      <c r="AN15" s="48">
        <f>IFERROR(s_TR/(s_RadSpec!G15*s_EF_cw*s_ED_con*s_ET_cw_o*(1/24)*s_IRA_cw),".")</f>
        <v>10259.369689974672</v>
      </c>
      <c r="AO15" s="48">
        <f>IFERROR(s_TR/(s_RadSpec!J15*s_EF_cw*(1/365)*s_ED_con*s_ET_cw_o*(1/24)*s_GSF_a),".")</f>
        <v>6851478.4462765297</v>
      </c>
      <c r="AP15" s="48">
        <f t="shared" si="11"/>
        <v>10244.030329996409</v>
      </c>
      <c r="AQ15" s="69">
        <f t="shared" si="7"/>
        <v>26041406.25</v>
      </c>
      <c r="AR15" s="69">
        <f t="shared" si="8"/>
        <v>4756.4212328767117</v>
      </c>
      <c r="AS15" s="10"/>
      <c r="AT15" s="10"/>
      <c r="AU15" s="10"/>
    </row>
    <row r="16" spans="1:47" x14ac:dyDescent="0.25">
      <c r="A16" s="49" t="s">
        <v>26</v>
      </c>
      <c r="B16" s="50" t="s">
        <v>289</v>
      </c>
      <c r="C16" s="48">
        <f>IFERROR((s_TR/(s_RadSpec!I16*s_EF_cw*s_ED_con*s_IRS_cw*(1/1000)))*1,".")</f>
        <v>404.44484888929333</v>
      </c>
      <c r="D16" s="48">
        <f>IFERROR(IF(A16="H-3",(s_TR/(s_RadSpec!G16*s_EF_cw*s_ED_con*s_ET_cw_o*(1/24)*s_IRA_cw*(1/17)*1000))*1,(s_TR/(s_RadSpec!G16*s_EF_cw*s_ED_con*s_ET_cw_o*(1/24)*s_IRA_cw*(1/s_PEFsc)*1000))*1),".")</f>
        <v>68.338696325813345</v>
      </c>
      <c r="E16" s="48">
        <f>IFERROR((s_TR/(s_RadSpec!F16*s_EF_cw*(1/365)*s_ED_con*s_RadSpec!Q16*s_ET_cw_o*(1/24)*s_RadSpec!V16))*1,".")</f>
        <v>3782882982.1826382</v>
      </c>
      <c r="F16" s="48">
        <f t="shared" si="9"/>
        <v>58.46064982881979</v>
      </c>
      <c r="G16" s="69">
        <f t="shared" si="1"/>
        <v>229164.375</v>
      </c>
      <c r="H16" s="69">
        <f t="shared" si="2"/>
        <v>51215.031719100385</v>
      </c>
      <c r="I16" s="69">
        <f>s_C*s_EF_cw*(1/365)*s_ED_con*(s_ET_cw_i+s_ET_cw_o)*(1/24)*s_RadSpec!V16*s_RadSpec!Q16*1</f>
        <v>9.9035484955968638E-3</v>
      </c>
      <c r="J16" s="4"/>
      <c r="K16" s="4"/>
      <c r="L16" s="4"/>
      <c r="M16" s="4"/>
      <c r="N16" s="48">
        <f>IFERROR((s_TR/(s_RadSpec!I16*s_EF_cw*s_ED_con*s_IRS_cw*(1/1000)))*1,".")</f>
        <v>404.44484888929333</v>
      </c>
      <c r="O16" s="48">
        <f>IFERROR(IF(A16="H-3",(s_TR/(s_RadSpec!G16*s_EF_cw*s_ED_con*s_ET_cw_o*(1/24)*s_IRA_cw*(1/17)*1000))*1,(s_TR/(s_RadSpec!G16*s_EF_cw*s_ED_con*s_ET_cw_o*(1/24)*s_IRA_cw*(1/s_PEF__sc)*1000))*1),".")</f>
        <v>429.80917393729254</v>
      </c>
      <c r="P16" s="48">
        <f>IFERROR((s_TR/(s_RadSpec!F16*s_EF_cw*(1/365)*s_ED_con*s_RadSpec!Q16*s_ET_cw_o*(1/24)*s_RadSpec!V16))*1,".")</f>
        <v>3782882982.1826382</v>
      </c>
      <c r="Q16" s="48">
        <f t="shared" si="10"/>
        <v>208.37070253506613</v>
      </c>
      <c r="R16" s="69">
        <f t="shared" si="4"/>
        <v>229164.375</v>
      </c>
      <c r="S16" s="69">
        <f t="shared" si="5"/>
        <v>8143.0753743733067</v>
      </c>
      <c r="T16" s="69">
        <f>s_C*s_EF_cw*(1/365)*s_ED_con*(s_ET_cw_i+s_ET_cw_o)*(1/24)*s_RadSpec!V16*s_RadSpec!Q16*1</f>
        <v>9.9035484955968638E-3</v>
      </c>
      <c r="U16" s="11"/>
      <c r="V16" s="11"/>
      <c r="W16" s="11"/>
      <c r="X16" s="11"/>
      <c r="Y16" s="48">
        <f>IFERROR((s_TR/(s_RadSpec!F16*s_EF_cw*(1/365)*s_ED_con*s_RadSpec!Q16*s_ET_cw_o*(1/24)*s_RadSpec!V16))*1,".")</f>
        <v>3782882982.1826382</v>
      </c>
      <c r="Z16" s="48">
        <f>IFERROR((s_TR/(s_RadSpec!M16*s_EF_cw*(1/365)*s_ED_con*s_RadSpec!R16*s_ET_cw_o*(1/24)*s_RadSpec!W16))*1,".")</f>
        <v>10485569476.077385</v>
      </c>
      <c r="AA16" s="48">
        <f>IFERROR((s_TR/(s_RadSpec!N16*s_EF_cw*(1/365)*s_ED_con*s_RadSpec!S16*s_ET_cw_o*(1/24)*s_RadSpec!X16))*1,".")</f>
        <v>4092409105.8074307</v>
      </c>
      <c r="AB16" s="48">
        <f>IFERROR((s_TR/(s_RadSpec!O16*s_EF_cw*(1/365)*s_ED_con*s_RadSpec!T16*s_ET_cw_o*(1/24)*s_RadSpec!Y16))*1,".")</f>
        <v>4068208035.9730072</v>
      </c>
      <c r="AC16" s="48">
        <f>IFERROR((s_TR/(s_RadSpec!K16*s_EF_cw*(1/365)*s_ED_con*s_RadSpec!P16*s_ET_cw_o*(1/24)*s_RadSpec!U16))*1,".")</f>
        <v>136097394987.2617</v>
      </c>
      <c r="AD16" s="69">
        <f>s_C*s_EF_cw*(1/365)*s_ED_con*(s_ET_cw_i+s_ET_cw_o)*(1/24)*s_RadSpec!V16*s_RadSpec!Q16*1</f>
        <v>9.9035484955968638E-3</v>
      </c>
      <c r="AE16" s="69">
        <f>s_C*s_EF_cw*(1/365)*s_ED_con*(s_ET_cw_i+s_ET_cw_o)*(1/24)*s_RadSpec!W16*s_RadSpec!R16*1</f>
        <v>5.5607744473077422E-3</v>
      </c>
      <c r="AF16" s="69">
        <f>s_C*s_EF_cw*(1/365)*s_ED_con*(s_ET_cw_i+s_ET_cw_o)*(1/24)*s_RadSpec!X16*s_RadSpec!S16*1</f>
        <v>9.2565420648602313E-3</v>
      </c>
      <c r="AG16" s="69">
        <f>s_C*s_EF_cw*(1/365)*s_ED_con*(s_ET_cw_i+s_ET_cw_o)*(1/24)*s_RadSpec!Y16*s_RadSpec!T16*1</f>
        <v>9.208959998097406E-3</v>
      </c>
      <c r="AH16" s="69">
        <f>s_C*s_EF_cw*(1/365)*s_ED_con*(s_ET_cw_i+s_ET_cw_o)*(1/24)*s_RadSpec!U16*s_RadSpec!P16*1</f>
        <v>2.3782106164383558E-4</v>
      </c>
      <c r="AI16" s="11"/>
      <c r="AJ16" s="11"/>
      <c r="AK16" s="11"/>
      <c r="AL16" s="11"/>
      <c r="AM16" s="11"/>
      <c r="AN16" s="48">
        <f>IFERROR(s_TR/(s_RadSpec!G16*s_EF_cw*s_ED_con*s_ET_cw_o*(1/24)*s_IRA_cw),".")</f>
        <v>0.1344001344001344</v>
      </c>
      <c r="AO16" s="48">
        <f>IFERROR(s_TR/(s_RadSpec!J16*s_EF_cw*(1/365)*s_ED_con*s_ET_cw_o*(1/24)*s_GSF_a),".")</f>
        <v>2968296.3001672802</v>
      </c>
      <c r="AP16" s="48">
        <f t="shared" si="11"/>
        <v>0.13440012831469228</v>
      </c>
      <c r="AQ16" s="69">
        <f t="shared" si="7"/>
        <v>26041406.25</v>
      </c>
      <c r="AR16" s="69">
        <f t="shared" si="8"/>
        <v>4756.4212328767117</v>
      </c>
      <c r="AS16" s="10"/>
      <c r="AT16" s="10"/>
      <c r="AU16" s="10"/>
    </row>
    <row r="17" spans="1:47" x14ac:dyDescent="0.25">
      <c r="A17" s="49" t="s">
        <v>27</v>
      </c>
      <c r="B17" s="50" t="s">
        <v>289</v>
      </c>
      <c r="C17" s="48">
        <f>IFERROR((s_TR/(s_RadSpec!I17*s_EF_cw*s_ED_con*s_IRS_cw*(1/1000)))*1,".")</f>
        <v>1099329.9583903609</v>
      </c>
      <c r="D17" s="48">
        <f>IFERROR(IF(A17="H-3",(s_TR/(s_RadSpec!G17*s_EF_cw*s_ED_con*s_ET_cw_o*(1/24)*s_IRA_cw*(1/17)*1000))*1,(s_TR/(s_RadSpec!G17*s_EF_cw*s_ED_con*s_ET_cw_o*(1/24)*s_IRA_cw*(1/s_PEFsc)*1000))*1),".")</f>
        <v>13960.619392273295</v>
      </c>
      <c r="E17" s="48">
        <f>IFERROR((s_TR/(s_RadSpec!F17*s_EF_cw*(1/365)*s_ED_con*s_RadSpec!Q17*s_ET_cw_o*(1/24)*s_RadSpec!V17))*1,".")</f>
        <v>519.03397084128187</v>
      </c>
      <c r="F17" s="48">
        <f t="shared" si="9"/>
        <v>500.20111333207529</v>
      </c>
      <c r="G17" s="69">
        <f t="shared" si="1"/>
        <v>229164.375</v>
      </c>
      <c r="H17" s="69">
        <f t="shared" si="2"/>
        <v>51215.031719100385</v>
      </c>
      <c r="I17" s="69">
        <f>s_C*s_EF_cw*(1/365)*s_ED_con*(s_ET_cw_i+s_ET_cw_o)*(1/24)*s_RadSpec!V17*s_RadSpec!Q17*1</f>
        <v>107.71895145044321</v>
      </c>
      <c r="J17" s="4"/>
      <c r="K17" s="4"/>
      <c r="L17" s="4"/>
      <c r="M17" s="4"/>
      <c r="N17" s="48">
        <f>IFERROR((s_TR/(s_RadSpec!I17*s_EF_cw*s_ED_con*s_IRS_cw*(1/1000)))*1,".")</f>
        <v>1099329.9583903609</v>
      </c>
      <c r="O17" s="48">
        <f>IFERROR(IF(A17="H-3",(s_TR/(s_RadSpec!G17*s_EF_cw*s_ED_con*s_ET_cw_o*(1/24)*s_IRA_cw*(1/17)*1000))*1,(s_TR/(s_RadSpec!G17*s_EF_cw*s_ED_con*s_ET_cw_o*(1/24)*s_IRA_cw*(1/s_PEF__sc)*1000))*1),".")</f>
        <v>87803.874104332601</v>
      </c>
      <c r="P17" s="48">
        <f>IFERROR((s_TR/(s_RadSpec!F17*s_EF_cw*(1/365)*s_ED_con*s_RadSpec!Q17*s_ET_cw_o*(1/24)*s_RadSpec!V17))*1,".")</f>
        <v>519.03397084128187</v>
      </c>
      <c r="Q17" s="48">
        <f t="shared" si="10"/>
        <v>515.74177219327271</v>
      </c>
      <c r="R17" s="69">
        <f t="shared" si="4"/>
        <v>229164.375</v>
      </c>
      <c r="S17" s="69">
        <f t="shared" si="5"/>
        <v>8143.0753743733067</v>
      </c>
      <c r="T17" s="69">
        <f>s_C*s_EF_cw*(1/365)*s_ED_con*(s_ET_cw_i+s_ET_cw_o)*(1/24)*s_RadSpec!V17*s_RadSpec!Q17*1</f>
        <v>107.71895145044321</v>
      </c>
      <c r="U17" s="11"/>
      <c r="V17" s="11"/>
      <c r="W17" s="11"/>
      <c r="X17" s="11"/>
      <c r="Y17" s="48">
        <f>IFERROR((s_TR/(s_RadSpec!F17*s_EF_cw*(1/365)*s_ED_con*s_RadSpec!Q17*s_ET_cw_o*(1/24)*s_RadSpec!V17))*1,".")</f>
        <v>519.03397084128187</v>
      </c>
      <c r="Z17" s="48">
        <f>IFERROR((s_TR/(s_RadSpec!M17*s_EF_cw*(1/365)*s_ED_con*s_RadSpec!R17*s_ET_cw_o*(1/24)*s_RadSpec!W17))*1,".")</f>
        <v>3987.3939582175244</v>
      </c>
      <c r="AA17" s="48">
        <f>IFERROR((s_TR/(s_RadSpec!N17*s_EF_cw*(1/365)*s_ED_con*s_RadSpec!S17*s_ET_cw_o*(1/24)*s_RadSpec!X17))*1,".")</f>
        <v>1078.6450329928794</v>
      </c>
      <c r="AB17" s="48">
        <f>IFERROR((s_TR/(s_RadSpec!O17*s_EF_cw*(1/365)*s_ED_con*s_RadSpec!T17*s_ET_cw_o*(1/24)*s_RadSpec!Y17))*1,".")</f>
        <v>648.91070066586815</v>
      </c>
      <c r="AC17" s="48">
        <f>IFERROR((s_TR/(s_RadSpec!K17*s_EF_cw*(1/365)*s_ED_con*s_RadSpec!P17*s_ET_cw_o*(1/24)*s_RadSpec!U17))*1,".")</f>
        <v>7744.3948334158395</v>
      </c>
      <c r="AD17" s="69">
        <f>s_C*s_EF_cw*(1/365)*s_ED_con*(s_ET_cw_i+s_ET_cw_o)*(1/24)*s_RadSpec!V17*s_RadSpec!Q17*1</f>
        <v>107.71895145044321</v>
      </c>
      <c r="AE17" s="69">
        <f>s_C*s_EF_cw*(1/365)*s_ED_con*(s_ET_cw_i+s_ET_cw_o)*(1/24)*s_RadSpec!W17*s_RadSpec!R17*1</f>
        <v>61.634370022300068</v>
      </c>
      <c r="AF17" s="69">
        <f>s_C*s_EF_cw*(1/365)*s_ED_con*(s_ET_cw_i+s_ET_cw_o)*(1/24)*s_RadSpec!X17*s_RadSpec!S17*1</f>
        <v>81.806729251391246</v>
      </c>
      <c r="AG17" s="69">
        <f>s_C*s_EF_cw*(1/365)*s_ED_con*(s_ET_cw_i+s_ET_cw_o)*(1/24)*s_RadSpec!Y17*s_RadSpec!T17*1</f>
        <v>91.997114012557091</v>
      </c>
      <c r="AH17" s="69">
        <f>s_C*s_EF_cw*(1/365)*s_ED_con*(s_ET_cw_i+s_ET_cw_o)*(1/24)*s_RadSpec!U17*s_RadSpec!P17*1</f>
        <v>32.165966624018772</v>
      </c>
      <c r="AI17" s="11"/>
      <c r="AJ17" s="11"/>
      <c r="AK17" s="11"/>
      <c r="AL17" s="11"/>
      <c r="AM17" s="11"/>
      <c r="AN17" s="48">
        <f>IFERROR(s_TR/(s_RadSpec!G17*s_EF_cw*s_ED_con*s_ET_cw_o*(1/24)*s_IRA_cw),".")</f>
        <v>27.456027456027453</v>
      </c>
      <c r="AO17" s="48">
        <f>IFERROR(s_TR/(s_RadSpec!J17*s_EF_cw*(1/365)*s_ED_con*s_ET_cw_o*(1/24)*s_GSF_a),".")</f>
        <v>11458.371742913785</v>
      </c>
      <c r="AP17" s="48">
        <f t="shared" si="11"/>
        <v>27.39039583950515</v>
      </c>
      <c r="AQ17" s="69">
        <f t="shared" si="7"/>
        <v>26041406.25</v>
      </c>
      <c r="AR17" s="69">
        <f t="shared" si="8"/>
        <v>4756.4212328767117</v>
      </c>
      <c r="AS17" s="10"/>
      <c r="AT17" s="10"/>
      <c r="AU17" s="10"/>
    </row>
    <row r="18" spans="1:47" x14ac:dyDescent="0.25">
      <c r="A18" s="49" t="s">
        <v>28</v>
      </c>
      <c r="B18" s="50" t="s">
        <v>289</v>
      </c>
      <c r="C18" s="48">
        <f>IFERROR((s_TR/(s_RadSpec!I18*s_EF_cw*s_ED_con*s_IRS_cw*(1/1000)))*1,".")</f>
        <v>168.8661482475915</v>
      </c>
      <c r="D18" s="48">
        <f>IFERROR(IF(A18="H-3",(s_TR/(s_RadSpec!G18*s_EF_cw*s_ED_con*s_ET_cw_o*(1/24)*s_IRA_cw*(1/17)*1000))*1,(s_TR/(s_RadSpec!G18*s_EF_cw*s_ED_con*s_ET_cw_o*(1/24)*s_IRA_cw*(1/s_PEFsc)*1000))*1),".")</f>
        <v>74.789032458606968</v>
      </c>
      <c r="E18" s="48">
        <f>IFERROR((s_TR/(s_RadSpec!F18*s_EF_cw*(1/365)*s_ED_con*s_RadSpec!Q18*s_ET_cw_o*(1/24)*s_RadSpec!V18))*1,".")</f>
        <v>5828048.538898522</v>
      </c>
      <c r="F18" s="48">
        <f t="shared" si="9"/>
        <v>51.832361969566911</v>
      </c>
      <c r="G18" s="69">
        <f t="shared" si="1"/>
        <v>229164.375</v>
      </c>
      <c r="H18" s="69">
        <f t="shared" si="2"/>
        <v>51215.031719100385</v>
      </c>
      <c r="I18" s="69">
        <f>s_C*s_EF_cw*(1/365)*s_ED_con*(s_ET_cw_i+s_ET_cw_o)*(1/24)*s_RadSpec!V18*s_RadSpec!Q18*1</f>
        <v>211.49835603237577</v>
      </c>
      <c r="J18" s="4"/>
      <c r="K18" s="4"/>
      <c r="L18" s="4"/>
      <c r="M18" s="4"/>
      <c r="N18" s="48">
        <f>IFERROR((s_TR/(s_RadSpec!I18*s_EF_cw*s_ED_con*s_IRS_cw*(1/1000)))*1,".")</f>
        <v>168.8661482475915</v>
      </c>
      <c r="O18" s="48">
        <f>IFERROR(IF(A18="H-3",(s_TR/(s_RadSpec!G18*s_EF_cw*s_ED_con*s_ET_cw_o*(1/24)*s_IRA_cw*(1/17)*1000))*1,(s_TR/(s_RadSpec!G18*s_EF_cw*s_ED_con*s_ET_cw_o*(1/24)*s_IRA_cw*(1/s_PEF__sc)*1000))*1),".")</f>
        <v>470.37789698749623</v>
      </c>
      <c r="P18" s="48">
        <f>IFERROR((s_TR/(s_RadSpec!F18*s_EF_cw*(1/365)*s_ED_con*s_RadSpec!Q18*s_ET_cw_o*(1/24)*s_RadSpec!V18))*1,".")</f>
        <v>5828048.538898522</v>
      </c>
      <c r="Q18" s="48">
        <f t="shared" si="10"/>
        <v>124.25490827459231</v>
      </c>
      <c r="R18" s="69">
        <f t="shared" si="4"/>
        <v>229164.375</v>
      </c>
      <c r="S18" s="69">
        <f t="shared" si="5"/>
        <v>8143.0753743733067</v>
      </c>
      <c r="T18" s="69">
        <f>s_C*s_EF_cw*(1/365)*s_ED_con*(s_ET_cw_i+s_ET_cw_o)*(1/24)*s_RadSpec!V18*s_RadSpec!Q18*1</f>
        <v>211.49835603237577</v>
      </c>
      <c r="U18" s="11"/>
      <c r="V18" s="11"/>
      <c r="W18" s="11"/>
      <c r="X18" s="11"/>
      <c r="Y18" s="48">
        <f>IFERROR((s_TR/(s_RadSpec!F18*s_EF_cw*(1/365)*s_ED_con*s_RadSpec!Q18*s_ET_cw_o*(1/24)*s_RadSpec!V18))*1,".")</f>
        <v>5828048.538898522</v>
      </c>
      <c r="Z18" s="48">
        <f>IFERROR((s_TR/(s_RadSpec!M18*s_EF_cw*(1/365)*s_ED_con*s_RadSpec!R18*s_ET_cw_o*(1/24)*s_RadSpec!W18))*1,".")</f>
        <v>58081397.668057106</v>
      </c>
      <c r="AA18" s="48">
        <f>IFERROR((s_TR/(s_RadSpec!N18*s_EF_cw*(1/365)*s_ED_con*s_RadSpec!S18*s_ET_cw_o*(1/24)*s_RadSpec!X18))*1,".")</f>
        <v>14325673.355007019</v>
      </c>
      <c r="AB18" s="48">
        <f>IFERROR((s_TR/(s_RadSpec!O18*s_EF_cw*(1/365)*s_ED_con*s_RadSpec!T18*s_ET_cw_o*(1/24)*s_RadSpec!Y18))*1,".")</f>
        <v>7618618.3241430791</v>
      </c>
      <c r="AC18" s="48">
        <f>IFERROR((s_TR/(s_RadSpec!K18*s_EF_cw*(1/365)*s_ED_con*s_RadSpec!P18*s_ET_cw_o*(1/24)*s_RadSpec!U18))*1,".")</f>
        <v>101563647.11104116</v>
      </c>
      <c r="AD18" s="69">
        <f>s_C*s_EF_cw*(1/365)*s_ED_con*(s_ET_cw_i+s_ET_cw_o)*(1/24)*s_RadSpec!V18*s_RadSpec!Q18*1</f>
        <v>211.49835603237577</v>
      </c>
      <c r="AE18" s="69">
        <f>s_C*s_EF_cw*(1/365)*s_ED_con*(s_ET_cw_i+s_ET_cw_o)*(1/24)*s_RadSpec!W18*s_RadSpec!R18*1</f>
        <v>106.88700446931432</v>
      </c>
      <c r="AF18" s="69">
        <f>s_C*s_EF_cw*(1/365)*s_ED_con*(s_ET_cw_i+s_ET_cw_o)*(1/24)*s_RadSpec!X18*s_RadSpec!S18*1</f>
        <v>152.63127261918999</v>
      </c>
      <c r="AG18" s="69">
        <f>s_C*s_EF_cw*(1/365)*s_ED_con*(s_ET_cw_i+s_ET_cw_o)*(1/24)*s_RadSpec!Y18*s_RadSpec!T18*1</f>
        <v>184.22202237533153</v>
      </c>
      <c r="AH18" s="69">
        <f>s_C*s_EF_cw*(1/365)*s_ED_con*(s_ET_cw_i+s_ET_cw_o)*(1/24)*s_RadSpec!U18*s_RadSpec!P18*1</f>
        <v>62.881501044810783</v>
      </c>
      <c r="AI18" s="11"/>
      <c r="AJ18" s="11"/>
      <c r="AK18" s="11"/>
      <c r="AL18" s="11"/>
      <c r="AM18" s="11"/>
      <c r="AN18" s="48">
        <f>IFERROR(s_TR/(s_RadSpec!G18*s_EF_cw*s_ED_con*s_ET_cw_o*(1/24)*s_IRA_cw),".")</f>
        <v>0.14708586137157567</v>
      </c>
      <c r="AO18" s="48">
        <f>IFERROR(s_TR/(s_RadSpec!J18*s_EF_cw*(1/365)*s_ED_con*s_ET_cw_o*(1/24)*s_GSF_a),".")</f>
        <v>279417836.07719922</v>
      </c>
      <c r="AP18" s="48">
        <f t="shared" si="11"/>
        <v>0.14708586129414952</v>
      </c>
      <c r="AQ18" s="69">
        <f t="shared" si="7"/>
        <v>26041406.25</v>
      </c>
      <c r="AR18" s="69">
        <f t="shared" si="8"/>
        <v>4756.4212328767117</v>
      </c>
      <c r="AS18" s="10"/>
      <c r="AT18" s="10"/>
      <c r="AU18" s="10"/>
    </row>
    <row r="19" spans="1:47" x14ac:dyDescent="0.25">
      <c r="A19" s="49" t="s">
        <v>29</v>
      </c>
      <c r="B19" s="50" t="s">
        <v>289</v>
      </c>
      <c r="C19" s="48" t="str">
        <f>IFERROR((s_TR/(s_RadSpec!I19*s_EF_cw*s_ED_con*s_IRS_cw*(1/1000)))*1,".")</f>
        <v>.</v>
      </c>
      <c r="D19" s="48" t="str">
        <f>IFERROR(IF(A19="H-3",(s_TR/(s_RadSpec!G19*s_EF_cw*s_ED_con*s_ET_cw_o*(1/24)*s_IRA_cw*(1/17)*1000))*1,(s_TR/(s_RadSpec!G19*s_EF_cw*s_ED_con*s_ET_cw_o*(1/24)*s_IRA_cw*(1/s_PEFsc)*1000))*1),".")</f>
        <v>.</v>
      </c>
      <c r="E19" s="48">
        <f>IFERROR((s_TR/(s_RadSpec!F19*s_EF_cw*(1/365)*s_ED_con*s_RadSpec!Q19*s_ET_cw_o*(1/24)*s_RadSpec!V19))*1,".")</f>
        <v>1551017.4501028256</v>
      </c>
      <c r="F19" s="48">
        <f t="shared" si="9"/>
        <v>1551017.4501028256</v>
      </c>
      <c r="G19" s="69">
        <f t="shared" si="1"/>
        <v>229164.375</v>
      </c>
      <c r="H19" s="69">
        <f t="shared" si="2"/>
        <v>51215.031719100385</v>
      </c>
      <c r="I19" s="69">
        <f>s_C*s_EF_cw*(1/365)*s_ED_con*(s_ET_cw_i+s_ET_cw_o)*(1/24)*s_RadSpec!V19*s_RadSpec!Q19*1</f>
        <v>207.27124755381601</v>
      </c>
      <c r="J19" s="4"/>
      <c r="K19" s="4"/>
      <c r="L19" s="4"/>
      <c r="M19" s="4"/>
      <c r="N19" s="48" t="str">
        <f>IFERROR((s_TR/(s_RadSpec!I19*s_EF_cw*s_ED_con*s_IRS_cw*(1/1000)))*1,".")</f>
        <v>.</v>
      </c>
      <c r="O19" s="48" t="str">
        <f>IFERROR(IF(A19="H-3",(s_TR/(s_RadSpec!G19*s_EF_cw*s_ED_con*s_ET_cw_o*(1/24)*s_IRA_cw*(1/17)*1000))*1,(s_TR/(s_RadSpec!G19*s_EF_cw*s_ED_con*s_ET_cw_o*(1/24)*s_IRA_cw*(1/s_PEF__sc)*1000))*1),".")</f>
        <v>.</v>
      </c>
      <c r="P19" s="48">
        <f>IFERROR((s_TR/(s_RadSpec!F19*s_EF_cw*(1/365)*s_ED_con*s_RadSpec!Q19*s_ET_cw_o*(1/24)*s_RadSpec!V19))*1,".")</f>
        <v>1551017.4501028256</v>
      </c>
      <c r="Q19" s="48">
        <f t="shared" si="10"/>
        <v>1551017.4501028256</v>
      </c>
      <c r="R19" s="69">
        <f t="shared" si="4"/>
        <v>229164.375</v>
      </c>
      <c r="S19" s="69">
        <f t="shared" si="5"/>
        <v>8143.0753743733067</v>
      </c>
      <c r="T19" s="69">
        <f>s_C*s_EF_cw*(1/365)*s_ED_con*(s_ET_cw_i+s_ET_cw_o)*(1/24)*s_RadSpec!V19*s_RadSpec!Q19*1</f>
        <v>207.27124755381601</v>
      </c>
      <c r="U19" s="11"/>
      <c r="V19" s="11"/>
      <c r="W19" s="11"/>
      <c r="X19" s="11"/>
      <c r="Y19" s="48">
        <f>IFERROR((s_TR/(s_RadSpec!F19*s_EF_cw*(1/365)*s_ED_con*s_RadSpec!Q19*s_ET_cw_o*(1/24)*s_RadSpec!V19))*1,".")</f>
        <v>1551017.4501028256</v>
      </c>
      <c r="Z19" s="48">
        <f>IFERROR((s_TR/(s_RadSpec!M19*s_EF_cw*(1/365)*s_ED_con*s_RadSpec!R19*s_ET_cw_o*(1/24)*s_RadSpec!W19))*1,".")</f>
        <v>15381467.87244896</v>
      </c>
      <c r="AA19" s="48">
        <f>IFERROR((s_TR/(s_RadSpec!N19*s_EF_cw*(1/365)*s_ED_con*s_RadSpec!S19*s_ET_cw_o*(1/24)*s_RadSpec!X19))*1,".")</f>
        <v>3786080.561357867</v>
      </c>
      <c r="AB19" s="48">
        <f>IFERROR((s_TR/(s_RadSpec!O19*s_EF_cw*(1/365)*s_ED_con*s_RadSpec!T19*s_ET_cw_o*(1/24)*s_RadSpec!Y19))*1,".")</f>
        <v>2027667.2699115677</v>
      </c>
      <c r="AC19" s="48">
        <f>IFERROR((s_TR/(s_RadSpec!K19*s_EF_cw*(1/365)*s_ED_con*s_RadSpec!P19*s_ET_cw_o*(1/24)*s_RadSpec!U19))*1,".")</f>
        <v>27223069.599270977</v>
      </c>
      <c r="AD19" s="69">
        <f>s_C*s_EF_cw*(1/365)*s_ED_con*(s_ET_cw_i+s_ET_cw_o)*(1/24)*s_RadSpec!V19*s_RadSpec!Q19*1</f>
        <v>207.27124755381601</v>
      </c>
      <c r="AE19" s="69">
        <f>s_C*s_EF_cw*(1/365)*s_ED_con*(s_ET_cw_i+s_ET_cw_o)*(1/24)*s_RadSpec!W19*s_RadSpec!R19*1</f>
        <v>104.50280965589226</v>
      </c>
      <c r="AF19" s="69">
        <f>s_C*s_EF_cw*(1/365)*s_ED_con*(s_ET_cw_i+s_ET_cw_o)*(1/24)*s_RadSpec!X19*s_RadSpec!S19*1</f>
        <v>150.75436788948213</v>
      </c>
      <c r="AG19" s="69">
        <f>s_C*s_EF_cw*(1/365)*s_ED_con*(s_ET_cw_i+s_ET_cw_o)*(1/24)*s_RadSpec!Y19*s_RadSpec!T19*1</f>
        <v>180.5000878117317</v>
      </c>
      <c r="AH19" s="69">
        <f>s_C*s_EF_cw*(1/365)*s_ED_con*(s_ET_cw_i+s_ET_cw_o)*(1/24)*s_RadSpec!U19*s_RadSpec!P19*1</f>
        <v>60.685911515971725</v>
      </c>
      <c r="AI19" s="11"/>
      <c r="AJ19" s="11"/>
      <c r="AK19" s="11"/>
      <c r="AL19" s="11"/>
      <c r="AM19" s="11"/>
      <c r="AN19" s="48" t="str">
        <f>IFERROR(s_TR/(s_RadSpec!G19*s_EF_cw*s_ED_con*s_ET_cw_o*(1/24)*s_IRA_cw),".")</f>
        <v>.</v>
      </c>
      <c r="AO19" s="48">
        <f>IFERROR(s_TR/(s_RadSpec!J19*s_EF_cw*(1/365)*s_ED_con*s_ET_cw_o*(1/24)*s_GSF_a),".")</f>
        <v>72486656.025824159</v>
      </c>
      <c r="AP19" s="48">
        <f t="shared" si="11"/>
        <v>72486656.025824159</v>
      </c>
      <c r="AQ19" s="69">
        <f t="shared" si="7"/>
        <v>26041406.25</v>
      </c>
      <c r="AR19" s="69">
        <f t="shared" si="8"/>
        <v>4756.4212328767117</v>
      </c>
      <c r="AS19" s="10"/>
      <c r="AT19" s="10"/>
      <c r="AU19" s="10"/>
    </row>
    <row r="20" spans="1:47" x14ac:dyDescent="0.25">
      <c r="A20" s="49" t="s">
        <v>30</v>
      </c>
      <c r="B20" s="50" t="s">
        <v>289</v>
      </c>
      <c r="C20" s="48" t="str">
        <f>IFERROR((s_TR/(s_RadSpec!I20*s_EF_cw*s_ED_con*s_IRS_cw*(1/1000)))*1,".")</f>
        <v>.</v>
      </c>
      <c r="D20" s="48" t="str">
        <f>IFERROR(IF(A20="H-3",(s_TR/(s_RadSpec!G20*s_EF_cw*s_ED_con*s_ET_cw_o*(1/24)*s_IRA_cw*(1/17)*1000))*1,(s_TR/(s_RadSpec!G20*s_EF_cw*s_ED_con*s_ET_cw_o*(1/24)*s_IRA_cw*(1/s_PEFsc)*1000))*1),".")</f>
        <v>.</v>
      </c>
      <c r="E20" s="48">
        <f>IFERROR((s_TR/(s_RadSpec!F20*s_EF_cw*(1/365)*s_ED_con*s_RadSpec!Q20*s_ET_cw_o*(1/24)*s_RadSpec!V20))*1,".")</f>
        <v>683994.73247979523</v>
      </c>
      <c r="F20" s="48">
        <f t="shared" si="9"/>
        <v>683994.73247979523</v>
      </c>
      <c r="G20" s="69">
        <f t="shared" si="1"/>
        <v>229164.375</v>
      </c>
      <c r="H20" s="69">
        <f t="shared" si="2"/>
        <v>51215.031719100385</v>
      </c>
      <c r="I20" s="69">
        <f>s_C*s_EF_cw*(1/365)*s_ED_con*(s_ET_cw_i+s_ET_cw_o)*(1/24)*s_RadSpec!V20*s_RadSpec!Q20*1</f>
        <v>210.79036881266777</v>
      </c>
      <c r="J20" s="4"/>
      <c r="K20" s="4"/>
      <c r="L20" s="4"/>
      <c r="M20" s="4"/>
      <c r="N20" s="48" t="str">
        <f>IFERROR((s_TR/(s_RadSpec!I20*s_EF_cw*s_ED_con*s_IRS_cw*(1/1000)))*1,".")</f>
        <v>.</v>
      </c>
      <c r="O20" s="48" t="str">
        <f>IFERROR(IF(A20="H-3",(s_TR/(s_RadSpec!G20*s_EF_cw*s_ED_con*s_ET_cw_o*(1/24)*s_IRA_cw*(1/17)*1000))*1,(s_TR/(s_RadSpec!G20*s_EF_cw*s_ED_con*s_ET_cw_o*(1/24)*s_IRA_cw*(1/s_PEF__sc)*1000))*1),".")</f>
        <v>.</v>
      </c>
      <c r="P20" s="48">
        <f>IFERROR((s_TR/(s_RadSpec!F20*s_EF_cw*(1/365)*s_ED_con*s_RadSpec!Q20*s_ET_cw_o*(1/24)*s_RadSpec!V20))*1,".")</f>
        <v>683994.73247979523</v>
      </c>
      <c r="Q20" s="48">
        <f t="shared" si="10"/>
        <v>683994.73247979523</v>
      </c>
      <c r="R20" s="69">
        <f t="shared" si="4"/>
        <v>229164.375</v>
      </c>
      <c r="S20" s="69">
        <f t="shared" si="5"/>
        <v>8143.0753743733067</v>
      </c>
      <c r="T20" s="69">
        <f>s_C*s_EF_cw*(1/365)*s_ED_con*(s_ET_cw_i+s_ET_cw_o)*(1/24)*s_RadSpec!V20*s_RadSpec!Q20*1</f>
        <v>210.79036881266777</v>
      </c>
      <c r="U20" s="11"/>
      <c r="V20" s="11"/>
      <c r="W20" s="11"/>
      <c r="X20" s="11"/>
      <c r="Y20" s="48">
        <f>IFERROR((s_TR/(s_RadSpec!F20*s_EF_cw*(1/365)*s_ED_con*s_RadSpec!Q20*s_ET_cw_o*(1/24)*s_RadSpec!V20))*1,".")</f>
        <v>683994.73247979523</v>
      </c>
      <c r="Z20" s="48">
        <f>IFERROR((s_TR/(s_RadSpec!M20*s_EF_cw*(1/365)*s_ED_con*s_RadSpec!R20*s_ET_cw_o*(1/24)*s_RadSpec!W20))*1,".")</f>
        <v>6818899.9666604372</v>
      </c>
      <c r="AA20" s="48">
        <f>IFERROR((s_TR/(s_RadSpec!N20*s_EF_cw*(1/365)*s_ED_con*s_RadSpec!S20*s_ET_cw_o*(1/24)*s_RadSpec!X20))*1,".")</f>
        <v>1692682.9017019381</v>
      </c>
      <c r="AB20" s="48">
        <f>IFERROR((s_TR/(s_RadSpec!O20*s_EF_cw*(1/365)*s_ED_con*s_RadSpec!T20*s_ET_cw_o*(1/24)*s_RadSpec!Y20))*1,".")</f>
        <v>904915.17122950358</v>
      </c>
      <c r="AC20" s="48">
        <f>IFERROR((s_TR/(s_RadSpec!K20*s_EF_cw*(1/365)*s_ED_con*s_RadSpec!P20*s_ET_cw_o*(1/24)*s_RadSpec!U20))*1,".")</f>
        <v>11926065.354126973</v>
      </c>
      <c r="AD20" s="69">
        <f>s_C*s_EF_cw*(1/365)*s_ED_con*(s_ET_cw_i+s_ET_cw_o)*(1/24)*s_RadSpec!V20*s_RadSpec!Q20*1</f>
        <v>210.79036881266777</v>
      </c>
      <c r="AE20" s="69">
        <f>s_C*s_EF_cw*(1/365)*s_ED_con*(s_ET_cw_i+s_ET_cw_o)*(1/24)*s_RadSpec!W20*s_RadSpec!R20*1</f>
        <v>106.88653428911765</v>
      </c>
      <c r="AF20" s="69">
        <f>s_C*s_EF_cw*(1/365)*s_ED_con*(s_ET_cw_i+s_ET_cw_o)*(1/24)*s_RadSpec!X20*s_RadSpec!S20*1</f>
        <v>152.76505842062846</v>
      </c>
      <c r="AG20" s="69">
        <f>s_C*s_EF_cw*(1/365)*s_ED_con*(s_ET_cw_i+s_ET_cw_o)*(1/24)*s_RadSpec!Y20*s_RadSpec!T20*1</f>
        <v>181.93311215753411</v>
      </c>
      <c r="AH20" s="69">
        <f>s_C*s_EF_cw*(1/365)*s_ED_con*(s_ET_cw_i+s_ET_cw_o)*(1/24)*s_RadSpec!U20*s_RadSpec!P20*1</f>
        <v>62.72824833853246</v>
      </c>
      <c r="AI20" s="11"/>
      <c r="AJ20" s="11"/>
      <c r="AK20" s="11"/>
      <c r="AL20" s="11"/>
      <c r="AM20" s="11"/>
      <c r="AN20" s="48" t="str">
        <f>IFERROR(s_TR/(s_RadSpec!G20*s_EF_cw*s_ED_con*s_ET_cw_o*(1/24)*s_IRA_cw),".")</f>
        <v>.</v>
      </c>
      <c r="AO20" s="48">
        <f>IFERROR(s_TR/(s_RadSpec!J20*s_EF_cw*(1/365)*s_ED_con*s_ET_cw_o*(1/24)*s_GSF_a),".")</f>
        <v>32690060.560665797</v>
      </c>
      <c r="AP20" s="48">
        <f t="shared" si="11"/>
        <v>32690060.560665797</v>
      </c>
      <c r="AQ20" s="69">
        <f t="shared" si="7"/>
        <v>26041406.25</v>
      </c>
      <c r="AR20" s="69">
        <f t="shared" si="8"/>
        <v>4756.4212328767117</v>
      </c>
      <c r="AS20" s="10"/>
      <c r="AT20" s="10"/>
      <c r="AU20" s="10"/>
    </row>
    <row r="21" spans="1:47" x14ac:dyDescent="0.25">
      <c r="A21" s="49" t="s">
        <v>31</v>
      </c>
      <c r="B21" s="50" t="s">
        <v>289</v>
      </c>
      <c r="C21" s="48" t="str">
        <f>IFERROR((s_TR/(s_RadSpec!I21*s_EF_cw*s_ED_con*s_IRS_cw*(1/1000)))*1,".")</f>
        <v>.</v>
      </c>
      <c r="D21" s="48">
        <f>IFERROR(IF(A21="H-3",(s_TR/(s_RadSpec!G21*s_EF_cw*s_ED_con*s_ET_cw_o*(1/24)*s_IRA_cw*(1/17)*1000))*1,(s_TR/(s_RadSpec!G21*s_EF_cw*s_ED_con*s_ET_cw_o*(1/24)*s_IRA_cw*(1/s_PEFsc)*1000))*1),".")</f>
        <v>78038.858041700369</v>
      </c>
      <c r="E21" s="48" t="str">
        <f>IFERROR((s_TR/(s_RadSpec!F21*s_EF_cw*(1/365)*s_ED_con*s_RadSpec!Q21*s_ET_cw_o*(1/24)*s_RadSpec!V21))*1,".")</f>
        <v>.</v>
      </c>
      <c r="F21" s="48">
        <f t="shared" si="9"/>
        <v>78038.858041700369</v>
      </c>
      <c r="G21" s="69">
        <f t="shared" si="1"/>
        <v>229164.375</v>
      </c>
      <c r="H21" s="69">
        <f t="shared" si="2"/>
        <v>51215.031719100385</v>
      </c>
      <c r="I21" s="69">
        <f>s_C*s_EF_cw*(1/365)*s_ED_con*(s_ET_cw_i+s_ET_cw_o)*(1/24)*s_RadSpec!V21*s_RadSpec!Q21*1</f>
        <v>0</v>
      </c>
      <c r="J21" s="4"/>
      <c r="K21" s="4"/>
      <c r="L21" s="4"/>
      <c r="M21" s="4"/>
      <c r="N21" s="48" t="str">
        <f>IFERROR((s_TR/(s_RadSpec!I21*s_EF_cw*s_ED_con*s_IRS_cw*(1/1000)))*1,".")</f>
        <v>.</v>
      </c>
      <c r="O21" s="48">
        <f>IFERROR(IF(A21="H-3",(s_TR/(s_RadSpec!G21*s_EF_cw*s_ED_con*s_ET_cw_o*(1/24)*s_IRA_cw*(1/17)*1000))*1,(s_TR/(s_RadSpec!G21*s_EF_cw*s_ED_con*s_ET_cw_o*(1/24)*s_IRA_cw*(1/s_PEF__sc)*1000))*1),".")</f>
        <v>490817.33941774425</v>
      </c>
      <c r="P21" s="48" t="str">
        <f>IFERROR((s_TR/(s_RadSpec!F21*s_EF_cw*(1/365)*s_ED_con*s_RadSpec!Q21*s_ET_cw_o*(1/24)*s_RadSpec!V21))*1,".")</f>
        <v>.</v>
      </c>
      <c r="Q21" s="48">
        <f t="shared" si="10"/>
        <v>490817.33941774425</v>
      </c>
      <c r="R21" s="69">
        <f t="shared" si="4"/>
        <v>229164.375</v>
      </c>
      <c r="S21" s="69">
        <f t="shared" si="5"/>
        <v>8143.0753743733067</v>
      </c>
      <c r="T21" s="69">
        <f>s_C*s_EF_cw*(1/365)*s_ED_con*(s_ET_cw_i+s_ET_cw_o)*(1/24)*s_RadSpec!V21*s_RadSpec!Q21*1</f>
        <v>0</v>
      </c>
      <c r="U21" s="11"/>
      <c r="V21" s="11"/>
      <c r="W21" s="11"/>
      <c r="X21" s="11"/>
      <c r="Y21" s="48" t="str">
        <f>IFERROR((s_TR/(s_RadSpec!F21*s_EF_cw*(1/365)*s_ED_con*s_RadSpec!Q21*s_ET_cw_o*(1/24)*s_RadSpec!V21))*1,".")</f>
        <v>.</v>
      </c>
      <c r="Z21" s="48" t="str">
        <f>IFERROR((s_TR/(s_RadSpec!M21*s_EF_cw*(1/365)*s_ED_con*s_RadSpec!R21*s_ET_cw_o*(1/24)*s_RadSpec!W21))*1,".")</f>
        <v>.</v>
      </c>
      <c r="AA21" s="48" t="str">
        <f>IFERROR((s_TR/(s_RadSpec!N21*s_EF_cw*(1/365)*s_ED_con*s_RadSpec!S21*s_ET_cw_o*(1/24)*s_RadSpec!X21))*1,".")</f>
        <v>.</v>
      </c>
      <c r="AB21" s="48" t="str">
        <f>IFERROR((s_TR/(s_RadSpec!O21*s_EF_cw*(1/365)*s_ED_con*s_RadSpec!T21*s_ET_cw_o*(1/24)*s_RadSpec!Y21))*1,".")</f>
        <v>.</v>
      </c>
      <c r="AC21" s="48" t="str">
        <f>IFERROR((s_TR/(s_RadSpec!K21*s_EF_cw*(1/365)*s_ED_con*s_RadSpec!P21*s_ET_cw_o*(1/24)*s_RadSpec!U21))*1,".")</f>
        <v>.</v>
      </c>
      <c r="AD21" s="69">
        <f>s_C*s_EF_cw*(1/365)*s_ED_con*(s_ET_cw_i+s_ET_cw_o)*(1/24)*s_RadSpec!V21*s_RadSpec!Q21*1</f>
        <v>0</v>
      </c>
      <c r="AE21" s="69">
        <f>s_C*s_EF_cw*(1/365)*s_ED_con*(s_ET_cw_i+s_ET_cw_o)*(1/24)*s_RadSpec!W21*s_RadSpec!R21*1</f>
        <v>0</v>
      </c>
      <c r="AF21" s="69">
        <f>s_C*s_EF_cw*(1/365)*s_ED_con*(s_ET_cw_i+s_ET_cw_o)*(1/24)*s_RadSpec!X21*s_RadSpec!S21*1</f>
        <v>0</v>
      </c>
      <c r="AG21" s="69">
        <f>s_C*s_EF_cw*(1/365)*s_ED_con*(s_ET_cw_i+s_ET_cw_o)*(1/24)*s_RadSpec!Y21*s_RadSpec!T21*1</f>
        <v>0</v>
      </c>
      <c r="AH21" s="69">
        <f>s_C*s_EF_cw*(1/365)*s_ED_con*(s_ET_cw_i+s_ET_cw_o)*(1/24)*s_RadSpec!U21*s_RadSpec!P21*1</f>
        <v>0</v>
      </c>
      <c r="AI21" s="11"/>
      <c r="AJ21" s="11"/>
      <c r="AK21" s="11"/>
      <c r="AL21" s="11"/>
      <c r="AM21" s="11"/>
      <c r="AN21" s="48">
        <f>IFERROR(s_TR/(s_RadSpec!G21*s_EF_cw*s_ED_con*s_ET_cw_o*(1/24)*s_IRA_cw),".")</f>
        <v>153.47721822541965</v>
      </c>
      <c r="AO21" s="48">
        <f>IFERROR(s_TR/(s_RadSpec!J21*s_EF_cw*(1/365)*s_ED_con*s_ET_cw_o*(1/24)*s_GSF_a),".")</f>
        <v>295951435845.08087</v>
      </c>
      <c r="AP21" s="48">
        <f t="shared" si="11"/>
        <v>153.47721814582803</v>
      </c>
      <c r="AQ21" s="69">
        <f t="shared" si="7"/>
        <v>26041406.25</v>
      </c>
      <c r="AR21" s="69">
        <f t="shared" si="8"/>
        <v>4756.4212328767117</v>
      </c>
      <c r="AS21" s="10"/>
      <c r="AT21" s="10"/>
      <c r="AU21" s="10"/>
    </row>
    <row r="22" spans="1:47" x14ac:dyDescent="0.25">
      <c r="A22" s="49" t="s">
        <v>32</v>
      </c>
      <c r="B22" s="50" t="s">
        <v>289</v>
      </c>
      <c r="C22" s="48">
        <f>IFERROR((s_TR/(s_RadSpec!I22*s_EF_cw*s_ED_con*s_IRS_cw*(1/1000)))*1,".")</f>
        <v>3259.7047522420658</v>
      </c>
      <c r="D22" s="48">
        <f>IFERROR(IF(A22="H-3",(s_TR/(s_RadSpec!G22*s_EF_cw*s_ED_con*s_ET_cw_o*(1/24)*s_IRA_cw*(1/17)*1000))*1,(s_TR/(s_RadSpec!G22*s_EF_cw*s_ED_con*s_ET_cw_o*(1/24)*s_IRA_cw*(1/s_PEFsc)*1000))*1),".")</f>
        <v>41.467186313683065</v>
      </c>
      <c r="E22" s="48">
        <f>IFERROR((s_TR/(s_RadSpec!F22*s_EF_cw*(1/365)*s_ED_con*s_RadSpec!Q22*s_ET_cw_o*(1/24)*s_RadSpec!V22))*1,".")</f>
        <v>183552683842.60846</v>
      </c>
      <c r="F22" s="48">
        <f t="shared" si="9"/>
        <v>40.946302335831419</v>
      </c>
      <c r="G22" s="69">
        <f t="shared" si="1"/>
        <v>229164.375</v>
      </c>
      <c r="H22" s="69">
        <f t="shared" si="2"/>
        <v>51215.031719100385</v>
      </c>
      <c r="I22" s="69">
        <f>s_C*s_EF_cw*(1/365)*s_ED_con*(s_ET_cw_i+s_ET_cw_o)*(1/24)*s_RadSpec!V22*s_RadSpec!Q22*1</f>
        <v>4.9562708645101859E-5</v>
      </c>
      <c r="J22" s="4"/>
      <c r="K22" s="4"/>
      <c r="L22" s="4"/>
      <c r="M22" s="4"/>
      <c r="N22" s="48">
        <f>IFERROR((s_TR/(s_RadSpec!I22*s_EF_cw*s_ED_con*s_IRS_cw*(1/1000)))*1,".")</f>
        <v>3259.7047522420658</v>
      </c>
      <c r="O22" s="48">
        <f>IFERROR(IF(A22="H-3",(s_TR/(s_RadSpec!G22*s_EF_cw*s_ED_con*s_ET_cw_o*(1/24)*s_IRA_cw*(1/17)*1000))*1,(s_TR/(s_RadSpec!G22*s_EF_cw*s_ED_con*s_ET_cw_o*(1/24)*s_IRA_cw*(1/s_PEF__sc)*1000))*1),".")</f>
        <v>260.8035864485127</v>
      </c>
      <c r="P22" s="48">
        <f>IFERROR((s_TR/(s_RadSpec!F22*s_EF_cw*(1/365)*s_ED_con*s_RadSpec!Q22*s_ET_cw_o*(1/24)*s_RadSpec!V22))*1,".")</f>
        <v>183552683842.60846</v>
      </c>
      <c r="Q22" s="48">
        <f t="shared" si="10"/>
        <v>241.48293576993532</v>
      </c>
      <c r="R22" s="69">
        <f t="shared" si="4"/>
        <v>229164.375</v>
      </c>
      <c r="S22" s="69">
        <f t="shared" si="5"/>
        <v>8143.0753743733067</v>
      </c>
      <c r="T22" s="69">
        <f>s_C*s_EF_cw*(1/365)*s_ED_con*(s_ET_cw_i+s_ET_cw_o)*(1/24)*s_RadSpec!V22*s_RadSpec!Q22*1</f>
        <v>4.9562708645101859E-5</v>
      </c>
      <c r="U22" s="11"/>
      <c r="V22" s="11"/>
      <c r="W22" s="11"/>
      <c r="X22" s="11"/>
      <c r="Y22" s="48">
        <f>IFERROR((s_TR/(s_RadSpec!F22*s_EF_cw*(1/365)*s_ED_con*s_RadSpec!Q22*s_ET_cw_o*(1/24)*s_RadSpec!V22))*1,".")</f>
        <v>183552683842.60846</v>
      </c>
      <c r="Z22" s="48">
        <f>IFERROR((s_TR/(s_RadSpec!M22*s_EF_cw*(1/365)*s_ED_con*s_RadSpec!R22*s_ET_cw_o*(1/24)*s_RadSpec!W22))*1,".")</f>
        <v>231000550534.05627</v>
      </c>
      <c r="AA22" s="48">
        <f>IFERROR((s_TR/(s_RadSpec!N22*s_EF_cw*(1/365)*s_ED_con*s_RadSpec!S22*s_ET_cw_o*(1/24)*s_RadSpec!X22))*1,".")</f>
        <v>129962849033.61278</v>
      </c>
      <c r="AB22" s="48">
        <f>IFERROR((s_TR/(s_RadSpec!O22*s_EF_cw*(1/365)*s_ED_con*s_RadSpec!T22*s_ET_cw_o*(1/24)*s_RadSpec!Y22))*1,".")</f>
        <v>133410047199.50832</v>
      </c>
      <c r="AC22" s="48">
        <f>IFERROR((s_TR/(s_RadSpec!K22*s_EF_cw*(1/365)*s_ED_con*s_RadSpec!P22*s_ET_cw_o*(1/24)*s_RadSpec!U22))*1,".")</f>
        <v>652766641922.09705</v>
      </c>
      <c r="AD22" s="69">
        <f>s_C*s_EF_cw*(1/365)*s_ED_con*(s_ET_cw_i+s_ET_cw_o)*(1/24)*s_RadSpec!V22*s_RadSpec!Q22*1</f>
        <v>4.9562708645101859E-5</v>
      </c>
      <c r="AE22" s="69">
        <f>s_C*s_EF_cw*(1/365)*s_ED_con*(s_ET_cw_i+s_ET_cw_o)*(1/24)*s_RadSpec!W22*s_RadSpec!R22*1</f>
        <v>5.4088819893568221E-5</v>
      </c>
      <c r="AF22" s="69">
        <f>s_C*s_EF_cw*(1/365)*s_ED_con*(s_ET_cw_i+s_ET_cw_o)*(1/24)*s_RadSpec!X22*s_RadSpec!S22*1</f>
        <v>7.0403604374922853E-5</v>
      </c>
      <c r="AG22" s="69">
        <f>s_C*s_EF_cw*(1/365)*s_ED_con*(s_ET_cw_i+s_ET_cw_o)*(1/24)*s_RadSpec!Y22*s_RadSpec!T22*1</f>
        <v>6.8321661599426108E-5</v>
      </c>
      <c r="AH22" s="69">
        <f>s_C*s_EF_cw*(1/365)*s_ED_con*(s_ET_cw_i+s_ET_cw_o)*(1/24)*s_RadSpec!U22*s_RadSpec!P22*1</f>
        <v>9.6286107155105064E-6</v>
      </c>
      <c r="AI22" s="11"/>
      <c r="AJ22" s="11"/>
      <c r="AK22" s="11"/>
      <c r="AL22" s="11"/>
      <c r="AM22" s="11"/>
      <c r="AN22" s="48">
        <f>IFERROR(s_TR/(s_RadSpec!G22*s_EF_cw*s_ED_con*s_ET_cw_o*(1/24)*s_IRA_cw),".")</f>
        <v>8.1552556800081555E-2</v>
      </c>
      <c r="AO22" s="48">
        <f>IFERROR(s_TR/(s_RadSpec!J22*s_EF_cw*(1/365)*s_ED_con*s_ET_cw_o*(1/24)*s_GSF_a),".")</f>
        <v>633111.29946605896</v>
      </c>
      <c r="AP22" s="48">
        <f t="shared" si="11"/>
        <v>8.1552546295106096E-2</v>
      </c>
      <c r="AQ22" s="69">
        <f t="shared" si="7"/>
        <v>26041406.25</v>
      </c>
      <c r="AR22" s="69">
        <f t="shared" si="8"/>
        <v>4756.4212328767117</v>
      </c>
      <c r="AS22" s="10"/>
      <c r="AT22" s="10"/>
      <c r="AU22" s="10"/>
    </row>
    <row r="23" spans="1:47" x14ac:dyDescent="0.25">
      <c r="A23" s="51" t="s">
        <v>33</v>
      </c>
      <c r="B23" s="50" t="s">
        <v>275</v>
      </c>
      <c r="C23" s="48">
        <f>IFERROR((s_TR/(s_RadSpec!I23*s_EF_cw*s_ED_con*s_IRS_cw*(1/1000)))*1,".")</f>
        <v>823.11640100584816</v>
      </c>
      <c r="D23" s="48">
        <f>IFERROR(IF(A23="H-3",(s_TR/(s_RadSpec!G23*s_EF_cw*s_ED_con*s_ET_cw_o*(1/24)*s_IRA_cw*(1/17)*1000))*1,(s_TR/(s_RadSpec!G23*s_EF_cw*s_ED_con*s_ET_cw_o*(1/24)*s_IRA_cw*(1/s_PEFsc)*1000))*1),".")</f>
        <v>38.524705287482163</v>
      </c>
      <c r="E23" s="48">
        <f>IFERROR((s_TR/(s_RadSpec!F23*s_EF_cw*(1/365)*s_ED_con*s_RadSpec!Q23*s_ET_cw_o*(1/24)*s_RadSpec!V23))*1,".")</f>
        <v>10273.033114582182</v>
      </c>
      <c r="F23" s="48">
        <f t="shared" si="9"/>
        <v>36.670862886801665</v>
      </c>
      <c r="G23" s="69">
        <f t="shared" si="1"/>
        <v>229164.375</v>
      </c>
      <c r="H23" s="69">
        <f t="shared" si="2"/>
        <v>51215.031719100385</v>
      </c>
      <c r="I23" s="69">
        <f>s_C*s_EF_cw*(1/365)*s_ED_con*(s_ET_cw_i+s_ET_cw_o)*(1/24)*s_RadSpec!V23*s_RadSpec!Q23*1</f>
        <v>216.42379063799754</v>
      </c>
      <c r="J23" s="4"/>
      <c r="K23" s="4"/>
      <c r="L23" s="4"/>
      <c r="M23" s="4"/>
      <c r="N23" s="48">
        <f>IFERROR((s_TR/(s_RadSpec!I23*s_EF_cw*s_ED_con*s_IRS_cw*(1/1000)))*1,".")</f>
        <v>823.11640100584816</v>
      </c>
      <c r="O23" s="48">
        <f>IFERROR(IF(A23="H-3",(s_TR/(s_RadSpec!G23*s_EF_cw*s_ED_con*s_ET_cw_o*(1/24)*s_IRA_cw*(1/17)*1000))*1,(s_TR/(s_RadSpec!G23*s_EF_cw*s_ED_con*s_ET_cw_o*(1/24)*s_IRA_cw*(1/s_PEF__sc)*1000))*1),".")</f>
        <v>242.2971558726656</v>
      </c>
      <c r="P23" s="48">
        <f>IFERROR((s_TR/(s_RadSpec!F23*s_EF_cw*(1/365)*s_ED_con*s_RadSpec!Q23*s_ET_cw_o*(1/24)*s_RadSpec!V23))*1,".")</f>
        <v>10273.033114582182</v>
      </c>
      <c r="Q23" s="48">
        <f t="shared" si="10"/>
        <v>183.84377838533652</v>
      </c>
      <c r="R23" s="69">
        <f t="shared" si="4"/>
        <v>229164.375</v>
      </c>
      <c r="S23" s="69">
        <f t="shared" si="5"/>
        <v>8143.0753743733067</v>
      </c>
      <c r="T23" s="69">
        <f>s_C*s_EF_cw*(1/365)*s_ED_con*(s_ET_cw_i+s_ET_cw_o)*(1/24)*s_RadSpec!V23*s_RadSpec!Q23*1</f>
        <v>216.42379063799754</v>
      </c>
      <c r="U23" s="11"/>
      <c r="V23" s="11"/>
      <c r="W23" s="11"/>
      <c r="X23" s="11"/>
      <c r="Y23" s="48">
        <f>IFERROR((s_TR/(s_RadSpec!F23*s_EF_cw*(1/365)*s_ED_con*s_RadSpec!Q23*s_ET_cw_o*(1/24)*s_RadSpec!V23))*1,".")</f>
        <v>10273.033114582182</v>
      </c>
      <c r="Z23" s="48">
        <f>IFERROR((s_TR/(s_RadSpec!M23*s_EF_cw*(1/365)*s_ED_con*s_RadSpec!R23*s_ET_cw_o*(1/24)*s_RadSpec!W23))*1,".")</f>
        <v>72146.849797887524</v>
      </c>
      <c r="AA23" s="48">
        <f>IFERROR((s_TR/(s_RadSpec!N23*s_EF_cw*(1/365)*s_ED_con*s_RadSpec!S23*s_ET_cw_o*(1/24)*s_RadSpec!X23))*1,".")</f>
        <v>18659.169412676827</v>
      </c>
      <c r="AB23" s="48">
        <f>IFERROR((s_TR/(s_RadSpec!O23*s_EF_cw*(1/365)*s_ED_con*s_RadSpec!T23*s_ET_cw_o*(1/24)*s_RadSpec!Y23))*1,".")</f>
        <v>10886.784961444046</v>
      </c>
      <c r="AC23" s="48">
        <f>IFERROR((s_TR/(s_RadSpec!K23*s_EF_cw*(1/365)*s_ED_con*s_RadSpec!P23*s_ET_cw_o*(1/24)*s_RadSpec!U23))*1,".")</f>
        <v>115141.28580539224</v>
      </c>
      <c r="AD23" s="69">
        <f>s_C*s_EF_cw*(1/365)*s_ED_con*(s_ET_cw_i+s_ET_cw_o)*(1/24)*s_RadSpec!V23*s_RadSpec!Q23*1</f>
        <v>216.42379063799754</v>
      </c>
      <c r="AE23" s="69">
        <f>s_C*s_EF_cw*(1/365)*s_ED_con*(s_ET_cw_i+s_ET_cw_o)*(1/24)*s_RadSpec!W23*s_RadSpec!R23*1</f>
        <v>121.5851141899487</v>
      </c>
      <c r="AF23" s="69">
        <f>s_C*s_EF_cw*(1/365)*s_ED_con*(s_ET_cw_i+s_ET_cw_o)*(1/24)*s_RadSpec!X23*s_RadSpec!S23*1</f>
        <v>171.94280285446524</v>
      </c>
      <c r="AG23" s="69">
        <f>s_C*s_EF_cw*(1/365)*s_ED_con*(s_ET_cw_i+s_ET_cw_o)*(1/24)*s_RadSpec!Y23*s_RadSpec!T23*1</f>
        <v>210.11375349115573</v>
      </c>
      <c r="AH23" s="69">
        <f>s_C*s_EF_cw*(1/365)*s_ED_con*(s_ET_cw_i+s_ET_cw_o)*(1/24)*s_RadSpec!U23*s_RadSpec!P23*1</f>
        <v>77.23828173207454</v>
      </c>
      <c r="AI23" s="11"/>
      <c r="AJ23" s="11"/>
      <c r="AK23" s="11"/>
      <c r="AL23" s="11"/>
      <c r="AM23" s="11"/>
      <c r="AN23" s="48">
        <f>IFERROR(s_TR/(s_RadSpec!G23*s_EF_cw*s_ED_con*s_ET_cw_o*(1/24)*s_IRA_cw),".")</f>
        <v>7.5765647381941734E-2</v>
      </c>
      <c r="AO23" s="48">
        <f>IFERROR(s_TR/(s_RadSpec!J23*s_EF_cw*(1/365)*s_ED_con*s_ET_cw_o*(1/24)*s_GSF_a),".")</f>
        <v>409965.51358867763</v>
      </c>
      <c r="AP23" s="48">
        <f t="shared" si="11"/>
        <v>7.5765633379709665E-2</v>
      </c>
      <c r="AQ23" s="69">
        <f t="shared" si="7"/>
        <v>26041406.25</v>
      </c>
      <c r="AR23" s="69">
        <f t="shared" si="8"/>
        <v>4756.4212328767117</v>
      </c>
      <c r="AS23" s="10"/>
      <c r="AT23" s="10"/>
      <c r="AU23" s="10"/>
    </row>
    <row r="24" spans="1:47" x14ac:dyDescent="0.25">
      <c r="A24" s="49" t="s">
        <v>34</v>
      </c>
      <c r="B24" s="50" t="s">
        <v>289</v>
      </c>
      <c r="C24" s="48" t="str">
        <f>IFERROR((s_TR/(s_RadSpec!I24*s_EF_cw*s_ED_con*s_IRS_cw*(1/1000)))*1,".")</f>
        <v>.</v>
      </c>
      <c r="D24" s="48" t="str">
        <f>IFERROR(IF(A24="H-3",(s_TR/(s_RadSpec!G24*s_EF_cw*s_ED_con*s_ET_cw_o*(1/24)*s_IRA_cw*(1/17)*1000))*1,(s_TR/(s_RadSpec!G24*s_EF_cw*s_ED_con*s_ET_cw_o*(1/24)*s_IRA_cw*(1/s_PEFsc)*1000))*1),".")</f>
        <v>.</v>
      </c>
      <c r="E24" s="48">
        <f>IFERROR((s_TR/(s_RadSpec!F24*s_EF_cw*(1/365)*s_ED_con*s_RadSpec!Q24*s_ET_cw_o*(1/24)*s_RadSpec!V24))*1,".")</f>
        <v>99378.132455857791</v>
      </c>
      <c r="F24" s="48">
        <f t="shared" si="9"/>
        <v>99378.132455857791</v>
      </c>
      <c r="G24" s="69">
        <f t="shared" si="1"/>
        <v>229164.375</v>
      </c>
      <c r="H24" s="69">
        <f t="shared" si="2"/>
        <v>51215.031719100385</v>
      </c>
      <c r="I24" s="69">
        <f>s_C*s_EF_cw*(1/365)*s_ED_con*(s_ET_cw_i+s_ET_cw_o)*(1/24)*s_RadSpec!V24*s_RadSpec!Q24*1</f>
        <v>165.09298949644133</v>
      </c>
      <c r="J24" s="4"/>
      <c r="K24" s="4"/>
      <c r="L24" s="4"/>
      <c r="M24" s="4"/>
      <c r="N24" s="48" t="str">
        <f>IFERROR((s_TR/(s_RadSpec!I24*s_EF_cw*s_ED_con*s_IRS_cw*(1/1000)))*1,".")</f>
        <v>.</v>
      </c>
      <c r="O24" s="48" t="str">
        <f>IFERROR(IF(A24="H-3",(s_TR/(s_RadSpec!G24*s_EF_cw*s_ED_con*s_ET_cw_o*(1/24)*s_IRA_cw*(1/17)*1000))*1,(s_TR/(s_RadSpec!G24*s_EF_cw*s_ED_con*s_ET_cw_o*(1/24)*s_IRA_cw*(1/s_PEF__sc)*1000))*1),".")</f>
        <v>.</v>
      </c>
      <c r="P24" s="48">
        <f>IFERROR((s_TR/(s_RadSpec!F24*s_EF_cw*(1/365)*s_ED_con*s_RadSpec!Q24*s_ET_cw_o*(1/24)*s_RadSpec!V24))*1,".")</f>
        <v>99378.132455857791</v>
      </c>
      <c r="Q24" s="48">
        <f t="shared" si="10"/>
        <v>99378.132455857791</v>
      </c>
      <c r="R24" s="69">
        <f t="shared" si="4"/>
        <v>229164.375</v>
      </c>
      <c r="S24" s="69">
        <f t="shared" si="5"/>
        <v>8143.0753743733067</v>
      </c>
      <c r="T24" s="69">
        <f>s_C*s_EF_cw*(1/365)*s_ED_con*(s_ET_cw_i+s_ET_cw_o)*(1/24)*s_RadSpec!V24*s_RadSpec!Q24*1</f>
        <v>165.09298949644133</v>
      </c>
      <c r="U24" s="11"/>
      <c r="V24" s="11"/>
      <c r="W24" s="11"/>
      <c r="X24" s="11"/>
      <c r="Y24" s="48">
        <f>IFERROR((s_TR/(s_RadSpec!F24*s_EF_cw*(1/365)*s_ED_con*s_RadSpec!Q24*s_ET_cw_o*(1/24)*s_RadSpec!V24))*1,".")</f>
        <v>99378.132455857791</v>
      </c>
      <c r="Z24" s="48">
        <f>IFERROR((s_TR/(s_RadSpec!M24*s_EF_cw*(1/365)*s_ED_con*s_RadSpec!R24*s_ET_cw_o*(1/24)*s_RadSpec!W24))*1,".")</f>
        <v>875510.58868336107</v>
      </c>
      <c r="AA24" s="48">
        <f>IFERROR((s_TR/(s_RadSpec!N24*s_EF_cw*(1/365)*s_ED_con*s_RadSpec!S24*s_ET_cw_o*(1/24)*s_RadSpec!X24))*1,".")</f>
        <v>219596.48515204436</v>
      </c>
      <c r="AB24" s="48">
        <f>IFERROR((s_TR/(s_RadSpec!O24*s_EF_cw*(1/365)*s_ED_con*s_RadSpec!T24*s_ET_cw_o*(1/24)*s_RadSpec!Y24))*1,".")</f>
        <v>118489.94967619494</v>
      </c>
      <c r="AC24" s="48">
        <f>IFERROR((s_TR/(s_RadSpec!K24*s_EF_cw*(1/365)*s_ED_con*s_RadSpec!P24*s_ET_cw_o*(1/24)*s_RadSpec!U24))*1,".")</f>
        <v>1489547.2904332171</v>
      </c>
      <c r="AD24" s="69">
        <f>s_C*s_EF_cw*(1/365)*s_ED_con*(s_ET_cw_i+s_ET_cw_o)*(1/24)*s_RadSpec!V24*s_RadSpec!Q24*1</f>
        <v>165.09298949644133</v>
      </c>
      <c r="AE24" s="69">
        <f>s_C*s_EF_cw*(1/365)*s_ED_con*(s_ET_cw_i+s_ET_cw_o)*(1/24)*s_RadSpec!W24*s_RadSpec!R24*1</f>
        <v>91.059915586437199</v>
      </c>
      <c r="AF24" s="69">
        <f>s_C*s_EF_cw*(1/365)*s_ED_con*(s_ET_cw_i+s_ET_cw_o)*(1/24)*s_RadSpec!X24*s_RadSpec!S24*1</f>
        <v>128.96824633995499</v>
      </c>
      <c r="AG24" s="69">
        <f>s_C*s_EF_cw*(1/365)*s_ED_con*(s_ET_cw_i+s_ET_cw_o)*(1/24)*s_RadSpec!Y24*s_RadSpec!T24*1</f>
        <v>154.44099743150682</v>
      </c>
      <c r="AH24" s="69">
        <f>s_C*s_EF_cw*(1/365)*s_ED_con*(s_ET_cw_i+s_ET_cw_o)*(1/24)*s_RadSpec!U24*s_RadSpec!P24*1</f>
        <v>54.789155973643155</v>
      </c>
      <c r="AI24" s="11"/>
      <c r="AJ24" s="11"/>
      <c r="AK24" s="11"/>
      <c r="AL24" s="11"/>
      <c r="AM24" s="11"/>
      <c r="AN24" s="48" t="str">
        <f>IFERROR(s_TR/(s_RadSpec!G24*s_EF_cw*s_ED_con*s_ET_cw_o*(1/24)*s_IRA_cw),".")</f>
        <v>.</v>
      </c>
      <c r="AO24" s="48">
        <f>IFERROR(s_TR/(s_RadSpec!J24*s_EF_cw*(1/365)*s_ED_con*s_ET_cw_o*(1/24)*s_GSF_a),".")</f>
        <v>3664160.6342724301</v>
      </c>
      <c r="AP24" s="48">
        <f t="shared" si="11"/>
        <v>3664160.6342724306</v>
      </c>
      <c r="AQ24" s="69">
        <f t="shared" si="7"/>
        <v>26041406.25</v>
      </c>
      <c r="AR24" s="69">
        <f t="shared" si="8"/>
        <v>4756.4212328767117</v>
      </c>
      <c r="AS24" s="10"/>
      <c r="AT24" s="10"/>
      <c r="AU24" s="10"/>
    </row>
    <row r="25" spans="1:47" x14ac:dyDescent="0.25">
      <c r="A25" s="51" t="s">
        <v>35</v>
      </c>
      <c r="B25" s="50" t="s">
        <v>275</v>
      </c>
      <c r="C25" s="48" t="str">
        <f>IFERROR((s_TR/(s_RadSpec!I25*s_EF_cw*s_ED_con*s_IRS_cw*(1/1000)))*1,".")</f>
        <v>.</v>
      </c>
      <c r="D25" s="48">
        <f>IFERROR(IF(A25="H-3",(s_TR/(s_RadSpec!G25*s_EF_cw*s_ED_con*s_ET_cw_o*(1/24)*s_IRA_cw*(1/17)*1000))*1,(s_TR/(s_RadSpec!G25*s_EF_cw*s_ED_con*s_ET_cw_o*(1/24)*s_IRA_cw*(1/s_PEFsc)*1000))*1),".")</f>
        <v>475763.21349983994</v>
      </c>
      <c r="E25" s="48">
        <f>IFERROR((s_TR/(s_RadSpec!F25*s_EF_cw*(1/365)*s_ED_con*s_RadSpec!Q25*s_ET_cw_o*(1/24)*s_RadSpec!V25))*1,".")</f>
        <v>221645.94447447688</v>
      </c>
      <c r="F25" s="48">
        <f t="shared" si="9"/>
        <v>151203.90318457448</v>
      </c>
      <c r="G25" s="69">
        <f t="shared" si="1"/>
        <v>229164.375</v>
      </c>
      <c r="H25" s="69">
        <f t="shared" si="2"/>
        <v>51215.031719100385</v>
      </c>
      <c r="I25" s="69">
        <f>s_C*s_EF_cw*(1/365)*s_ED_con*(s_ET_cw_i+s_ET_cw_o)*(1/24)*s_RadSpec!V25*s_RadSpec!Q25*1</f>
        <v>148.04361087328763</v>
      </c>
      <c r="J25" s="4"/>
      <c r="K25" s="4"/>
      <c r="L25" s="4"/>
      <c r="M25" s="4"/>
      <c r="N25" s="48" t="str">
        <f>IFERROR((s_TR/(s_RadSpec!I25*s_EF_cw*s_ED_con*s_IRS_cw*(1/1000)))*1,".")</f>
        <v>.</v>
      </c>
      <c r="O25" s="48">
        <f>IFERROR(IF(A25="H-3",(s_TR/(s_RadSpec!G25*s_EF_cw*s_ED_con*s_ET_cw_o*(1/24)*s_IRA_cw*(1/17)*1000))*1,(s_TR/(s_RadSpec!G25*s_EF_cw*s_ED_con*s_ET_cw_o*(1/24)*s_IRA_cw*(1/s_PEF__sc)*1000))*1),".")</f>
        <v>2992263.604345019</v>
      </c>
      <c r="P25" s="48">
        <f>IFERROR((s_TR/(s_RadSpec!F25*s_EF_cw*(1/365)*s_ED_con*s_RadSpec!Q25*s_ET_cw_o*(1/24)*s_RadSpec!V25))*1,".")</f>
        <v>221645.94447447688</v>
      </c>
      <c r="Q25" s="48">
        <f t="shared" si="10"/>
        <v>206360.22346841192</v>
      </c>
      <c r="R25" s="69">
        <f t="shared" si="4"/>
        <v>229164.375</v>
      </c>
      <c r="S25" s="69">
        <f t="shared" si="5"/>
        <v>8143.0753743733067</v>
      </c>
      <c r="T25" s="69">
        <f>s_C*s_EF_cw*(1/365)*s_ED_con*(s_ET_cw_i+s_ET_cw_o)*(1/24)*s_RadSpec!V25*s_RadSpec!Q25*1</f>
        <v>148.04361087328763</v>
      </c>
      <c r="U25" s="11"/>
      <c r="V25" s="11"/>
      <c r="W25" s="11"/>
      <c r="X25" s="11"/>
      <c r="Y25" s="48">
        <f>IFERROR((s_TR/(s_RadSpec!F25*s_EF_cw*(1/365)*s_ED_con*s_RadSpec!Q25*s_ET_cw_o*(1/24)*s_RadSpec!V25))*1,".")</f>
        <v>221645.94447447688</v>
      </c>
      <c r="Z25" s="48">
        <f>IFERROR((s_TR/(s_RadSpec!M25*s_EF_cw*(1/365)*s_ED_con*s_RadSpec!R25*s_ET_cw_o*(1/24)*s_RadSpec!W25))*1,".")</f>
        <v>1883300.8629935577</v>
      </c>
      <c r="AA25" s="48">
        <f>IFERROR((s_TR/(s_RadSpec!N25*s_EF_cw*(1/365)*s_ED_con*s_RadSpec!S25*s_ET_cw_o*(1/24)*s_RadSpec!X25))*1,".")</f>
        <v>478705.50384824676</v>
      </c>
      <c r="AB25" s="48">
        <f>IFERROR((s_TR/(s_RadSpec!O25*s_EF_cw*(1/365)*s_ED_con*s_RadSpec!T25*s_ET_cw_o*(1/24)*s_RadSpec!Y25))*1,".")</f>
        <v>279281.68368054886</v>
      </c>
      <c r="AC25" s="48">
        <f>IFERROR((s_TR/(s_RadSpec!K25*s_EF_cw*(1/365)*s_ED_con*s_RadSpec!P25*s_ET_cw_o*(1/24)*s_RadSpec!U25))*1,".")</f>
        <v>3439580.5937368032</v>
      </c>
      <c r="AD25" s="69">
        <f>s_C*s_EF_cw*(1/365)*s_ED_con*(s_ET_cw_i+s_ET_cw_o)*(1/24)*s_RadSpec!V25*s_RadSpec!Q25*1</f>
        <v>148.04361087328763</v>
      </c>
      <c r="AE25" s="69">
        <f>s_C*s_EF_cw*(1/365)*s_ED_con*(s_ET_cw_i+s_ET_cw_o)*(1/24)*s_RadSpec!W25*s_RadSpec!R25*1</f>
        <v>82.669327638295101</v>
      </c>
      <c r="AF25" s="69">
        <f>s_C*s_EF_cw*(1/365)*s_ED_con*(s_ET_cw_i+s_ET_cw_o)*(1/24)*s_RadSpec!X25*s_RadSpec!S25*1</f>
        <v>115.24982966363045</v>
      </c>
      <c r="AG25" s="69">
        <f>s_C*s_EF_cw*(1/365)*s_ED_con*(s_ET_cw_i+s_ET_cw_o)*(1/24)*s_RadSpec!Y25*s_RadSpec!T25*1</f>
        <v>129.06279784020418</v>
      </c>
      <c r="AH25" s="69">
        <f>s_C*s_EF_cw*(1/365)*s_ED_con*(s_ET_cw_i+s_ET_cw_o)*(1/24)*s_RadSpec!U25*s_RadSpec!P25*1</f>
        <v>46.109532193158948</v>
      </c>
      <c r="AI25" s="11"/>
      <c r="AJ25" s="11"/>
      <c r="AK25" s="11"/>
      <c r="AL25" s="11"/>
      <c r="AM25" s="11"/>
      <c r="AN25" s="48">
        <f>IFERROR(s_TR/(s_RadSpec!G25*s_EF_cw*s_ED_con*s_ET_cw_o*(1/24)*s_IRA_cw),".")</f>
        <v>935.67251461988292</v>
      </c>
      <c r="AO25" s="48">
        <f>IFERROR(s_TR/(s_RadSpec!J25*s_EF_cw*(1/365)*s_ED_con*s_ET_cw_o*(1/24)*s_GSF_a),".")</f>
        <v>7196516.9291825416</v>
      </c>
      <c r="AP25" s="48">
        <f t="shared" si="11"/>
        <v>935.5508767150485</v>
      </c>
      <c r="AQ25" s="69">
        <f t="shared" si="7"/>
        <v>26041406.25</v>
      </c>
      <c r="AR25" s="69">
        <f t="shared" si="8"/>
        <v>4756.4212328767117</v>
      </c>
      <c r="AS25" s="10"/>
      <c r="AT25" s="10"/>
      <c r="AU25" s="10"/>
    </row>
    <row r="26" spans="1:47" x14ac:dyDescent="0.25">
      <c r="A26" s="49" t="s">
        <v>36</v>
      </c>
      <c r="B26" s="50" t="s">
        <v>289</v>
      </c>
      <c r="C26" s="48">
        <f>IFERROR((s_TR/(s_RadSpec!I26*s_EF_cw*s_ED_con*s_IRS_cw*(1/1000)))*1,".")</f>
        <v>1231.5801789486</v>
      </c>
      <c r="D26" s="48">
        <f>IFERROR(IF(A26="H-3",(s_TR/(s_RadSpec!G26*s_EF_cw*s_ED_con*s_ET_cw_o*(1/24)*s_IRA_cw*(1/17)*1000))*1,(s_TR/(s_RadSpec!G26*s_EF_cw*s_ED_con*s_ET_cw_o*(1/24)*s_IRA_cw*(1/s_PEFsc)*1000))*1),".")</f>
        <v>6.2112925262232892</v>
      </c>
      <c r="E26" s="48">
        <f>IFERROR((s_TR/(s_RadSpec!F26*s_EF_cw*(1/365)*s_ED_con*s_RadSpec!Q26*s_ET_cw_o*(1/24)*s_RadSpec!V26))*1,".")</f>
        <v>9126.3227107343409</v>
      </c>
      <c r="F26" s="48">
        <f t="shared" si="9"/>
        <v>6.1759417870111513</v>
      </c>
      <c r="G26" s="69">
        <f t="shared" si="1"/>
        <v>229164.375</v>
      </c>
      <c r="H26" s="69">
        <f t="shared" si="2"/>
        <v>51215.031719100385</v>
      </c>
      <c r="I26" s="69">
        <f>s_C*s_EF_cw*(1/365)*s_ED_con*(s_ET_cw_i+s_ET_cw_o)*(1/24)*s_RadSpec!V26*s_RadSpec!Q26*1</f>
        <v>27.153161989626287</v>
      </c>
      <c r="J26" s="4"/>
      <c r="K26" s="4"/>
      <c r="L26" s="4"/>
      <c r="M26" s="4"/>
      <c r="N26" s="48">
        <f>IFERROR((s_TR/(s_RadSpec!I26*s_EF_cw*s_ED_con*s_IRS_cw*(1/1000)))*1,".")</f>
        <v>1231.5801789486</v>
      </c>
      <c r="O26" s="48">
        <f>IFERROR(IF(A26="H-3",(s_TR/(s_RadSpec!G26*s_EF_cw*s_ED_con*s_ET_cw_o*(1/24)*s_IRA_cw*(1/17)*1000))*1,(s_TR/(s_RadSpec!G26*s_EF_cw*s_ED_con*s_ET_cw_o*(1/24)*s_IRA_cw*(1/s_PEF__sc)*1000))*1),".")</f>
        <v>39.06528297014799</v>
      </c>
      <c r="P26" s="48">
        <f>IFERROR((s_TR/(s_RadSpec!F26*s_EF_cw*(1/365)*s_ED_con*s_RadSpec!Q26*s_ET_cw_o*(1/24)*s_RadSpec!V26))*1,".")</f>
        <v>9126.3227107343409</v>
      </c>
      <c r="Q26" s="48">
        <f t="shared" si="10"/>
        <v>37.707796674838811</v>
      </c>
      <c r="R26" s="69">
        <f t="shared" si="4"/>
        <v>229164.375</v>
      </c>
      <c r="S26" s="69">
        <f t="shared" si="5"/>
        <v>8143.0753743733067</v>
      </c>
      <c r="T26" s="69">
        <f>s_C*s_EF_cw*(1/365)*s_ED_con*(s_ET_cw_i+s_ET_cw_o)*(1/24)*s_RadSpec!V26*s_RadSpec!Q26*1</f>
        <v>27.153161989626287</v>
      </c>
      <c r="U26" s="11"/>
      <c r="V26" s="11"/>
      <c r="W26" s="11"/>
      <c r="X26" s="11"/>
      <c r="Y26" s="48">
        <f>IFERROR((s_TR/(s_RadSpec!F26*s_EF_cw*(1/365)*s_ED_con*s_RadSpec!Q26*s_ET_cw_o*(1/24)*s_RadSpec!V26))*1,".")</f>
        <v>9126.3227107343409</v>
      </c>
      <c r="Z26" s="48">
        <f>IFERROR((s_TR/(s_RadSpec!M26*s_EF_cw*(1/365)*s_ED_con*s_RadSpec!R26*s_ET_cw_o*(1/24)*s_RadSpec!W26))*1,".")</f>
        <v>55234.506659924526</v>
      </c>
      <c r="AA26" s="48">
        <f>IFERROR((s_TR/(s_RadSpec!N26*s_EF_cw*(1/365)*s_ED_con*s_RadSpec!S26*s_ET_cw_o*(1/24)*s_RadSpec!X26))*1,".")</f>
        <v>15826.89299709208</v>
      </c>
      <c r="AB26" s="48">
        <f>IFERROR((s_TR/(s_RadSpec!O26*s_EF_cw*(1/365)*s_ED_con*s_RadSpec!T26*s_ET_cw_o*(1/24)*s_RadSpec!Y26))*1,".")</f>
        <v>10409.985553182349</v>
      </c>
      <c r="AC26" s="48">
        <f>IFERROR((s_TR/(s_RadSpec!K26*s_EF_cw*(1/365)*s_ED_con*s_RadSpec!P26*s_ET_cw_o*(1/24)*s_RadSpec!U26))*1,".")</f>
        <v>307698.89507167257</v>
      </c>
      <c r="AD26" s="69">
        <f>s_C*s_EF_cw*(1/365)*s_ED_con*(s_ET_cw_i+s_ET_cw_o)*(1/24)*s_RadSpec!V26*s_RadSpec!Q26*1</f>
        <v>27.153161989626287</v>
      </c>
      <c r="AE26" s="69">
        <f>s_C*s_EF_cw*(1/365)*s_ED_con*(s_ET_cw_i+s_ET_cw_o)*(1/24)*s_RadSpec!W26*s_RadSpec!R26*1</f>
        <v>14.872309962084143</v>
      </c>
      <c r="AF26" s="69">
        <f>s_C*s_EF_cw*(1/365)*s_ED_con*(s_ET_cw_i+s_ET_cw_o)*(1/24)*s_RadSpec!X26*s_RadSpec!S26*1</f>
        <v>20.576503511989426</v>
      </c>
      <c r="AG26" s="69">
        <f>s_C*s_EF_cw*(1/365)*s_ED_con*(s_ET_cw_i+s_ET_cw_o)*(1/24)*s_RadSpec!Y26*s_RadSpec!T26*1</f>
        <v>24.055463706502923</v>
      </c>
      <c r="AH26" s="69">
        <f>s_C*s_EF_cw*(1/365)*s_ED_con*(s_ET_cw_i+s_ET_cw_o)*(1/24)*s_RadSpec!U26*s_RadSpec!P26*1</f>
        <v>2.5516370521601672</v>
      </c>
      <c r="AI26" s="11"/>
      <c r="AJ26" s="11"/>
      <c r="AK26" s="11"/>
      <c r="AL26" s="11"/>
      <c r="AM26" s="11"/>
      <c r="AN26" s="48">
        <f>IFERROR(s_TR/(s_RadSpec!G26*s_EF_cw*s_ED_con*s_ET_cw_o*(1/24)*s_IRA_cw),".")</f>
        <v>1.221560543594442E-2</v>
      </c>
      <c r="AO26" s="48">
        <f>IFERROR(s_TR/(s_RadSpec!J26*s_EF_cw*(1/365)*s_ED_con*s_ET_cw_o*(1/24)*s_GSF_a),".")</f>
        <v>38922.795842660431</v>
      </c>
      <c r="AP26" s="48">
        <f t="shared" si="11"/>
        <v>1.2215601602176414E-2</v>
      </c>
      <c r="AQ26" s="69">
        <f t="shared" si="7"/>
        <v>26041406.25</v>
      </c>
      <c r="AR26" s="69">
        <f t="shared" si="8"/>
        <v>4756.4212328767117</v>
      </c>
      <c r="AS26" s="10"/>
      <c r="AT26" s="10"/>
      <c r="AU26" s="10"/>
    </row>
    <row r="27" spans="1:47" x14ac:dyDescent="0.25">
      <c r="A27" s="49" t="s">
        <v>37</v>
      </c>
      <c r="B27" s="50" t="s">
        <v>289</v>
      </c>
      <c r="C27" s="48" t="str">
        <f>IFERROR((s_TR/(s_RadSpec!I27*s_EF_cw*s_ED_con*s_IRS_cw*(1/1000)))*1,".")</f>
        <v>.</v>
      </c>
      <c r="D27" s="48" t="str">
        <f>IFERROR(IF(A27="H-3",(s_TR/(s_RadSpec!G27*s_EF_cw*s_ED_con*s_ET_cw_o*(1/24)*s_IRA_cw*(1/17)*1000))*1,(s_TR/(s_RadSpec!G27*s_EF_cw*s_ED_con*s_ET_cw_o*(1/24)*s_IRA_cw*(1/s_PEFsc)*1000))*1),".")</f>
        <v>.</v>
      </c>
      <c r="E27" s="48">
        <f>IFERROR((s_TR/(s_RadSpec!F27*s_EF_cw*(1/365)*s_ED_con*s_RadSpec!Q27*s_ET_cw_o*(1/24)*s_RadSpec!V27))*1,".")</f>
        <v>70590.957212963069</v>
      </c>
      <c r="F27" s="48">
        <f t="shared" si="9"/>
        <v>70590.957212963069</v>
      </c>
      <c r="G27" s="69">
        <f t="shared" si="1"/>
        <v>229164.375</v>
      </c>
      <c r="H27" s="69">
        <f t="shared" si="2"/>
        <v>51215.031719100385</v>
      </c>
      <c r="I27" s="69">
        <f>s_C*s_EF_cw*(1/365)*s_ED_con*(s_ET_cw_i+s_ET_cw_o)*(1/24)*s_RadSpec!V27*s_RadSpec!Q27*1</f>
        <v>128.87441323216808</v>
      </c>
      <c r="J27" s="4"/>
      <c r="K27" s="4"/>
      <c r="L27" s="4"/>
      <c r="M27" s="4"/>
      <c r="N27" s="48" t="str">
        <f>IFERROR((s_TR/(s_RadSpec!I27*s_EF_cw*s_ED_con*s_IRS_cw*(1/1000)))*1,".")</f>
        <v>.</v>
      </c>
      <c r="O27" s="48" t="str">
        <f>IFERROR(IF(A27="H-3",(s_TR/(s_RadSpec!G27*s_EF_cw*s_ED_con*s_ET_cw_o*(1/24)*s_IRA_cw*(1/17)*1000))*1,(s_TR/(s_RadSpec!G27*s_EF_cw*s_ED_con*s_ET_cw_o*(1/24)*s_IRA_cw*(1/s_PEF__sc)*1000))*1),".")</f>
        <v>.</v>
      </c>
      <c r="P27" s="48">
        <f>IFERROR((s_TR/(s_RadSpec!F27*s_EF_cw*(1/365)*s_ED_con*s_RadSpec!Q27*s_ET_cw_o*(1/24)*s_RadSpec!V27))*1,".")</f>
        <v>70590.957212963069</v>
      </c>
      <c r="Q27" s="48">
        <f t="shared" si="10"/>
        <v>70590.957212963069</v>
      </c>
      <c r="R27" s="69">
        <f t="shared" si="4"/>
        <v>229164.375</v>
      </c>
      <c r="S27" s="69">
        <f t="shared" si="5"/>
        <v>8143.0753743733067</v>
      </c>
      <c r="T27" s="69">
        <f>s_C*s_EF_cw*(1/365)*s_ED_con*(s_ET_cw_i+s_ET_cw_o)*(1/24)*s_RadSpec!V27*s_RadSpec!Q27*1</f>
        <v>128.87441323216808</v>
      </c>
      <c r="U27" s="11"/>
      <c r="V27" s="11"/>
      <c r="W27" s="11"/>
      <c r="X27" s="11"/>
      <c r="Y27" s="48">
        <f>IFERROR((s_TR/(s_RadSpec!F27*s_EF_cw*(1/365)*s_ED_con*s_RadSpec!Q27*s_ET_cw_o*(1/24)*s_RadSpec!V27))*1,".")</f>
        <v>70590.957212963069</v>
      </c>
      <c r="Z27" s="48">
        <f>IFERROR((s_TR/(s_RadSpec!M27*s_EF_cw*(1/365)*s_ED_con*s_RadSpec!R27*s_ET_cw_o*(1/24)*s_RadSpec!W27))*1,".")</f>
        <v>616600.57330644189</v>
      </c>
      <c r="AA27" s="48">
        <f>IFERROR((s_TR/(s_RadSpec!N27*s_EF_cw*(1/365)*s_ED_con*s_RadSpec!S27*s_ET_cw_o*(1/24)*s_RadSpec!X27))*1,".")</f>
        <v>177798.72649146573</v>
      </c>
      <c r="AB27" s="48">
        <f>IFERROR((s_TR/(s_RadSpec!O27*s_EF_cw*(1/365)*s_ED_con*s_RadSpec!T27*s_ET_cw_o*(1/24)*s_RadSpec!Y27))*1,".")</f>
        <v>97289.696623099953</v>
      </c>
      <c r="AC27" s="48">
        <f>IFERROR((s_TR/(s_RadSpec!K27*s_EF_cw*(1/365)*s_ED_con*s_RadSpec!P27*s_ET_cw_o*(1/24)*s_RadSpec!U27))*1,".")</f>
        <v>466675.64024441876</v>
      </c>
      <c r="AD27" s="69">
        <f>s_C*s_EF_cw*(1/365)*s_ED_con*(s_ET_cw_i+s_ET_cw_o)*(1/24)*s_RadSpec!V27*s_RadSpec!Q27*1</f>
        <v>128.87441323216808</v>
      </c>
      <c r="AE27" s="69">
        <f>s_C*s_EF_cw*(1/365)*s_ED_con*(s_ET_cw_i+s_ET_cw_o)*(1/24)*s_RadSpec!W27*s_RadSpec!R27*1</f>
        <v>43.448078569546865</v>
      </c>
      <c r="AF27" s="69">
        <f>s_C*s_EF_cw*(1/365)*s_ED_con*(s_ET_cw_i+s_ET_cw_o)*(1/24)*s_RadSpec!X27*s_RadSpec!S27*1</f>
        <v>70.86908559353094</v>
      </c>
      <c r="AG27" s="69">
        <f>s_C*s_EF_cw*(1/365)*s_ED_con*(s_ET_cw_i+s_ET_cw_o)*(1/24)*s_RadSpec!Y27*s_RadSpec!T27*1</f>
        <v>97.41972392254128</v>
      </c>
      <c r="AH27" s="69">
        <f>s_C*s_EF_cw*(1/365)*s_ED_con*(s_ET_cw_i+s_ET_cw_o)*(1/24)*s_RadSpec!U27*s_RadSpec!P27*1</f>
        <v>13.890128672821117</v>
      </c>
      <c r="AI27" s="11"/>
      <c r="AJ27" s="11"/>
      <c r="AK27" s="11"/>
      <c r="AL27" s="11"/>
      <c r="AM27" s="11"/>
      <c r="AN27" s="48" t="str">
        <f>IFERROR(s_TR/(s_RadSpec!G27*s_EF_cw*s_ED_con*s_ET_cw_o*(1/24)*s_IRA_cw),".")</f>
        <v>.</v>
      </c>
      <c r="AO27" s="48">
        <f>IFERROR(s_TR/(s_RadSpec!J27*s_EF_cw*(1/365)*s_ED_con*s_ET_cw_o*(1/24)*s_GSF_a),".")</f>
        <v>1242628.3890141284</v>
      </c>
      <c r="AP27" s="48">
        <f t="shared" si="11"/>
        <v>1242628.3890141284</v>
      </c>
      <c r="AQ27" s="69">
        <f t="shared" si="7"/>
        <v>26041406.25</v>
      </c>
      <c r="AR27" s="69">
        <f t="shared" si="8"/>
        <v>4756.4212328767117</v>
      </c>
      <c r="AS27" s="10"/>
      <c r="AT27" s="10"/>
      <c r="AU27" s="10"/>
    </row>
    <row r="28" spans="1:47" x14ac:dyDescent="0.25">
      <c r="A28" s="49" t="s">
        <v>38</v>
      </c>
      <c r="B28" s="50" t="s">
        <v>289</v>
      </c>
      <c r="C28" s="48" t="str">
        <f>IFERROR((s_TR/(s_RadSpec!I28*s_EF_cw*s_ED_con*s_IRS_cw*(1/1000)))*1,".")</f>
        <v>.</v>
      </c>
      <c r="D28" s="48" t="str">
        <f>IFERROR(IF(A28="H-3",(s_TR/(s_RadSpec!G28*s_EF_cw*s_ED_con*s_ET_cw_o*(1/24)*s_IRA_cw*(1/17)*1000))*1,(s_TR/(s_RadSpec!G28*s_EF_cw*s_ED_con*s_ET_cw_o*(1/24)*s_IRA_cw*(1/s_PEFsc)*1000))*1),".")</f>
        <v>.</v>
      </c>
      <c r="E28" s="48">
        <f>IFERROR((s_TR/(s_RadSpec!F28*s_EF_cw*(1/365)*s_ED_con*s_RadSpec!Q28*s_ET_cw_o*(1/24)*s_RadSpec!V28))*1,".")</f>
        <v>18.480794045527716</v>
      </c>
      <c r="F28" s="48">
        <f t="shared" si="9"/>
        <v>18.480794045527716</v>
      </c>
      <c r="G28" s="69">
        <f t="shared" si="1"/>
        <v>229164.375</v>
      </c>
      <c r="H28" s="69">
        <f t="shared" si="2"/>
        <v>51215.031719100385</v>
      </c>
      <c r="I28" s="69">
        <f>s_C*s_EF_cw*(1/365)*s_ED_con*(s_ET_cw_i+s_ET_cw_o)*(1/24)*s_RadSpec!V28*s_RadSpec!Q28*1</f>
        <v>291.23567208904103</v>
      </c>
      <c r="J28" s="4"/>
      <c r="K28" s="4"/>
      <c r="L28" s="4"/>
      <c r="M28" s="4"/>
      <c r="N28" s="48" t="str">
        <f>IFERROR((s_TR/(s_RadSpec!I28*s_EF_cw*s_ED_con*s_IRS_cw*(1/1000)))*1,".")</f>
        <v>.</v>
      </c>
      <c r="O28" s="48" t="str">
        <f>IFERROR(IF(A28="H-3",(s_TR/(s_RadSpec!G28*s_EF_cw*s_ED_con*s_ET_cw_o*(1/24)*s_IRA_cw*(1/17)*1000))*1,(s_TR/(s_RadSpec!G28*s_EF_cw*s_ED_con*s_ET_cw_o*(1/24)*s_IRA_cw*(1/s_PEF__sc)*1000))*1),".")</f>
        <v>.</v>
      </c>
      <c r="P28" s="48">
        <f>IFERROR((s_TR/(s_RadSpec!F28*s_EF_cw*(1/365)*s_ED_con*s_RadSpec!Q28*s_ET_cw_o*(1/24)*s_RadSpec!V28))*1,".")</f>
        <v>18.480794045527716</v>
      </c>
      <c r="Q28" s="48">
        <f t="shared" si="10"/>
        <v>18.480794045527716</v>
      </c>
      <c r="R28" s="69">
        <f t="shared" si="4"/>
        <v>229164.375</v>
      </c>
      <c r="S28" s="69">
        <f t="shared" si="5"/>
        <v>8143.0753743733067</v>
      </c>
      <c r="T28" s="69">
        <f>s_C*s_EF_cw*(1/365)*s_ED_con*(s_ET_cw_i+s_ET_cw_o)*(1/24)*s_RadSpec!V28*s_RadSpec!Q28*1</f>
        <v>291.23567208904103</v>
      </c>
      <c r="U28" s="11"/>
      <c r="V28" s="11"/>
      <c r="W28" s="11"/>
      <c r="X28" s="11"/>
      <c r="Y28" s="48">
        <f>IFERROR((s_TR/(s_RadSpec!F28*s_EF_cw*(1/365)*s_ED_con*s_RadSpec!Q28*s_ET_cw_o*(1/24)*s_RadSpec!V28))*1,".")</f>
        <v>18.480794045527716</v>
      </c>
      <c r="Z28" s="48">
        <f>IFERROR((s_TR/(s_RadSpec!M28*s_EF_cw*(1/365)*s_ED_con*s_RadSpec!R28*s_ET_cw_o*(1/24)*s_RadSpec!W28))*1,".")</f>
        <v>223.21860523702455</v>
      </c>
      <c r="AA28" s="48">
        <f>IFERROR((s_TR/(s_RadSpec!N28*s_EF_cw*(1/365)*s_ED_con*s_RadSpec!S28*s_ET_cw_o*(1/24)*s_RadSpec!X28))*1,".")</f>
        <v>53.951442484152601</v>
      </c>
      <c r="AB28" s="48">
        <f>IFERROR((s_TR/(s_RadSpec!O28*s_EF_cw*(1/365)*s_ED_con*s_RadSpec!T28*s_ET_cw_o*(1/24)*s_RadSpec!Y28))*1,".")</f>
        <v>29.354239329654426</v>
      </c>
      <c r="AC28" s="48">
        <f>IFERROR((s_TR/(s_RadSpec!K28*s_EF_cw*(1/365)*s_ED_con*s_RadSpec!P28*s_ET_cw_o*(1/24)*s_RadSpec!U28))*1,".")</f>
        <v>402.77600822575363</v>
      </c>
      <c r="AD28" s="69">
        <f>s_C*s_EF_cw*(1/365)*s_ED_con*(s_ET_cw_i+s_ET_cw_o)*(1/24)*s_RadSpec!V28*s_RadSpec!Q28*1</f>
        <v>291.23567208904103</v>
      </c>
      <c r="AE28" s="69">
        <f>s_C*s_EF_cw*(1/365)*s_ED_con*(s_ET_cw_i+s_ET_cw_o)*(1/24)*s_RadSpec!W28*s_RadSpec!R28*1</f>
        <v>130.60713901094164</v>
      </c>
      <c r="AF28" s="69">
        <f>s_C*s_EF_cw*(1/365)*s_ED_con*(s_ET_cw_i+s_ET_cw_o)*(1/24)*s_RadSpec!X28*s_RadSpec!S28*1</f>
        <v>188.11645976027404</v>
      </c>
      <c r="AG28" s="69">
        <f>s_C*s_EF_cw*(1/365)*s_ED_con*(s_ET_cw_i+s_ET_cw_o)*(1/24)*s_RadSpec!Y28*s_RadSpec!T28*1</f>
        <v>217.27402139151903</v>
      </c>
      <c r="AH28" s="69">
        <f>s_C*s_EF_cw*(1/365)*s_ED_con*(s_ET_cw_i+s_ET_cw_o)*(1/24)*s_RadSpec!U28*s_RadSpec!P28*1</f>
        <v>74.294513472206447</v>
      </c>
      <c r="AI28" s="11"/>
      <c r="AJ28" s="11"/>
      <c r="AK28" s="11"/>
      <c r="AL28" s="11"/>
      <c r="AM28" s="11"/>
      <c r="AN28" s="48" t="str">
        <f>IFERROR(s_TR/(s_RadSpec!G28*s_EF_cw*s_ED_con*s_ET_cw_o*(1/24)*s_IRA_cw),".")</f>
        <v>.</v>
      </c>
      <c r="AO28" s="48">
        <f>IFERROR(s_TR/(s_RadSpec!J28*s_EF_cw*(1/365)*s_ED_con*s_ET_cw_o*(1/24)*s_GSF_a),".")</f>
        <v>1219.8973818980164</v>
      </c>
      <c r="AP28" s="48">
        <f t="shared" si="11"/>
        <v>1219.8973818980164</v>
      </c>
      <c r="AQ28" s="69">
        <f t="shared" si="7"/>
        <v>26041406.25</v>
      </c>
      <c r="AR28" s="69">
        <f t="shared" si="8"/>
        <v>4756.4212328767117</v>
      </c>
      <c r="AS28" s="10"/>
      <c r="AT28" s="10"/>
      <c r="AU28" s="10"/>
    </row>
    <row r="29" spans="1:47" x14ac:dyDescent="0.25">
      <c r="A29" s="49" t="s">
        <v>39</v>
      </c>
      <c r="B29" s="50" t="s">
        <v>289</v>
      </c>
      <c r="C29" s="48" t="str">
        <f>IFERROR((s_TR/(s_RadSpec!I29*s_EF_cw*s_ED_con*s_IRS_cw*(1/1000)))*1,".")</f>
        <v>.</v>
      </c>
      <c r="D29" s="48" t="str">
        <f>IFERROR(IF(A29="H-3",(s_TR/(s_RadSpec!G29*s_EF_cw*s_ED_con*s_ET_cw_o*(1/24)*s_IRA_cw*(1/17)*1000))*1,(s_TR/(s_RadSpec!G29*s_EF_cw*s_ED_con*s_ET_cw_o*(1/24)*s_IRA_cw*(1/s_PEFsc)*1000))*1),".")</f>
        <v>.</v>
      </c>
      <c r="E29" s="48">
        <f>IFERROR((s_TR/(s_RadSpec!F29*s_EF_cw*(1/365)*s_ED_con*s_RadSpec!Q29*s_ET_cw_o*(1/24)*s_RadSpec!V29))*1,".")</f>
        <v>15.447975874355974</v>
      </c>
      <c r="F29" s="48">
        <f t="shared" si="9"/>
        <v>15.447975874355974</v>
      </c>
      <c r="G29" s="69">
        <f t="shared" si="1"/>
        <v>229164.375</v>
      </c>
      <c r="H29" s="69">
        <f t="shared" si="2"/>
        <v>51215.031719100385</v>
      </c>
      <c r="I29" s="69">
        <f>s_C*s_EF_cw*(1/365)*s_ED_con*(s_ET_cw_i+s_ET_cw_o)*(1/24)*s_RadSpec!V29*s_RadSpec!Q29*1</f>
        <v>267.82310326659626</v>
      </c>
      <c r="J29" s="4"/>
      <c r="K29" s="4"/>
      <c r="L29" s="4"/>
      <c r="M29" s="4"/>
      <c r="N29" s="48" t="str">
        <f>IFERROR((s_TR/(s_RadSpec!I29*s_EF_cw*s_ED_con*s_IRS_cw*(1/1000)))*1,".")</f>
        <v>.</v>
      </c>
      <c r="O29" s="48" t="str">
        <f>IFERROR(IF(A29="H-3",(s_TR/(s_RadSpec!G29*s_EF_cw*s_ED_con*s_ET_cw_o*(1/24)*s_IRA_cw*(1/17)*1000))*1,(s_TR/(s_RadSpec!G29*s_EF_cw*s_ED_con*s_ET_cw_o*(1/24)*s_IRA_cw*(1/s_PEF__sc)*1000))*1),".")</f>
        <v>.</v>
      </c>
      <c r="P29" s="48">
        <f>IFERROR((s_TR/(s_RadSpec!F29*s_EF_cw*(1/365)*s_ED_con*s_RadSpec!Q29*s_ET_cw_o*(1/24)*s_RadSpec!V29))*1,".")</f>
        <v>15.447975874355974</v>
      </c>
      <c r="Q29" s="48">
        <f t="shared" si="10"/>
        <v>15.447975874355974</v>
      </c>
      <c r="R29" s="69">
        <f t="shared" si="4"/>
        <v>229164.375</v>
      </c>
      <c r="S29" s="69">
        <f t="shared" si="5"/>
        <v>8143.0753743733067</v>
      </c>
      <c r="T29" s="69">
        <f>s_C*s_EF_cw*(1/365)*s_ED_con*(s_ET_cw_i+s_ET_cw_o)*(1/24)*s_RadSpec!V29*s_RadSpec!Q29*1</f>
        <v>267.82310326659626</v>
      </c>
      <c r="U29" s="11"/>
      <c r="V29" s="11"/>
      <c r="W29" s="11"/>
      <c r="X29" s="11"/>
      <c r="Y29" s="48">
        <f>IFERROR((s_TR/(s_RadSpec!F29*s_EF_cw*(1/365)*s_ED_con*s_RadSpec!Q29*s_ET_cw_o*(1/24)*s_RadSpec!V29))*1,".")</f>
        <v>15.447975874355974</v>
      </c>
      <c r="Z29" s="48">
        <f>IFERROR((s_TR/(s_RadSpec!M29*s_EF_cw*(1/365)*s_ED_con*s_RadSpec!R29*s_ET_cw_o*(1/24)*s_RadSpec!W29))*1,".")</f>
        <v>166.58735847644382</v>
      </c>
      <c r="AA29" s="48">
        <f>IFERROR((s_TR/(s_RadSpec!N29*s_EF_cw*(1/365)*s_ED_con*s_RadSpec!S29*s_ET_cw_o*(1/24)*s_RadSpec!X29))*1,".")</f>
        <v>41.427623923839363</v>
      </c>
      <c r="AB29" s="48">
        <f>IFERROR((s_TR/(s_RadSpec!O29*s_EF_cw*(1/365)*s_ED_con*s_RadSpec!T29*s_ET_cw_o*(1/24)*s_RadSpec!Y29))*1,".")</f>
        <v>22.016596847081523</v>
      </c>
      <c r="AC29" s="48">
        <f>IFERROR((s_TR/(s_RadSpec!K29*s_EF_cw*(1/365)*s_ED_con*s_RadSpec!P29*s_ET_cw_o*(1/24)*s_RadSpec!U29))*1,".")</f>
        <v>309.01195816834127</v>
      </c>
      <c r="AD29" s="69">
        <f>s_C*s_EF_cw*(1/365)*s_ED_con*(s_ET_cw_i+s_ET_cw_o)*(1/24)*s_RadSpec!V29*s_RadSpec!Q29*1</f>
        <v>267.82310326659626</v>
      </c>
      <c r="AE29" s="69">
        <f>s_C*s_EF_cw*(1/365)*s_ED_con*(s_ET_cw_i+s_ET_cw_o)*(1/24)*s_RadSpec!W29*s_RadSpec!R29*1</f>
        <v>134.2158466702835</v>
      </c>
      <c r="AF29" s="69">
        <f>s_C*s_EF_cw*(1/365)*s_ED_con*(s_ET_cw_i+s_ET_cw_o)*(1/24)*s_RadSpec!X29*s_RadSpec!S29*1</f>
        <v>188.40068493150685</v>
      </c>
      <c r="AG29" s="69">
        <f>s_C*s_EF_cw*(1/365)*s_ED_con*(s_ET_cw_i+s_ET_cw_o)*(1/24)*s_RadSpec!Y29*s_RadSpec!T29*1</f>
        <v>222.10300297197304</v>
      </c>
      <c r="AH29" s="69">
        <f>s_C*s_EF_cw*(1/365)*s_ED_con*(s_ET_cw_i+s_ET_cw_o)*(1/24)*s_RadSpec!U29*s_RadSpec!P29*1</f>
        <v>74.743762230919742</v>
      </c>
      <c r="AI29" s="11"/>
      <c r="AJ29" s="11"/>
      <c r="AK29" s="11"/>
      <c r="AL29" s="11"/>
      <c r="AM29" s="11"/>
      <c r="AN29" s="48" t="str">
        <f>IFERROR(s_TR/(s_RadSpec!G29*s_EF_cw*s_ED_con*s_ET_cw_o*(1/24)*s_IRA_cw),".")</f>
        <v>.</v>
      </c>
      <c r="AO29" s="48">
        <f>IFERROR(s_TR/(s_RadSpec!J29*s_EF_cw*(1/365)*s_ED_con*s_ET_cw_o*(1/24)*s_GSF_a),".")</f>
        <v>943.69420109091811</v>
      </c>
      <c r="AP29" s="48">
        <f t="shared" si="11"/>
        <v>943.69420109091823</v>
      </c>
      <c r="AQ29" s="69">
        <f t="shared" si="7"/>
        <v>26041406.25</v>
      </c>
      <c r="AR29" s="69">
        <f t="shared" si="8"/>
        <v>4756.4212328767117</v>
      </c>
      <c r="AS29" s="10"/>
      <c r="AT29" s="10"/>
      <c r="AU29" s="10"/>
    </row>
    <row r="30" spans="1:47" x14ac:dyDescent="0.25">
      <c r="A30" s="49" t="s">
        <v>40</v>
      </c>
      <c r="B30" s="50" t="s">
        <v>289</v>
      </c>
      <c r="C30" s="48">
        <f>IFERROR((s_TR/(s_RadSpec!I30*s_EF_cw*s_ED_con*s_IRS_cw*(1/1000)))*1,".")</f>
        <v>4646.8131574514555</v>
      </c>
      <c r="D30" s="48">
        <f>IFERROR(IF(A30="H-3",(s_TR/(s_RadSpec!G30*s_EF_cw*s_ED_con*s_ET_cw_o*(1/24)*s_IRA_cw*(1/17)*1000))*1,(s_TR/(s_RadSpec!G30*s_EF_cw*s_ED_con*s_ET_cw_o*(1/24)*s_IRA_cw*(1/s_PEFsc)*1000))*1),".")</f>
        <v>38.323268919965919</v>
      </c>
      <c r="E30" s="48">
        <f>IFERROR((s_TR/(s_RadSpec!F30*s_EF_cw*(1/365)*s_ED_con*s_RadSpec!Q30*s_ET_cw_o*(1/24)*s_RadSpec!V30))*1,".")</f>
        <v>2737591.278479402</v>
      </c>
      <c r="F30" s="48">
        <f t="shared" si="9"/>
        <v>38.009266227169626</v>
      </c>
      <c r="G30" s="69">
        <f t="shared" si="1"/>
        <v>229164.375</v>
      </c>
      <c r="H30" s="69">
        <f t="shared" si="2"/>
        <v>51215.031719100385</v>
      </c>
      <c r="I30" s="69">
        <f>s_C*s_EF_cw*(1/365)*s_ED_con*(s_ET_cw_i+s_ET_cw_o)*(1/24)*s_RadSpec!V30*s_RadSpec!Q30*1</f>
        <v>28.538527397260271</v>
      </c>
      <c r="J30" s="4"/>
      <c r="K30" s="4"/>
      <c r="L30" s="4"/>
      <c r="M30" s="4"/>
      <c r="N30" s="48">
        <f>IFERROR((s_TR/(s_RadSpec!I30*s_EF_cw*s_ED_con*s_IRS_cw*(1/1000)))*1,".")</f>
        <v>4646.8131574514555</v>
      </c>
      <c r="O30" s="48">
        <f>IFERROR(IF(A30="H-3",(s_TR/(s_RadSpec!G30*s_EF_cw*s_ED_con*s_ET_cw_o*(1/24)*s_IRA_cw*(1/17)*1000))*1,(s_TR/(s_RadSpec!G30*s_EF_cw*s_ED_con*s_ET_cw_o*(1/24)*s_IRA_cw*(1/s_PEF__sc)*1000))*1),".")</f>
        <v>241.03024263934446</v>
      </c>
      <c r="P30" s="48">
        <f>IFERROR((s_TR/(s_RadSpec!F30*s_EF_cw*(1/365)*s_ED_con*s_RadSpec!Q30*s_ET_cw_o*(1/24)*s_RadSpec!V30))*1,".")</f>
        <v>2737591.278479402</v>
      </c>
      <c r="Q30" s="48">
        <f t="shared" si="10"/>
        <v>229.125336024148</v>
      </c>
      <c r="R30" s="69">
        <f t="shared" si="4"/>
        <v>229164.375</v>
      </c>
      <c r="S30" s="69">
        <f t="shared" si="5"/>
        <v>8143.0753743733067</v>
      </c>
      <c r="T30" s="69">
        <f>s_C*s_EF_cw*(1/365)*s_ED_con*(s_ET_cw_i+s_ET_cw_o)*(1/24)*s_RadSpec!V30*s_RadSpec!Q30*1</f>
        <v>28.538527397260271</v>
      </c>
      <c r="U30" s="11"/>
      <c r="V30" s="11"/>
      <c r="W30" s="11"/>
      <c r="X30" s="11"/>
      <c r="Y30" s="48">
        <f>IFERROR((s_TR/(s_RadSpec!F30*s_EF_cw*(1/365)*s_ED_con*s_RadSpec!Q30*s_ET_cw_o*(1/24)*s_RadSpec!V30))*1,".")</f>
        <v>2737591.278479402</v>
      </c>
      <c r="Z30" s="48">
        <f>IFERROR((s_TR/(s_RadSpec!M30*s_EF_cw*(1/365)*s_ED_con*s_RadSpec!R30*s_ET_cw_o*(1/24)*s_RadSpec!W30))*1,".")</f>
        <v>45988329.833045855</v>
      </c>
      <c r="AA30" s="48">
        <f>IFERROR((s_TR/(s_RadSpec!N30*s_EF_cw*(1/365)*s_ED_con*s_RadSpec!S30*s_ET_cw_o*(1/24)*s_RadSpec!X30))*1,".")</f>
        <v>6788052.3218700802</v>
      </c>
      <c r="AB30" s="48">
        <f>IFERROR((s_TR/(s_RadSpec!O30*s_EF_cw*(1/365)*s_ED_con*s_RadSpec!T30*s_ET_cw_o*(1/24)*s_RadSpec!Y30))*1,".")</f>
        <v>3719600.2852860517</v>
      </c>
      <c r="AC30" s="48">
        <f>IFERROR((s_TR/(s_RadSpec!K30*s_EF_cw*(1/365)*s_ED_con*s_RadSpec!P30*s_ET_cw_o*(1/24)*s_RadSpec!U30))*1,".")</f>
        <v>653801211.21331596</v>
      </c>
      <c r="AD30" s="69">
        <f>s_C*s_EF_cw*(1/365)*s_ED_con*(s_ET_cw_i+s_ET_cw_o)*(1/24)*s_RadSpec!V30*s_RadSpec!Q30*1</f>
        <v>28.538527397260271</v>
      </c>
      <c r="AE30" s="69">
        <f>s_C*s_EF_cw*(1/365)*s_ED_con*(s_ET_cw_i+s_ET_cw_o)*(1/24)*s_RadSpec!W30*s_RadSpec!R30*1</f>
        <v>5.8254148938010246</v>
      </c>
      <c r="AF30" s="69">
        <f>s_C*s_EF_cw*(1/365)*s_ED_con*(s_ET_cw_i+s_ET_cw_o)*(1/24)*s_RadSpec!X30*s_RadSpec!S30*1</f>
        <v>16.16527161076996</v>
      </c>
      <c r="AG30" s="69">
        <f>s_C*s_EF_cw*(1/365)*s_ED_con*(s_ET_cw_i+s_ET_cw_o)*(1/24)*s_RadSpec!Y30*s_RadSpec!T30*1</f>
        <v>21.717303148561101</v>
      </c>
      <c r="AH30" s="69">
        <f>s_C*s_EF_cw*(1/365)*s_ED_con*(s_ET_cw_i+s_ET_cw_o)*(1/24)*s_RadSpec!U30*s_RadSpec!P30*1</f>
        <v>0.2378210616438356</v>
      </c>
      <c r="AI30" s="11"/>
      <c r="AJ30" s="11"/>
      <c r="AK30" s="11"/>
      <c r="AL30" s="11"/>
      <c r="AM30" s="11"/>
      <c r="AN30" s="48">
        <f>IFERROR(s_TR/(s_RadSpec!G30*s_EF_cw*s_ED_con*s_ET_cw_o*(1/24)*s_IRA_cw),".")</f>
        <v>7.5369487134193017E-2</v>
      </c>
      <c r="AO30" s="48">
        <f>IFERROR(s_TR/(s_RadSpec!J30*s_EF_cw*(1/365)*s_ED_con*s_ET_cw_o*(1/24)*s_GSF_a),".")</f>
        <v>12457233.538684599</v>
      </c>
      <c r="AP30" s="48">
        <f t="shared" si="11"/>
        <v>7.5369486678188116E-2</v>
      </c>
      <c r="AQ30" s="69">
        <f t="shared" si="7"/>
        <v>26041406.25</v>
      </c>
      <c r="AR30" s="69">
        <f t="shared" si="8"/>
        <v>4756.4212328767117</v>
      </c>
      <c r="AS30" s="10"/>
      <c r="AT30" s="10"/>
      <c r="AU30" s="10"/>
    </row>
    <row r="31" spans="1:47" x14ac:dyDescent="0.25">
      <c r="A31" s="52" t="s">
        <v>13</v>
      </c>
      <c r="B31" s="52" t="s">
        <v>289</v>
      </c>
      <c r="C31" s="53">
        <f>1/SUM(1/C32,1/C33,1/C34,1/C35,1/C36,1/C37,1/C38,1/C41,1/C44)</f>
        <v>437.04318294965549</v>
      </c>
      <c r="D31" s="53">
        <f>1/SUM(1/D32,1/D33,1/D34,1/D35,1/D36,1/D37,1/D38,1/D41,1/D44)</f>
        <v>3.3461820283521932</v>
      </c>
      <c r="E31" s="53">
        <f>1/SUM(1/E32,1/E33,1/E34,1/E35,1/E36,1/E37,1/E38,1/E39,1/E40,1/E41,1/E42,1/E43)</f>
        <v>242.76168994739947</v>
      </c>
      <c r="F31" s="54">
        <f>1/SUM(1/F32,1/F33,1/F34,1/F35,1/F36,1/F37,1/F38,1/F39,1/F40,1/F41,1/F42,1/F43,1/F44)</f>
        <v>3.2759450306985203</v>
      </c>
      <c r="G31" s="71"/>
      <c r="H31" s="71"/>
      <c r="I31" s="71"/>
      <c r="J31" s="72">
        <f>IFERROR(IF(SUM(G32:G44)&gt;0.01,1-EXP(-SUM(G32:G44)),SUM(G32:G44)),".")</f>
        <v>1.2711558529537704E-4</v>
      </c>
      <c r="K31" s="72">
        <f>IFERROR(IF(SUM(H32:H44)&gt;0.01,1-EXP(-SUM(H32:H44)),SUM(H32:H44)),".")</f>
        <v>1.6465441852836493E-2</v>
      </c>
      <c r="L31" s="72">
        <f>IFERROR(IF(SUM(I32:I44)&gt;0.01,1-EXP(-SUM(I32:I44)),SUM(I32:I44)),".")</f>
        <v>2.2884582823606722E-4</v>
      </c>
      <c r="M31" s="72">
        <f>IFERROR(IF(SUM(G32:I44)&gt;0.01,1-EXP(-SUM(G32:I44)),SUM(G32:I44)),".")</f>
        <v>1.6815479900696317E-2</v>
      </c>
      <c r="N31" s="53">
        <f>1/SUM(1/N32,1/N33,1/N34,1/N35,1/N36,1/N37,1/N38,1/N41,1/N44)</f>
        <v>437.04318294965549</v>
      </c>
      <c r="O31" s="53">
        <f>1/SUM(1/O32,1/O33,1/O34,1/O35,1/O36,1/O37,1/O38,1/O41,1/O44)</f>
        <v>21.045466343006844</v>
      </c>
      <c r="P31" s="53">
        <f>1/SUM(1/P32,1/P33,1/P34,1/P35,1/P36,1/P37,1/P38,1/P39,1/P40,1/P41,1/P42,1/P43)</f>
        <v>242.76168994739947</v>
      </c>
      <c r="Q31" s="54">
        <f>1/SUM(1/Q32,1/Q33,1/Q34,1/Q35,1/Q36,1/Q37,1/Q38,1/Q39,1/Q40,1/Q41,1/Q42,1/Q43,1/Q44)</f>
        <v>18.544776003330558</v>
      </c>
      <c r="R31" s="71"/>
      <c r="S31" s="71"/>
      <c r="T31" s="71"/>
      <c r="U31" s="72">
        <f>IFERROR(IF(SUM(R32:R44)&gt;0.01,1-EXP(-SUM(R32:R44)),SUM(R32:R44)),".")</f>
        <v>1.2711558529537704E-4</v>
      </c>
      <c r="V31" s="72">
        <f>IFERROR(IF(SUM(S32:S44)&gt;0.01,1-EXP(-SUM(S32:S44)),SUM(S32:S44)),".")</f>
        <v>2.6397609392229153E-3</v>
      </c>
      <c r="W31" s="72">
        <f>IFERROR(IF(SUM(T32:T44)&gt;0.01,1-EXP(-SUM(T32:T44)),SUM(T32:T44)),".")</f>
        <v>2.2884582823606722E-4</v>
      </c>
      <c r="X31" s="72">
        <f>IFERROR(IF(SUM(R32:T44)&gt;0.01,1-EXP(-SUM(R32:T44)),SUM(R32:T44)),".")</f>
        <v>2.9957223527543589E-3</v>
      </c>
      <c r="Y31" s="53">
        <f t="shared" ref="Y31:AC31" si="12">1/SUM(1/Y32,1/Y33,1/Y34,1/Y35,1/Y36,1/Y37,1/Y38,1/Y39,1/Y40,1/Y41,1/Y42,1/Y43)</f>
        <v>242.76168994739947</v>
      </c>
      <c r="Z31" s="53">
        <f t="shared" si="12"/>
        <v>2097.5397382305978</v>
      </c>
      <c r="AA31" s="53">
        <f t="shared" si="12"/>
        <v>548.56643831027009</v>
      </c>
      <c r="AB31" s="53">
        <f t="shared" si="12"/>
        <v>326.1241346879591</v>
      </c>
      <c r="AC31" s="53">
        <f t="shared" si="12"/>
        <v>4569.8489941031503</v>
      </c>
      <c r="AD31" s="71"/>
      <c r="AE31" s="63"/>
      <c r="AF31" s="63"/>
      <c r="AG31" s="63"/>
      <c r="AH31" s="63"/>
      <c r="AI31" s="72">
        <f>IFERROR(IF(SUM(AD32:AD44)&gt;0.01,1-EXP(-SUM(AD32:AD44)),SUM(AD32:AD44)),".")</f>
        <v>2.2884582823606722E-4</v>
      </c>
      <c r="AJ31" s="72">
        <f t="shared" ref="AJ31:AM31" si="13">IFERROR(IF(SUM(AE32:AE44)&gt;0.01,1-EXP(-SUM(AE32:AE44)),SUM(AE32:AE44)),".")</f>
        <v>2.6485791419076532E-5</v>
      </c>
      <c r="AK31" s="72">
        <f t="shared" si="13"/>
        <v>1.0127305668047085E-4</v>
      </c>
      <c r="AL31" s="72">
        <f t="shared" si="13"/>
        <v>1.7034924463090083E-4</v>
      </c>
      <c r="AM31" s="72">
        <f t="shared" si="13"/>
        <v>1.2156856839621429E-5</v>
      </c>
      <c r="AN31" s="53">
        <f>1/SUM(1/AN32,1/AN33,1/AN34,1/AN35,1/AN36,1/AN37,1/AN38,1/AN41,1/AN44)</f>
        <v>6.5808588474342185E-3</v>
      </c>
      <c r="AO31" s="53">
        <f t="shared" ref="AO31:AP31" si="14">1/SUM(1/AO32,1/AO33,1/AO34,1/AO35,1/AO36,1/AO37,1/AO38,1/AO39,1/AO40,1/AO41,1/AO42,1/AO43,1/AO44)</f>
        <v>5285.5769105881373</v>
      </c>
      <c r="AP31" s="54">
        <f t="shared" si="14"/>
        <v>6.5808506538822219E-3</v>
      </c>
      <c r="AQ31" s="71"/>
      <c r="AR31" s="71"/>
      <c r="AS31" s="72">
        <f>IFERROR(IF(SUM(AQ32:AQ44)&gt;0.01,1-EXP(-SUM(AQ32:AQ44)),SUM(AQ32:AQ44)),".")</f>
        <v>0.99978436151816108</v>
      </c>
      <c r="AT31" s="72">
        <f>IFERROR(IF(SUM(AR32:AR44)&gt;0.01,1-EXP(-SUM(AR32:AR44)),SUM(AR32:AR44)),".")</f>
        <v>1.0510678576772102E-5</v>
      </c>
      <c r="AU31" s="72">
        <f>IFERROR(IF(SUM(AQ32:AR44)&gt;0.01,1-EXP(-SUM(AQ32:AR44)),SUM(AQ32:AR44)),".")</f>
        <v>0.99978436378465585</v>
      </c>
    </row>
    <row r="32" spans="1:47" x14ac:dyDescent="0.25">
      <c r="A32" s="55" t="s">
        <v>290</v>
      </c>
      <c r="B32" s="50">
        <v>1</v>
      </c>
      <c r="C32" s="56">
        <f>IFERROR(C3/$B32,0)</f>
        <v>2663.4172975636388</v>
      </c>
      <c r="D32" s="56">
        <f>IFERROR(D3/$B32,0)</f>
        <v>28.742451689974441</v>
      </c>
      <c r="E32" s="56">
        <f>IFERROR(E3/$B32,0)</f>
        <v>5878890.6378991222</v>
      </c>
      <c r="F32" s="56">
        <f>IF(AND(C32&lt;&gt;0,D32&lt;&gt;0,E32&lt;&gt;0),1/((1/C32)+(1/D32)+(1/E32)),IF(AND(C32&lt;&gt;0,D32&lt;&gt;0,E32=0), 1/((1/C32)+(1/D32)),IF(AND(C32&lt;&gt;0,D32=0,E32&lt;&gt;0),1/((1/C32)+(1/E32)),IF(AND(C32=0,D32&lt;&gt;0,E32&lt;&gt;0),1/((1/D32)+(1/E32)),IF(AND(C32&lt;&gt;0,D32=0,E32=0),1/((1/C32)),IF(AND(C32=0,D32&lt;&gt;0,E32=0),1/((1/D32)),IF(AND(C32=0,D32=0,E32&lt;&gt;0),1/((1/E32)),IF(AND(C32=0,D32=0,E32=0),0))))))))</f>
        <v>28.435449548946899</v>
      </c>
      <c r="G32" s="64">
        <f>IFERROR(s_RadSpec!$I$3*G3,".")*$B$32</f>
        <v>2.0858541412499999E-5</v>
      </c>
      <c r="H32" s="64">
        <f>IFERROR(s_RadSpec!$G$3*H3,".")*$B$32</f>
        <v>1.9328552970788485E-3</v>
      </c>
      <c r="I32" s="64">
        <f>IFERROR(s_RadSpec!$F$3*I3,".")*$B$32</f>
        <v>9.4499121385005231E-9</v>
      </c>
      <c r="J32" s="73">
        <f t="shared" ref="J32:L44" si="15">IFERROR(IF(G32&gt;0.01,1-EXP(-G32),G32),".")</f>
        <v>2.0858541412499999E-5</v>
      </c>
      <c r="K32" s="73">
        <f t="shared" si="15"/>
        <v>1.9328552970788485E-3</v>
      </c>
      <c r="L32" s="73">
        <f t="shared" si="15"/>
        <v>9.4499121385005231E-9</v>
      </c>
      <c r="M32" s="73">
        <f>IFERROR(IF(SUM(G32:I32)&gt;0.01,1-EXP(-SUM(G32:I32)),SUM(G32:I32)),".")</f>
        <v>1.9537232884034869E-3</v>
      </c>
      <c r="N32" s="56">
        <f>IFERROR(N3/$B32,0)</f>
        <v>2663.4172975636388</v>
      </c>
      <c r="O32" s="56">
        <f>IFERROR(O3/$B32,0)</f>
        <v>180.77268197950832</v>
      </c>
      <c r="P32" s="56">
        <f>IFERROR(P3/$B32,0)</f>
        <v>5878890.6378991222</v>
      </c>
      <c r="Q32" s="56">
        <f>IF(AND(N32&lt;&gt;0,O32&lt;&gt;0,P32&lt;&gt;0),1/((1/N32)+(1/O32)+(1/P32)),IF(AND(N32&lt;&gt;0,O32&lt;&gt;0,P32=0), 1/((1/N32)+(1/O32)),IF(AND(N32&lt;&gt;0,O32=0,P32&lt;&gt;0),1/((1/N32)+(1/P32)),IF(AND(N32=0,O32&lt;&gt;0,P32&lt;&gt;0),1/((1/O32)+(1/P32)),IF(AND(N32&lt;&gt;0,O32=0,P32=0),1/((1/N32)),IF(AND(N32=0,O32&lt;&gt;0,P32=0),1/((1/O32)),IF(AND(N32=0,O32=0,P32&lt;&gt;0),1/((1/P32)),IF(AND(N32=0,O32=0,P32=0),0))))))))</f>
        <v>169.27815227722525</v>
      </c>
      <c r="R32" s="64">
        <f>IFERROR(s_RadSpec!$I$3*R3,".")*$B$32</f>
        <v>2.0858541412499999E-5</v>
      </c>
      <c r="S32" s="64">
        <f>IFERROR(s_RadSpec!$G$3*S3,".")*$B$32</f>
        <v>3.0731966462884861E-4</v>
      </c>
      <c r="T32" s="64">
        <f>IFERROR(s_RadSpec!$F$3*T3,".")*$B$32</f>
        <v>9.4499121385005231E-9</v>
      </c>
      <c r="U32" s="73">
        <f t="shared" ref="U32:W44" si="16">IFERROR(IF(R32&gt;0.01,1-EXP(-R32),R32),".")</f>
        <v>2.0858541412499999E-5</v>
      </c>
      <c r="V32" s="73">
        <f t="shared" si="16"/>
        <v>3.0731966462884861E-4</v>
      </c>
      <c r="W32" s="73">
        <f t="shared" si="16"/>
        <v>9.4499121385005231E-9</v>
      </c>
      <c r="X32" s="73">
        <f>IFERROR(IF(SUM(R32:T32)&gt;0.01,1-EXP(-SUM(R32:T32)),SUM(R32:T32)),".")</f>
        <v>3.2818765595348713E-4</v>
      </c>
      <c r="Y32" s="56">
        <f t="shared" ref="Y32:AO32" si="17">IFERROR(Y3/$B32,0)</f>
        <v>5878890.6378991222</v>
      </c>
      <c r="Z32" s="56">
        <f t="shared" si="17"/>
        <v>16584296.640615804</v>
      </c>
      <c r="AA32" s="56">
        <f t="shared" si="17"/>
        <v>6708019.2731080363</v>
      </c>
      <c r="AB32" s="56">
        <f t="shared" si="17"/>
        <v>6442088.6099516116</v>
      </c>
      <c r="AC32" s="56">
        <f t="shared" si="17"/>
        <v>18931135.951767515</v>
      </c>
      <c r="AD32" s="64">
        <f>IFERROR(s_RadSpec!$F$3*AD3,".")*$B$32</f>
        <v>9.4499121385005231E-9</v>
      </c>
      <c r="AE32" s="64">
        <f>IFERROR(s_RadSpec!$M$3*AE3,".")*$B$32</f>
        <v>3.3498556618881807E-9</v>
      </c>
      <c r="AF32" s="64">
        <f>IFERROR(s_RadSpec!$N$3*AF3,".")*$B$32</f>
        <v>8.2818784112198301E-9</v>
      </c>
      <c r="AG32" s="64">
        <f>IFERROR(s_RadSpec!$O$3*AG3,".")*$B$32</f>
        <v>8.623755953027366E-9</v>
      </c>
      <c r="AH32" s="64">
        <f>IFERROR(s_RadSpec!$K$3*AH3,".")*$B$32</f>
        <v>2.9345835422418518E-9</v>
      </c>
      <c r="AI32" s="73">
        <f>IFERROR(IF(AD32&gt;0.01,1-EXP(-AD32),AD32),".")</f>
        <v>9.4499121385005231E-9</v>
      </c>
      <c r="AJ32" s="73">
        <f t="shared" ref="AJ32:AM44" si="18">IFERROR(IF(AE32&gt;0.01,1-EXP(-AE32),AE32),".")</f>
        <v>3.3498556618881807E-9</v>
      </c>
      <c r="AK32" s="73">
        <f t="shared" si="18"/>
        <v>8.2818784112198301E-9</v>
      </c>
      <c r="AL32" s="73">
        <f t="shared" si="18"/>
        <v>8.623755953027366E-9</v>
      </c>
      <c r="AM32" s="73">
        <f t="shared" si="18"/>
        <v>2.9345835422418518E-9</v>
      </c>
      <c r="AN32" s="56">
        <f t="shared" si="17"/>
        <v>5.6527115350644766E-2</v>
      </c>
      <c r="AO32" s="56">
        <f t="shared" si="17"/>
        <v>201270.79540369686</v>
      </c>
      <c r="AP32" s="56">
        <f>IFERROR(IF(AND(AN32&lt;&gt;0,AO32&lt;&gt;0),1/((1/AN32)+(1/AO32)),IF(AND(AN32&lt;&gt;0,AO32=0),1/((1/AN32)),IF(AND(AN32=0,AO32&lt;&gt;0),1/((1/AO32)),IF(AND(AN32=0,AO32=0),0)))),0)</f>
        <v>5.6527099474949216E-2</v>
      </c>
      <c r="AQ32" s="64">
        <f>IFERROR(s_RadSpec!$G$3*AQ3,".")*$B$32</f>
        <v>0.98280267187499992</v>
      </c>
      <c r="AR32" s="64">
        <f>IFERROR(s_RadSpec!$J$3*AR3,".")*$B$32</f>
        <v>2.7602116784291092E-7</v>
      </c>
      <c r="AS32" s="73">
        <f>IFERROR(IF(AQ32&gt;0.01,1-EXP(-AQ32),AQ32),".")</f>
        <v>0.62573930235719177</v>
      </c>
      <c r="AT32" s="73">
        <f>IFERROR(IF(AR32&gt;0.01,1-EXP(-AR32),AR32),".")</f>
        <v>2.7602116784291092E-7</v>
      </c>
      <c r="AU32" s="73">
        <f>IFERROR(IF(SUM(AQ32:AR32)&gt;0.01,1-EXP(-SUM(AQ32:AR32)),SUM(AQ32:AR32)),".")</f>
        <v>0.62573940566105235</v>
      </c>
    </row>
    <row r="33" spans="1:47" x14ac:dyDescent="0.25">
      <c r="A33" s="55" t="s">
        <v>291</v>
      </c>
      <c r="B33" s="50">
        <v>1</v>
      </c>
      <c r="C33" s="56">
        <f t="shared" ref="C33:E34" si="19">IFERROR(C13/$B33,0)</f>
        <v>5159.0602771705135</v>
      </c>
      <c r="D33" s="56">
        <f t="shared" si="19"/>
        <v>37.828775127450228</v>
      </c>
      <c r="E33" s="56">
        <f t="shared" si="19"/>
        <v>77678.030935241928</v>
      </c>
      <c r="F33" s="56">
        <f>IF(AND(C33&lt;&gt;0,D33&lt;&gt;0,E33&lt;&gt;0),1/((1/C33)+(1/D33)+(1/E33)),IF(AND(C33&lt;&gt;0,D33&lt;&gt;0,E33=0), 1/((1/C33)+(1/D33)),IF(AND(C33&lt;&gt;0,D33=0,E33&lt;&gt;0),1/((1/C33)+(1/E33)),IF(AND(C33=0,D33&lt;&gt;0,E33&lt;&gt;0),1/((1/D33)+(1/E33)),IF(AND(C33&lt;&gt;0,D33=0,E33=0),1/((1/C33)),IF(AND(C33=0,D33&lt;&gt;0,E33=0),1/((1/D33)),IF(AND(C33=0,D33=0,E33&lt;&gt;0),1/((1/E33)),IF(AND(C33=0,D33=0,E33=0),0))))))))</f>
        <v>37.535268550789986</v>
      </c>
      <c r="G33" s="64">
        <f>IFERROR(s_RadSpec!$I$13*G13,".")*$B$33</f>
        <v>1.0768433981249999E-5</v>
      </c>
      <c r="H33" s="64">
        <f>IFERROR(s_RadSpec!$G$13*H13,".")*$B$33</f>
        <v>1.4685910345452035E-3</v>
      </c>
      <c r="I33" s="64">
        <f>IFERROR(s_RadSpec!$F$13*I13,".")*$B$33</f>
        <v>7.1519578098361795E-7</v>
      </c>
      <c r="J33" s="73">
        <f t="shared" si="15"/>
        <v>1.0768433981249999E-5</v>
      </c>
      <c r="K33" s="73">
        <f t="shared" si="15"/>
        <v>1.4685910345452035E-3</v>
      </c>
      <c r="L33" s="73">
        <f t="shared" si="15"/>
        <v>7.1519578098361795E-7</v>
      </c>
      <c r="M33" s="73">
        <f t="shared" ref="M33:M44" si="20">IFERROR(IF(SUM(G33:I33)&gt;0.01,1-EXP(-SUM(G33:I33)),SUM(G33:I33)),".")</f>
        <v>1.480074664307437E-3</v>
      </c>
      <c r="N33" s="56">
        <f t="shared" ref="N33:P34" si="21">IFERROR(N13/$B33,0)</f>
        <v>5159.0602771705135</v>
      </c>
      <c r="O33" s="56">
        <f t="shared" si="21"/>
        <v>237.92017499238517</v>
      </c>
      <c r="P33" s="56">
        <f t="shared" si="21"/>
        <v>77678.030935241928</v>
      </c>
      <c r="Q33" s="56">
        <f>IF(AND(N33&lt;&gt;0,O33&lt;&gt;0,P33&lt;&gt;0),1/((1/N33)+(1/O33)+(1/P33)),IF(AND(N33&lt;&gt;0,O33&lt;&gt;0,P33=0), 1/((1/N33)+(1/O33)),IF(AND(N33&lt;&gt;0,O33=0,P33&lt;&gt;0),1/((1/N33)+(1/P33)),IF(AND(N33=0,O33&lt;&gt;0,P33&lt;&gt;0),1/((1/O33)+(1/P33)),IF(AND(N33&lt;&gt;0,O33=0,P33=0),1/((1/N33)),IF(AND(N33=0,O33&lt;&gt;0,P33=0),1/((1/O33)),IF(AND(N33=0,O33=0,P33&lt;&gt;0),1/((1/P33)),IF(AND(N33=0,O33=0,P33=0),0))))))))</f>
        <v>226.7677676015436</v>
      </c>
      <c r="R33" s="64">
        <f>IFERROR(s_RadSpec!$I$13*R13,".")*$B$33</f>
        <v>1.0768433981249999E-5</v>
      </c>
      <c r="S33" s="64">
        <f>IFERROR(s_RadSpec!$G$13*S13,".")*$B$33</f>
        <v>2.3350268636015457E-4</v>
      </c>
      <c r="T33" s="64">
        <f>IFERROR(s_RadSpec!$F$13*T13,".")*$B$33</f>
        <v>7.1519578098361795E-7</v>
      </c>
      <c r="U33" s="73">
        <f t="shared" si="16"/>
        <v>1.0768433981249999E-5</v>
      </c>
      <c r="V33" s="73">
        <f t="shared" si="16"/>
        <v>2.3350268636015457E-4</v>
      </c>
      <c r="W33" s="73">
        <f t="shared" si="16"/>
        <v>7.1519578098361795E-7</v>
      </c>
      <c r="X33" s="73">
        <f t="shared" ref="X33:X44" si="22">IFERROR(IF(SUM(R33:T33)&gt;0.01,1-EXP(-SUM(R33:T33)),SUM(R33:T33)),".")</f>
        <v>2.4498631612238818E-4</v>
      </c>
      <c r="Y33" s="56">
        <f t="shared" ref="Y33:AO34" si="23">IFERROR(Y13/$B33,0)</f>
        <v>77678.030935241928</v>
      </c>
      <c r="Z33" s="56">
        <f t="shared" si="23"/>
        <v>505004.35668634361</v>
      </c>
      <c r="AA33" s="56">
        <f t="shared" si="23"/>
        <v>126082.86130423266</v>
      </c>
      <c r="AB33" s="56">
        <f t="shared" si="23"/>
        <v>83455.86304714781</v>
      </c>
      <c r="AC33" s="56">
        <f t="shared" si="23"/>
        <v>4010856.3887304962</v>
      </c>
      <c r="AD33" s="64">
        <f>IFERROR(s_RadSpec!$F$13*AD13,".")*$B$33</f>
        <v>7.1519578098361795E-7</v>
      </c>
      <c r="AE33" s="64">
        <f>IFERROR(s_RadSpec!$M$13*AE13,".")*$B$33</f>
        <v>1.10008951931686E-7</v>
      </c>
      <c r="AF33" s="64">
        <f>IFERROR(s_RadSpec!$N$13*AF13,".")*$B$33</f>
        <v>4.4062293181900524E-7</v>
      </c>
      <c r="AG33" s="64">
        <f>IFERROR(s_RadSpec!$O$13*AG13,".")*$B$33</f>
        <v>6.6568121126031119E-7</v>
      </c>
      <c r="AH33" s="64">
        <f>IFERROR(s_RadSpec!$K$13*AH13,".")*$B$33</f>
        <v>1.3851156614855533E-8</v>
      </c>
      <c r="AI33" s="73">
        <f t="shared" ref="AI33:AI44" si="24">IFERROR(IF(AD33&gt;0.01,1-EXP(-AD33),AD33),".")</f>
        <v>7.1519578098361795E-7</v>
      </c>
      <c r="AJ33" s="73">
        <f t="shared" si="18"/>
        <v>1.10008951931686E-7</v>
      </c>
      <c r="AK33" s="73">
        <f t="shared" si="18"/>
        <v>4.4062293181900524E-7</v>
      </c>
      <c r="AL33" s="73">
        <f t="shared" si="18"/>
        <v>6.6568121126031119E-7</v>
      </c>
      <c r="AM33" s="73">
        <f t="shared" si="18"/>
        <v>1.3851156614855533E-8</v>
      </c>
      <c r="AN33" s="56">
        <f t="shared" si="23"/>
        <v>7.4396977622784077E-2</v>
      </c>
      <c r="AO33" s="56">
        <f t="shared" si="23"/>
        <v>152255.07658392287</v>
      </c>
      <c r="AP33" s="56">
        <f t="shared" ref="AP33:AP44" si="25">IFERROR(IF(AND(AN33&lt;&gt;0,AO33&lt;&gt;0),1/((1/AN33)+(1/AO33)),IF(AND(AN33&lt;&gt;0,AO33=0),1/((1/AN33)),IF(AND(AN33=0,AO33&lt;&gt;0),1/((1/AO33)),IF(AND(AN33=0,AO33=0),0)))),0)</f>
        <v>7.4396941269923481E-2</v>
      </c>
      <c r="AQ33" s="64">
        <f>IFERROR(s_RadSpec!$G$13*AQ13,".")*$B$33</f>
        <v>0.74673732421875005</v>
      </c>
      <c r="AR33" s="64">
        <f>IFERROR(s_RadSpec!$J$13*AR13,".")*$B$33</f>
        <v>3.6488110115249996E-7</v>
      </c>
      <c r="AS33" s="73">
        <f t="shared" ref="AS33:AT44" si="26">IFERROR(IF(AQ33&gt;0.01,1-EXP(-AQ33),AQ33),".")</f>
        <v>0.52608975142737635</v>
      </c>
      <c r="AT33" s="73">
        <f t="shared" si="26"/>
        <v>3.6488110115249996E-7</v>
      </c>
      <c r="AU33" s="73">
        <f t="shared" ref="AU33:AU44" si="27">IFERROR(IF(SUM(AQ33:AR33)&gt;0.01,1-EXP(-SUM(AQ33:AR33)),SUM(AQ33:AR33)),".")</f>
        <v>0.5260899243482382</v>
      </c>
    </row>
    <row r="34" spans="1:47" x14ac:dyDescent="0.25">
      <c r="A34" s="55" t="s">
        <v>292</v>
      </c>
      <c r="B34" s="50">
        <v>1</v>
      </c>
      <c r="C34" s="56">
        <f t="shared" si="19"/>
        <v>93868.288710695575</v>
      </c>
      <c r="D34" s="56">
        <f t="shared" si="19"/>
        <v>70986.200299694727</v>
      </c>
      <c r="E34" s="56">
        <f t="shared" si="19"/>
        <v>750.83438076489597</v>
      </c>
      <c r="F34" s="56">
        <f>IF(AND(C34&lt;&gt;0,D34&lt;&gt;0,E34&lt;&gt;0),1/((1/C34)+(1/D34)+(1/E34)),IF(AND(C34&lt;&gt;0,D34&lt;&gt;0,E34=0), 1/((1/C34)+(1/D34)),IF(AND(C34&lt;&gt;0,D34=0,E34&lt;&gt;0),1/((1/C34)+(1/E34)),IF(AND(C34=0,D34&lt;&gt;0,E34&lt;&gt;0),1/((1/D34)+(1/E34)),IF(AND(C34&lt;&gt;0,D34=0,E34=0),1/((1/C34)),IF(AND(C34=0,D34&lt;&gt;0,E34=0),1/((1/D34)),IF(AND(C34=0,D34=0,E34&lt;&gt;0),1/((1/E34)),IF(AND(C34=0,D34=0,E34=0),0))))))))</f>
        <v>737.14124823808629</v>
      </c>
      <c r="G34" s="64">
        <f>IFERROR(s_RadSpec!$I$14*G14,".")*$B$34</f>
        <v>5.9183991487500001E-7</v>
      </c>
      <c r="H34" s="64">
        <f>IFERROR(s_RadSpec!$G$14*H14,".")*$B$33</f>
        <v>7.8261689969957301E-7</v>
      </c>
      <c r="I34" s="64">
        <f>IFERROR(s_RadSpec!$F$14*I14,".")*$B$33</f>
        <v>7.399101775734425E-5</v>
      </c>
      <c r="J34" s="73">
        <f t="shared" si="15"/>
        <v>5.9183991487500001E-7</v>
      </c>
      <c r="K34" s="73">
        <f t="shared" si="15"/>
        <v>7.8261689969957301E-7</v>
      </c>
      <c r="L34" s="73">
        <f t="shared" si="15"/>
        <v>7.399101775734425E-5</v>
      </c>
      <c r="M34" s="73">
        <f t="shared" si="20"/>
        <v>7.5365474571918825E-5</v>
      </c>
      <c r="N34" s="56">
        <f t="shared" si="21"/>
        <v>93868.288710695575</v>
      </c>
      <c r="O34" s="56">
        <f t="shared" si="21"/>
        <v>446460.37680169125</v>
      </c>
      <c r="P34" s="56">
        <f t="shared" si="21"/>
        <v>750.83438076489597</v>
      </c>
      <c r="Q34" s="56">
        <f>IF(AND(N34&lt;&gt;0,O34&lt;&gt;0,P34&lt;&gt;0),1/((1/N34)+(1/O34)+(1/P34)),IF(AND(N34&lt;&gt;0,O34&lt;&gt;0,P34=0), 1/((1/N34)+(1/O34)),IF(AND(N34&lt;&gt;0,O34=0,P34&lt;&gt;0),1/((1/N34)+(1/P34)),IF(AND(N34=0,O34&lt;&gt;0,P34&lt;&gt;0),1/((1/O34)+(1/P34)),IF(AND(N34&lt;&gt;0,O34=0,P34=0),1/((1/N34)),IF(AND(N34=0,O34&lt;&gt;0,P34=0),1/((1/O34)),IF(AND(N34=0,O34=0,P34&lt;&gt;0),1/((1/P34)),IF(AND(N34=0,O34=0,P34=0),0))))))))</f>
        <v>743.63557435308121</v>
      </c>
      <c r="R34" s="64">
        <f>IFERROR(s_RadSpec!$I$14*R14,".")*$B$34</f>
        <v>5.9183991487500001E-7</v>
      </c>
      <c r="S34" s="64">
        <f>IFERROR(s_RadSpec!$G$14*S14,".")*$B$33</f>
        <v>1.244343347957985E-7</v>
      </c>
      <c r="T34" s="64">
        <f>IFERROR(s_RadSpec!$F$14*T14,".")*$B$33</f>
        <v>7.399101775734425E-5</v>
      </c>
      <c r="U34" s="73">
        <f t="shared" si="16"/>
        <v>5.9183991487500001E-7</v>
      </c>
      <c r="V34" s="73">
        <f t="shared" si="16"/>
        <v>1.244343347957985E-7</v>
      </c>
      <c r="W34" s="73">
        <f t="shared" si="16"/>
        <v>7.399101775734425E-5</v>
      </c>
      <c r="X34" s="73">
        <f t="shared" si="22"/>
        <v>7.4707292007015046E-5</v>
      </c>
      <c r="Y34" s="56">
        <f t="shared" si="23"/>
        <v>750.83438076489597</v>
      </c>
      <c r="Z34" s="56">
        <f t="shared" si="23"/>
        <v>5748.4798049429419</v>
      </c>
      <c r="AA34" s="56">
        <f t="shared" si="23"/>
        <v>1548.2514739139149</v>
      </c>
      <c r="AB34" s="56">
        <f t="shared" si="23"/>
        <v>933.66195058311325</v>
      </c>
      <c r="AC34" s="56">
        <f t="shared" si="23"/>
        <v>16258.984256663522</v>
      </c>
      <c r="AD34" s="64">
        <f>IFERROR(s_RadSpec!$F$14*AD14,".")*$B$33</f>
        <v>7.399101775734425E-5</v>
      </c>
      <c r="AE34" s="64">
        <f>IFERROR(s_RadSpec!$M$14*AE14,".")*$B$33</f>
        <v>9.6642941934370109E-6</v>
      </c>
      <c r="AF34" s="64">
        <f>IFERROR(s_RadSpec!$N$14*AF14,".")*$B$33</f>
        <v>3.5882413765484291E-5</v>
      </c>
      <c r="AG34" s="64">
        <f>IFERROR(s_RadSpec!$O$14*AG14,".")*$B$33</f>
        <v>5.9502264138860361E-5</v>
      </c>
      <c r="AH34" s="64">
        <f>IFERROR(s_RadSpec!$K$14*AH14,".")*$B$33</f>
        <v>3.4168801152034779E-6</v>
      </c>
      <c r="AI34" s="73">
        <f t="shared" si="24"/>
        <v>7.399101775734425E-5</v>
      </c>
      <c r="AJ34" s="73">
        <f t="shared" si="18"/>
        <v>9.6642941934370109E-6</v>
      </c>
      <c r="AK34" s="73">
        <f t="shared" si="18"/>
        <v>3.5882413765484291E-5</v>
      </c>
      <c r="AL34" s="73">
        <f t="shared" si="18"/>
        <v>5.9502264138860361E-5</v>
      </c>
      <c r="AM34" s="73">
        <f t="shared" si="18"/>
        <v>3.4168801152034779E-6</v>
      </c>
      <c r="AN34" s="56">
        <f t="shared" si="23"/>
        <v>139.60691926793621</v>
      </c>
      <c r="AO34" s="56">
        <f t="shared" si="23"/>
        <v>13684.211397488009</v>
      </c>
      <c r="AP34" s="56">
        <f t="shared" si="25"/>
        <v>138.19702719174623</v>
      </c>
      <c r="AQ34" s="64">
        <f>IFERROR(s_RadSpec!$G$14*AQ14,".")*$B$33</f>
        <v>3.9793872890625E-4</v>
      </c>
      <c r="AR34" s="64">
        <f>IFERROR(s_RadSpec!$J$14*AR14,".")*$B$33</f>
        <v>4.059788203081849E-6</v>
      </c>
      <c r="AS34" s="73">
        <f t="shared" si="26"/>
        <v>3.9793872890625E-4</v>
      </c>
      <c r="AT34" s="73">
        <f t="shared" si="26"/>
        <v>4.059788203081849E-6</v>
      </c>
      <c r="AU34" s="73">
        <f t="shared" si="27"/>
        <v>4.0199851710933184E-4</v>
      </c>
    </row>
    <row r="35" spans="1:47" x14ac:dyDescent="0.25">
      <c r="A35" s="55" t="s">
        <v>293</v>
      </c>
      <c r="B35" s="50">
        <v>1</v>
      </c>
      <c r="C35" s="56">
        <f>IFERROR(C30/$B35,0)</f>
        <v>4646.8131574514555</v>
      </c>
      <c r="D35" s="56">
        <f>IFERROR(D30/$B35,0)</f>
        <v>38.323268919965919</v>
      </c>
      <c r="E35" s="56">
        <f>IFERROR(E30/$B35,0)</f>
        <v>2737591.278479402</v>
      </c>
      <c r="F35" s="56">
        <f t="shared" ref="F35:F61" si="28">IF(AND(C35&lt;&gt;0,D35&lt;&gt;0,E35&lt;&gt;0),1/((1/C35)+(1/D35)+(1/E35)),IF(AND(C35&lt;&gt;0,D35&lt;&gt;0,E35=0), 1/((1/C35)+(1/D35)),IF(AND(C35&lt;&gt;0,D35=0,E35&lt;&gt;0),1/((1/C35)+(1/E35)),IF(AND(C35=0,D35&lt;&gt;0,E35&lt;&gt;0),1/((1/D35)+(1/E35)),IF(AND(C35&lt;&gt;0,D35=0,E35=0),1/((1/C35)),IF(AND(C35=0,D35&lt;&gt;0,E35=0),1/((1/D35)),IF(AND(C35=0,D35=0,E35&lt;&gt;0),1/((1/E35)),IF(AND(C35=0,D35=0,E35=0),0))))))))</f>
        <v>38.009266227169626</v>
      </c>
      <c r="G35" s="64">
        <f>IFERROR(s_RadSpec!$I$30*G30,".")*$B$35</f>
        <v>1.195550544375E-5</v>
      </c>
      <c r="H35" s="64">
        <f>IFERROR(s_RadSpec!$G$30*H30,".")*$B$35</f>
        <v>1.4496414728091365E-3</v>
      </c>
      <c r="I35" s="64">
        <f>IFERROR(s_RadSpec!$F$30*I30,".")*$B$35</f>
        <v>2.0293387269577397E-8</v>
      </c>
      <c r="J35" s="73">
        <f t="shared" si="15"/>
        <v>1.195550544375E-5</v>
      </c>
      <c r="K35" s="73">
        <f t="shared" si="15"/>
        <v>1.4496414728091365E-3</v>
      </c>
      <c r="L35" s="73">
        <f t="shared" si="15"/>
        <v>2.0293387269577397E-8</v>
      </c>
      <c r="M35" s="73">
        <f t="shared" si="20"/>
        <v>1.461617271640156E-3</v>
      </c>
      <c r="N35" s="56">
        <f>IFERROR(N30/$B35,0)</f>
        <v>4646.8131574514555</v>
      </c>
      <c r="O35" s="56">
        <f>IFERROR(O30/$B35,0)</f>
        <v>241.03024263934446</v>
      </c>
      <c r="P35" s="56">
        <f>IFERROR(P30/$B35,0)</f>
        <v>2737591.278479402</v>
      </c>
      <c r="Q35" s="56">
        <f t="shared" ref="Q35:Q44" si="29">IF(AND(N35&lt;&gt;0,O35&lt;&gt;0,P35&lt;&gt;0),1/((1/N35)+(1/O35)+(1/P35)),IF(AND(N35&lt;&gt;0,O35&lt;&gt;0,P35=0), 1/((1/N35)+(1/O35)),IF(AND(N35&lt;&gt;0,O35=0,P35&lt;&gt;0),1/((1/N35)+(1/P35)),IF(AND(N35=0,O35&lt;&gt;0,P35&lt;&gt;0),1/((1/O35)+(1/P35)),IF(AND(N35&lt;&gt;0,O35=0,P35=0),1/((1/N35)),IF(AND(N35=0,O35&lt;&gt;0,P35=0),1/((1/O35)),IF(AND(N35=0,O35=0,P35&lt;&gt;0),1/((1/P35)),IF(AND(N35=0,O35=0,P35=0),0))))))))</f>
        <v>229.125336024148</v>
      </c>
      <c r="R35" s="64">
        <f>IFERROR(s_RadSpec!$I$30*R30,".")*$B$35</f>
        <v>1.195550544375E-5</v>
      </c>
      <c r="S35" s="64">
        <f>IFERROR(s_RadSpec!$G$30*S30,".")*$B$35</f>
        <v>2.3048974847163646E-4</v>
      </c>
      <c r="T35" s="64">
        <f>IFERROR(s_RadSpec!$F$30*T30,".")*$B$35</f>
        <v>2.0293387269577397E-8</v>
      </c>
      <c r="U35" s="73">
        <f t="shared" si="16"/>
        <v>1.195550544375E-5</v>
      </c>
      <c r="V35" s="73">
        <f t="shared" si="16"/>
        <v>2.3048974847163646E-4</v>
      </c>
      <c r="W35" s="73">
        <f t="shared" si="16"/>
        <v>2.0293387269577397E-8</v>
      </c>
      <c r="X35" s="73">
        <f t="shared" si="22"/>
        <v>2.4246554730265603E-4</v>
      </c>
      <c r="Y35" s="56">
        <f t="shared" ref="Y35:AO35" si="30">IFERROR(Y30/$B35,0)</f>
        <v>2737591.278479402</v>
      </c>
      <c r="Z35" s="56">
        <f t="shared" si="30"/>
        <v>45988329.833045855</v>
      </c>
      <c r="AA35" s="56">
        <f t="shared" si="30"/>
        <v>6788052.3218700802</v>
      </c>
      <c r="AB35" s="56">
        <f t="shared" si="30"/>
        <v>3719600.2852860517</v>
      </c>
      <c r="AC35" s="56">
        <f t="shared" si="30"/>
        <v>653801211.21331596</v>
      </c>
      <c r="AD35" s="64">
        <f>IFERROR(s_RadSpec!$F$30*AD30,".")*$B$35</f>
        <v>2.0293387269577397E-8</v>
      </c>
      <c r="AE35" s="64">
        <f>IFERROR(s_RadSpec!$M$30*AE30,".")*$B$35</f>
        <v>1.2080238660913452E-9</v>
      </c>
      <c r="AF35" s="64">
        <f>IFERROR(s_RadSpec!$N$30*AF30,".")*$B$35</f>
        <v>8.1842327321211359E-9</v>
      </c>
      <c r="AG35" s="64">
        <f>IFERROR(s_RadSpec!$O$30*AG30,".")*$B$35</f>
        <v>1.4935744633573604E-8</v>
      </c>
      <c r="AH35" s="64">
        <f>IFERROR(s_RadSpec!$K$30*AH30,".")*$B$35</f>
        <v>8.4972311227294512E-11</v>
      </c>
      <c r="AI35" s="73">
        <f t="shared" si="24"/>
        <v>2.0293387269577397E-8</v>
      </c>
      <c r="AJ35" s="73">
        <f t="shared" si="18"/>
        <v>1.2080238660913452E-9</v>
      </c>
      <c r="AK35" s="73">
        <f t="shared" si="18"/>
        <v>8.1842327321211359E-9</v>
      </c>
      <c r="AL35" s="73">
        <f t="shared" si="18"/>
        <v>1.4935744633573604E-8</v>
      </c>
      <c r="AM35" s="73">
        <f t="shared" si="18"/>
        <v>8.4972311227294512E-11</v>
      </c>
      <c r="AN35" s="56">
        <f t="shared" si="30"/>
        <v>7.5369487134193017E-2</v>
      </c>
      <c r="AO35" s="56">
        <f t="shared" si="30"/>
        <v>12457233.538684599</v>
      </c>
      <c r="AP35" s="56">
        <f t="shared" si="25"/>
        <v>7.5369486678188116E-2</v>
      </c>
      <c r="AQ35" s="64">
        <f>IFERROR(s_RadSpec!$G$30*AQ30,".")*$B$35</f>
        <v>0.73710200390625003</v>
      </c>
      <c r="AR35" s="64">
        <f>IFERROR(s_RadSpec!$J$30*AR30,".")*$B$35</f>
        <v>4.459657902974999E-9</v>
      </c>
      <c r="AS35" s="73">
        <f t="shared" si="26"/>
        <v>0.52150140478643081</v>
      </c>
      <c r="AT35" s="73">
        <f t="shared" si="26"/>
        <v>4.459657902974999E-9</v>
      </c>
      <c r="AU35" s="73">
        <f t="shared" si="27"/>
        <v>0.52150140692037072</v>
      </c>
    </row>
    <row r="36" spans="1:47" x14ac:dyDescent="0.25">
      <c r="A36" s="55" t="s">
        <v>294</v>
      </c>
      <c r="B36" s="50">
        <v>1</v>
      </c>
      <c r="C36" s="56">
        <f>IFERROR(C26/$B36,0)</f>
        <v>1231.5801789486</v>
      </c>
      <c r="D36" s="56">
        <f>IFERROR(D26/$B36,0)</f>
        <v>6.2112925262232892</v>
      </c>
      <c r="E36" s="56">
        <f>IFERROR(E26/$B36,0)</f>
        <v>9126.3227107343409</v>
      </c>
      <c r="F36" s="56">
        <f t="shared" si="28"/>
        <v>6.1759417870111513</v>
      </c>
      <c r="G36" s="64">
        <f>IFERROR(s_RadSpec!$I$26*G26,".")*$B$37</f>
        <v>4.5108715575E-5</v>
      </c>
      <c r="H36" s="64">
        <f>IFERROR(s_RadSpec!$G$26*H26,".")*$B$37</f>
        <v>8.9441931394236909E-3</v>
      </c>
      <c r="I36" s="64">
        <f>IFERROR(s_RadSpec!$F$26*I26,".")*$B$37</f>
        <v>6.087336790606412E-6</v>
      </c>
      <c r="J36" s="73">
        <f t="shared" si="15"/>
        <v>4.5108715575E-5</v>
      </c>
      <c r="K36" s="73">
        <f t="shared" si="15"/>
        <v>8.9441931394236909E-3</v>
      </c>
      <c r="L36" s="73">
        <f t="shared" si="15"/>
        <v>6.087336790606412E-6</v>
      </c>
      <c r="M36" s="73">
        <f t="shared" si="20"/>
        <v>8.9953891917892975E-3</v>
      </c>
      <c r="N36" s="56">
        <f>IFERROR(N26/$B36,0)</f>
        <v>1231.5801789486</v>
      </c>
      <c r="O36" s="56">
        <f>IFERROR(O26/$B36,0)</f>
        <v>39.06528297014799</v>
      </c>
      <c r="P36" s="56">
        <f>IFERROR(P26/$B36,0)</f>
        <v>9126.3227107343409</v>
      </c>
      <c r="Q36" s="56">
        <f t="shared" si="29"/>
        <v>37.707796674838811</v>
      </c>
      <c r="R36" s="64">
        <f>IFERROR(s_RadSpec!$I$26*R26,".")*$B$37</f>
        <v>4.5108715575E-5</v>
      </c>
      <c r="S36" s="64">
        <f>IFERROR(s_RadSpec!$G$26*S26,".")*$B$37</f>
        <v>1.4221066833805544E-3</v>
      </c>
      <c r="T36" s="64">
        <f>IFERROR(s_RadSpec!$F$26*T26,".")*$B$37</f>
        <v>6.087336790606412E-6</v>
      </c>
      <c r="U36" s="73">
        <f t="shared" si="16"/>
        <v>4.5108715575E-5</v>
      </c>
      <c r="V36" s="73">
        <f t="shared" si="16"/>
        <v>1.4221066833805544E-3</v>
      </c>
      <c r="W36" s="73">
        <f t="shared" si="16"/>
        <v>6.087336790606412E-6</v>
      </c>
      <c r="X36" s="73">
        <f t="shared" si="22"/>
        <v>1.4733027357461607E-3</v>
      </c>
      <c r="Y36" s="56">
        <f t="shared" ref="Y36:AO36" si="31">IFERROR(Y26/$B36,0)</f>
        <v>9126.3227107343409</v>
      </c>
      <c r="Z36" s="56">
        <f t="shared" si="31"/>
        <v>55234.506659924526</v>
      </c>
      <c r="AA36" s="56">
        <f t="shared" si="31"/>
        <v>15826.89299709208</v>
      </c>
      <c r="AB36" s="56">
        <f t="shared" si="31"/>
        <v>10409.985553182349</v>
      </c>
      <c r="AC36" s="56">
        <f t="shared" si="31"/>
        <v>307698.89507167257</v>
      </c>
      <c r="AD36" s="64">
        <f>IFERROR(s_RadSpec!$F$26*AD26,".")*$B$37</f>
        <v>6.087336790606412E-6</v>
      </c>
      <c r="AE36" s="64">
        <f>IFERROR(s_RadSpec!$M$26*AE26,".")*$B$37</f>
        <v>1.0058024115621912E-6</v>
      </c>
      <c r="AF36" s="64">
        <f>IFERROR(s_RadSpec!$N$26*AF26,".")*$B$37</f>
        <v>3.5101646299249814E-6</v>
      </c>
      <c r="AG36" s="64">
        <f>IFERROR(s_RadSpec!$O$26*AG26,".")*$B$37</f>
        <v>5.3367028912942869E-6</v>
      </c>
      <c r="AH36" s="64">
        <f>IFERROR(s_RadSpec!$K$26*AH26,".")*$B$37</f>
        <v>1.8054988461060126E-7</v>
      </c>
      <c r="AI36" s="73">
        <f t="shared" si="24"/>
        <v>6.087336790606412E-6</v>
      </c>
      <c r="AJ36" s="73">
        <f t="shared" si="18"/>
        <v>1.0058024115621912E-6</v>
      </c>
      <c r="AK36" s="73">
        <f t="shared" si="18"/>
        <v>3.5101646299249814E-6</v>
      </c>
      <c r="AL36" s="73">
        <f t="shared" si="18"/>
        <v>5.3367028912942869E-6</v>
      </c>
      <c r="AM36" s="73">
        <f t="shared" si="18"/>
        <v>1.8054988461060126E-7</v>
      </c>
      <c r="AN36" s="56">
        <f t="shared" si="31"/>
        <v>1.221560543594442E-2</v>
      </c>
      <c r="AO36" s="56">
        <f t="shared" si="31"/>
        <v>38922.795842660431</v>
      </c>
      <c r="AP36" s="56">
        <f t="shared" si="25"/>
        <v>1.2215601602176414E-2</v>
      </c>
      <c r="AQ36" s="64">
        <f>IFERROR(s_RadSpec!$G$26*AQ26,".")*$B$37</f>
        <v>4.5478711875000002</v>
      </c>
      <c r="AR36" s="64">
        <f>IFERROR(s_RadSpec!$J$26*AR26,".")*$B$37</f>
        <v>1.4273126787852738E-6</v>
      </c>
      <c r="AS36" s="73">
        <f t="shared" si="26"/>
        <v>0.98941027605791099</v>
      </c>
      <c r="AT36" s="73">
        <f t="shared" si="26"/>
        <v>1.4273126787852738E-6</v>
      </c>
      <c r="AU36" s="73">
        <f t="shared" si="27"/>
        <v>0.98941029117274748</v>
      </c>
    </row>
    <row r="37" spans="1:47" x14ac:dyDescent="0.25">
      <c r="A37" s="55" t="s">
        <v>295</v>
      </c>
      <c r="B37" s="50">
        <v>1</v>
      </c>
      <c r="C37" s="56">
        <f>IFERROR(C22/$B37,0)</f>
        <v>3259.7047522420658</v>
      </c>
      <c r="D37" s="56">
        <f>IFERROR(D22/$B37,0)</f>
        <v>41.467186313683065</v>
      </c>
      <c r="E37" s="56">
        <f>IFERROR(E22/$B37,0)</f>
        <v>183552683842.60846</v>
      </c>
      <c r="F37" s="56">
        <f t="shared" si="28"/>
        <v>40.946302335831419</v>
      </c>
      <c r="G37" s="64">
        <f>IFERROR(s_RadSpec!$I$22*G22,".")*$B$37</f>
        <v>1.704295456875E-5</v>
      </c>
      <c r="H37" s="64">
        <f>IFERROR(s_RadSpec!$G$22*H22,".")*$B$37</f>
        <v>1.3397340147399469E-3</v>
      </c>
      <c r="I37" s="64">
        <f>IFERROR(s_RadSpec!$F$22*I22,".")*$B$37</f>
        <v>3.0266514679587535E-13</v>
      </c>
      <c r="J37" s="73">
        <f t="shared" si="15"/>
        <v>1.704295456875E-5</v>
      </c>
      <c r="K37" s="73">
        <f t="shared" si="15"/>
        <v>1.3397340147399469E-3</v>
      </c>
      <c r="L37" s="73">
        <f t="shared" si="15"/>
        <v>3.0266514679587535E-13</v>
      </c>
      <c r="M37" s="73">
        <f t="shared" si="20"/>
        <v>1.3567769696113622E-3</v>
      </c>
      <c r="N37" s="56">
        <f>IFERROR(N22/$B37,0)</f>
        <v>3259.7047522420658</v>
      </c>
      <c r="O37" s="56">
        <f>IFERROR(O22/$B37,0)</f>
        <v>260.8035864485127</v>
      </c>
      <c r="P37" s="56">
        <f>IFERROR(P22/$B37,0)</f>
        <v>183552683842.60846</v>
      </c>
      <c r="Q37" s="56">
        <f t="shared" si="29"/>
        <v>241.48293576993532</v>
      </c>
      <c r="R37" s="64">
        <f>IFERROR(s_RadSpec!$I$22*R22,".")*$B$37</f>
        <v>1.704295456875E-5</v>
      </c>
      <c r="S37" s="64">
        <f>IFERROR(s_RadSpec!$G$22*S22,".")*$B$37</f>
        <v>2.1301470871823132E-4</v>
      </c>
      <c r="T37" s="64">
        <f>IFERROR(s_RadSpec!$F$22*T22,".")*$B$37</f>
        <v>3.0266514679587535E-13</v>
      </c>
      <c r="U37" s="73">
        <f t="shared" si="16"/>
        <v>1.704295456875E-5</v>
      </c>
      <c r="V37" s="73">
        <f t="shared" si="16"/>
        <v>2.1301470871823132E-4</v>
      </c>
      <c r="W37" s="73">
        <f t="shared" si="16"/>
        <v>3.0266514679587535E-13</v>
      </c>
      <c r="X37" s="73">
        <f t="shared" si="22"/>
        <v>2.3005766358964646E-4</v>
      </c>
      <c r="Y37" s="56">
        <f t="shared" ref="Y37:AO37" si="32">IFERROR(Y22/$B37,0)</f>
        <v>183552683842.60846</v>
      </c>
      <c r="Z37" s="56">
        <f t="shared" si="32"/>
        <v>231000550534.05627</v>
      </c>
      <c r="AA37" s="56">
        <f t="shared" si="32"/>
        <v>129962849033.61278</v>
      </c>
      <c r="AB37" s="56">
        <f t="shared" si="32"/>
        <v>133410047199.50832</v>
      </c>
      <c r="AC37" s="56">
        <f t="shared" si="32"/>
        <v>652766641922.09705</v>
      </c>
      <c r="AD37" s="64">
        <f>IFERROR(s_RadSpec!$F$22*AD22,".")*$B$37</f>
        <v>3.0266514679587535E-13</v>
      </c>
      <c r="AE37" s="64">
        <f>IFERROR(s_RadSpec!$M$22*AE22,".")*$B$37</f>
        <v>2.4049726232929284E-13</v>
      </c>
      <c r="AF37" s="64">
        <f>IFERROR(s_RadSpec!$N$22*AF22,".")*$B$37</f>
        <v>4.2746831431520543E-13</v>
      </c>
      <c r="AG37" s="64">
        <f>IFERROR(s_RadSpec!$O$22*AG22,".")*$B$37</f>
        <v>4.1642290941491214E-13</v>
      </c>
      <c r="AH37" s="64">
        <f>IFERROR(s_RadSpec!$K$22*AH22,".")*$B$37</f>
        <v>8.5106983770518839E-14</v>
      </c>
      <c r="AI37" s="73">
        <f t="shared" si="24"/>
        <v>3.0266514679587535E-13</v>
      </c>
      <c r="AJ37" s="73">
        <f t="shared" si="18"/>
        <v>2.4049726232929284E-13</v>
      </c>
      <c r="AK37" s="73">
        <f t="shared" si="18"/>
        <v>4.2746831431520543E-13</v>
      </c>
      <c r="AL37" s="73">
        <f t="shared" si="18"/>
        <v>4.1642290941491214E-13</v>
      </c>
      <c r="AM37" s="73">
        <f t="shared" si="18"/>
        <v>8.5106983770518839E-14</v>
      </c>
      <c r="AN37" s="56">
        <f t="shared" si="32"/>
        <v>8.1552556800081555E-2</v>
      </c>
      <c r="AO37" s="56">
        <f t="shared" si="32"/>
        <v>633111.29946605896</v>
      </c>
      <c r="AP37" s="56">
        <f t="shared" si="25"/>
        <v>8.1552546295106096E-2</v>
      </c>
      <c r="AQ37" s="64">
        <f>IFERROR(s_RadSpec!$G$22*AQ22,".")*$B$37</f>
        <v>0.68121714609374995</v>
      </c>
      <c r="AR37" s="64">
        <f>IFERROR(s_RadSpec!$J$22*AR22,".")*$B$37</f>
        <v>8.7749184143219169E-8</v>
      </c>
      <c r="AS37" s="73">
        <f t="shared" si="26"/>
        <v>0.49399925941739176</v>
      </c>
      <c r="AT37" s="73">
        <f t="shared" si="26"/>
        <v>8.7749184143219169E-8</v>
      </c>
      <c r="AU37" s="73">
        <f t="shared" si="27"/>
        <v>0.49399930381854196</v>
      </c>
    </row>
    <row r="38" spans="1:47" x14ac:dyDescent="0.25">
      <c r="A38" s="55" t="s">
        <v>296</v>
      </c>
      <c r="B38" s="50">
        <v>1</v>
      </c>
      <c r="C38" s="56">
        <f>IFERROR(C2/$B38,0)</f>
        <v>2685.2485868879307</v>
      </c>
      <c r="D38" s="56">
        <f>IFERROR(D2/$B38,0)</f>
        <v>37.975778139603534</v>
      </c>
      <c r="E38" s="56">
        <f>IFERROR(E2/$B38,0)</f>
        <v>30084.687312973649</v>
      </c>
      <c r="F38" s="56">
        <f t="shared" si="28"/>
        <v>37.399649053091309</v>
      </c>
      <c r="G38" s="64">
        <f>IFERROR(s_RadSpec!$I$2*G2,".")*$B$38</f>
        <v>2.0688959775000001E-5</v>
      </c>
      <c r="H38" s="64">
        <f>IFERROR(s_RadSpec!$G$2*H2,".")*$B$38</f>
        <v>1.4629061660243834E-3</v>
      </c>
      <c r="I38" s="64">
        <f>IFERROR(s_RadSpec!$F$2*I2,".")*$B$38</f>
        <v>1.8466204890898966E-6</v>
      </c>
      <c r="J38" s="73">
        <f t="shared" si="15"/>
        <v>2.0688959775000001E-5</v>
      </c>
      <c r="K38" s="73">
        <f t="shared" si="15"/>
        <v>1.4629061660243834E-3</v>
      </c>
      <c r="L38" s="73">
        <f t="shared" si="15"/>
        <v>1.8466204890898966E-6</v>
      </c>
      <c r="M38" s="73">
        <f t="shared" si="20"/>
        <v>1.4854417462884732E-3</v>
      </c>
      <c r="N38" s="56">
        <f>IFERROR(N2/$B38,0)</f>
        <v>2685.2485868879307</v>
      </c>
      <c r="O38" s="56">
        <f>IFERROR(O2/$B38,0)</f>
        <v>238.84473525789966</v>
      </c>
      <c r="P38" s="56">
        <f>IFERROR(P2/$B38,0)</f>
        <v>30084.687312973649</v>
      </c>
      <c r="Q38" s="56">
        <f t="shared" si="29"/>
        <v>217.74799168637634</v>
      </c>
      <c r="R38" s="64">
        <f>IFERROR(s_RadSpec!$I$2*R2,".")*$B$38</f>
        <v>2.0688959775000001E-5</v>
      </c>
      <c r="S38" s="64">
        <f>IFERROR(s_RadSpec!$G$2*S2,".")*$B$38</f>
        <v>2.3259880499359913E-4</v>
      </c>
      <c r="T38" s="64">
        <f>IFERROR(s_RadSpec!$F$2*T2,".")*$B$38</f>
        <v>1.8466204890898966E-6</v>
      </c>
      <c r="U38" s="73">
        <f t="shared" si="16"/>
        <v>2.0688959775000001E-5</v>
      </c>
      <c r="V38" s="73">
        <f t="shared" si="16"/>
        <v>2.3259880499359913E-4</v>
      </c>
      <c r="W38" s="73">
        <f t="shared" si="16"/>
        <v>1.8466204890898966E-6</v>
      </c>
      <c r="X38" s="73">
        <f t="shared" si="22"/>
        <v>2.5513438525768905E-4</v>
      </c>
      <c r="Y38" s="56">
        <f t="shared" ref="Y38:AO38" si="33">IFERROR(Y2/$B38,0)</f>
        <v>30084.687312973649</v>
      </c>
      <c r="Z38" s="56">
        <f t="shared" si="33"/>
        <v>217159.67516504906</v>
      </c>
      <c r="AA38" s="56">
        <f t="shared" si="33"/>
        <v>56968.922711884559</v>
      </c>
      <c r="AB38" s="56">
        <f t="shared" si="33"/>
        <v>35240.011990058803</v>
      </c>
      <c r="AC38" s="56">
        <f t="shared" si="33"/>
        <v>1649715.6661023495</v>
      </c>
      <c r="AD38" s="64">
        <f>IFERROR(s_RadSpec!$F$2*AD2,".")*$B$38</f>
        <v>1.8466204890898966E-6</v>
      </c>
      <c r="AE38" s="64">
        <f>IFERROR(s_RadSpec!$M$2*AE2,".")*$B$38</f>
        <v>2.5582558068286032E-7</v>
      </c>
      <c r="AF38" s="64">
        <f>IFERROR(s_RadSpec!$N$2*AF2,".")*$B$38</f>
        <v>9.7518080657702895E-7</v>
      </c>
      <c r="AG38" s="64">
        <f>IFERROR(s_RadSpec!$O$2*AG2,".")*$B$38</f>
        <v>1.576475059533806E-6</v>
      </c>
      <c r="AH38" s="64">
        <f>IFERROR(s_RadSpec!$K$2*AH2,".")*$B$38</f>
        <v>3.3675500052233434E-8</v>
      </c>
      <c r="AI38" s="73">
        <f t="shared" si="24"/>
        <v>1.8466204890898966E-6</v>
      </c>
      <c r="AJ38" s="73">
        <f t="shared" si="18"/>
        <v>2.5582558068286032E-7</v>
      </c>
      <c r="AK38" s="73">
        <f t="shared" si="18"/>
        <v>9.7518080657702895E-7</v>
      </c>
      <c r="AL38" s="73">
        <f t="shared" si="18"/>
        <v>1.576475059533806E-6</v>
      </c>
      <c r="AM38" s="73">
        <f t="shared" si="18"/>
        <v>3.3675500052233434E-8</v>
      </c>
      <c r="AN38" s="56">
        <f t="shared" si="33"/>
        <v>7.4686085048779355E-2</v>
      </c>
      <c r="AO38" s="56">
        <f t="shared" si="33"/>
        <v>226828.99164543615</v>
      </c>
      <c r="AP38" s="56">
        <f t="shared" si="25"/>
        <v>7.468606045752485E-2</v>
      </c>
      <c r="AQ38" s="64">
        <f>IFERROR(s_RadSpec!$G$2*AQ2,".")*$B$38</f>
        <v>0.74384672812499997</v>
      </c>
      <c r="AR38" s="64">
        <f>IFERROR(s_RadSpec!$J$2*AR2,".")*$B$38</f>
        <v>2.4492019118455477E-7</v>
      </c>
      <c r="AS38" s="73">
        <f t="shared" si="26"/>
        <v>0.52471788651560991</v>
      </c>
      <c r="AT38" s="73">
        <f t="shared" si="26"/>
        <v>2.4492019118455477E-7</v>
      </c>
      <c r="AU38" s="73">
        <f t="shared" si="27"/>
        <v>0.52471800292178172</v>
      </c>
    </row>
    <row r="39" spans="1:47" x14ac:dyDescent="0.25">
      <c r="A39" s="55" t="s">
        <v>297</v>
      </c>
      <c r="B39" s="50">
        <v>1</v>
      </c>
      <c r="C39" s="56">
        <f>IFERROR(C11/$B39,0)</f>
        <v>0</v>
      </c>
      <c r="D39" s="56">
        <f>IFERROR(D11/$B39,0)</f>
        <v>0</v>
      </c>
      <c r="E39" s="56">
        <f>IFERROR(E11/$B39,0)</f>
        <v>10404.910487076499</v>
      </c>
      <c r="F39" s="56">
        <f t="shared" si="28"/>
        <v>10404.910487076499</v>
      </c>
      <c r="G39" s="64">
        <f>IFERROR(s_RadSpec!$I$11*G11,".")*$B$39</f>
        <v>0</v>
      </c>
      <c r="H39" s="64">
        <f>IFERROR(s_RadSpec!$G$11*H11,".")*$B$39</f>
        <v>0</v>
      </c>
      <c r="I39" s="64">
        <f>IFERROR(s_RadSpec!$F$11*I11,".")*$B$39</f>
        <v>5.3393059045536742E-6</v>
      </c>
      <c r="J39" s="73">
        <f t="shared" si="15"/>
        <v>0</v>
      </c>
      <c r="K39" s="73">
        <f t="shared" si="15"/>
        <v>0</v>
      </c>
      <c r="L39" s="73">
        <f t="shared" si="15"/>
        <v>5.3393059045536742E-6</v>
      </c>
      <c r="M39" s="73">
        <f t="shared" si="20"/>
        <v>5.3393059045536742E-6</v>
      </c>
      <c r="N39" s="56">
        <f>IFERROR(N11/$B39,0)</f>
        <v>0</v>
      </c>
      <c r="O39" s="56">
        <f>IFERROR(O11/$B39,0)</f>
        <v>0</v>
      </c>
      <c r="P39" s="56">
        <f>IFERROR(P11/$B39,0)</f>
        <v>10404.910487076499</v>
      </c>
      <c r="Q39" s="56">
        <f t="shared" si="29"/>
        <v>10404.910487076499</v>
      </c>
      <c r="R39" s="64">
        <f>IFERROR(s_RadSpec!$I$11*R11,".")*$B$39</f>
        <v>0</v>
      </c>
      <c r="S39" s="64">
        <f>IFERROR(s_RadSpec!$G$11*S11,".")*$B$39</f>
        <v>0</v>
      </c>
      <c r="T39" s="64">
        <f>IFERROR(s_RadSpec!$F$11*T11,".")*$B$39</f>
        <v>5.3393059045536742E-6</v>
      </c>
      <c r="U39" s="73">
        <f t="shared" si="16"/>
        <v>0</v>
      </c>
      <c r="V39" s="73">
        <f t="shared" si="16"/>
        <v>0</v>
      </c>
      <c r="W39" s="73">
        <f t="shared" si="16"/>
        <v>5.3393059045536742E-6</v>
      </c>
      <c r="X39" s="73">
        <f t="shared" si="22"/>
        <v>5.3393059045536742E-6</v>
      </c>
      <c r="Y39" s="56">
        <f t="shared" ref="Y39:AO39" si="34">IFERROR(Y11/$B39,0)</f>
        <v>10404.910487076499</v>
      </c>
      <c r="Z39" s="56">
        <f t="shared" si="34"/>
        <v>53935.9229583341</v>
      </c>
      <c r="AA39" s="56">
        <f t="shared" si="34"/>
        <v>15171.228645350095</v>
      </c>
      <c r="AB39" s="56">
        <f t="shared" si="34"/>
        <v>10104.298205467267</v>
      </c>
      <c r="AC39" s="56">
        <f t="shared" si="34"/>
        <v>101895.83609072326</v>
      </c>
      <c r="AD39" s="64">
        <f>IFERROR(s_RadSpec!$F$11*AD11,".")*$B$39</f>
        <v>5.3393059045536742E-6</v>
      </c>
      <c r="AE39" s="64">
        <f>IFERROR(s_RadSpec!$M$11*AE11,".")*$B$39</f>
        <v>1.0300185285216433E-6</v>
      </c>
      <c r="AF39" s="64">
        <f>IFERROR(s_RadSpec!$N$11*AF11,".")*$B$39</f>
        <v>3.6618655811391591E-6</v>
      </c>
      <c r="AG39" s="64">
        <f>IFERROR(s_RadSpec!$O$11*AG11,".")*$B$39</f>
        <v>5.4981552276376926E-6</v>
      </c>
      <c r="AH39" s="64">
        <f>IFERROR(s_RadSpec!$K$11*AH11,".")*$B$39</f>
        <v>5.4521364298474793E-7</v>
      </c>
      <c r="AI39" s="73">
        <f t="shared" si="24"/>
        <v>5.3393059045536742E-6</v>
      </c>
      <c r="AJ39" s="73">
        <f t="shared" si="18"/>
        <v>1.0300185285216433E-6</v>
      </c>
      <c r="AK39" s="73">
        <f t="shared" si="18"/>
        <v>3.6618655811391591E-6</v>
      </c>
      <c r="AL39" s="73">
        <f t="shared" si="18"/>
        <v>5.4981552276376926E-6</v>
      </c>
      <c r="AM39" s="73">
        <f t="shared" si="18"/>
        <v>5.4521364298474793E-7</v>
      </c>
      <c r="AN39" s="56">
        <f t="shared" si="34"/>
        <v>0</v>
      </c>
      <c r="AO39" s="56">
        <f t="shared" si="34"/>
        <v>101349.12392668423</v>
      </c>
      <c r="AP39" s="56">
        <f t="shared" si="25"/>
        <v>101349.12392668423</v>
      </c>
      <c r="AQ39" s="64">
        <f>IFERROR(s_RadSpec!$G$11*AQ11,".")*$B$39</f>
        <v>0</v>
      </c>
      <c r="AR39" s="64">
        <f>IFERROR(s_RadSpec!$J$11*AR11,".")*$B$39</f>
        <v>5.4815471360352733E-7</v>
      </c>
      <c r="AS39" s="73">
        <f t="shared" si="26"/>
        <v>0</v>
      </c>
      <c r="AT39" s="73">
        <f t="shared" si="26"/>
        <v>5.4815471360352733E-7</v>
      </c>
      <c r="AU39" s="73">
        <f t="shared" si="27"/>
        <v>5.4815471360352733E-7</v>
      </c>
    </row>
    <row r="40" spans="1:47" x14ac:dyDescent="0.25">
      <c r="A40" s="55" t="s">
        <v>298</v>
      </c>
      <c r="B40" s="50">
        <v>1</v>
      </c>
      <c r="C40" s="56">
        <f>IFERROR(C4/$B40,0)</f>
        <v>0</v>
      </c>
      <c r="D40" s="56">
        <f>IFERROR(D4/$B40,0)</f>
        <v>0</v>
      </c>
      <c r="E40" s="56">
        <f>IFERROR(E4/$B40,0)</f>
        <v>646736.02771724516</v>
      </c>
      <c r="F40" s="56">
        <f t="shared" si="28"/>
        <v>646736.02771724516</v>
      </c>
      <c r="G40" s="64">
        <f>IFERROR(s_RadSpec!$I$4*G4,".")*$B$40</f>
        <v>0</v>
      </c>
      <c r="H40" s="64">
        <f>IFERROR(s_RadSpec!$G$4*H4,".")*$B$40</f>
        <v>0</v>
      </c>
      <c r="I40" s="64">
        <f>IFERROR(s_RadSpec!$F$4*I4,".")*$B$40</f>
        <v>8.5900580173475042E-8</v>
      </c>
      <c r="J40" s="73">
        <f t="shared" si="15"/>
        <v>0</v>
      </c>
      <c r="K40" s="73">
        <f t="shared" si="15"/>
        <v>0</v>
      </c>
      <c r="L40" s="73">
        <f t="shared" si="15"/>
        <v>8.5900580173475042E-8</v>
      </c>
      <c r="M40" s="73">
        <f t="shared" si="20"/>
        <v>8.5900580173475042E-8</v>
      </c>
      <c r="N40" s="56">
        <f>IFERROR(N4/$B40,0)</f>
        <v>0</v>
      </c>
      <c r="O40" s="56">
        <f>IFERROR(O4/$B40,0)</f>
        <v>0</v>
      </c>
      <c r="P40" s="56">
        <f>IFERROR(P4/$B40,0)</f>
        <v>646736.02771724516</v>
      </c>
      <c r="Q40" s="56">
        <f t="shared" si="29"/>
        <v>646736.02771724516</v>
      </c>
      <c r="R40" s="64">
        <f>IFERROR(s_RadSpec!$I$4*R4,".")*$B$40</f>
        <v>0</v>
      </c>
      <c r="S40" s="64">
        <f>IFERROR(s_RadSpec!$G$4*S4,".")*$B$40</f>
        <v>0</v>
      </c>
      <c r="T40" s="64">
        <f>IFERROR(s_RadSpec!$F$4*T4,".")*$B$40</f>
        <v>8.5900580173475042E-8</v>
      </c>
      <c r="U40" s="73">
        <f t="shared" si="16"/>
        <v>0</v>
      </c>
      <c r="V40" s="73">
        <f t="shared" si="16"/>
        <v>0</v>
      </c>
      <c r="W40" s="73">
        <f t="shared" si="16"/>
        <v>8.5900580173475042E-8</v>
      </c>
      <c r="X40" s="73">
        <f t="shared" si="22"/>
        <v>8.5900580173475042E-8</v>
      </c>
      <c r="Y40" s="56">
        <f t="shared" ref="Y40:AO40" si="35">IFERROR(Y4/$B40,0)</f>
        <v>646736.02771724516</v>
      </c>
      <c r="Z40" s="56">
        <f t="shared" si="35"/>
        <v>4560458.5480438126</v>
      </c>
      <c r="AA40" s="56">
        <f t="shared" si="35"/>
        <v>1189234.200423677</v>
      </c>
      <c r="AB40" s="56">
        <f t="shared" si="35"/>
        <v>704833.37996516505</v>
      </c>
      <c r="AC40" s="56">
        <f t="shared" si="35"/>
        <v>8588670.5574485511</v>
      </c>
      <c r="AD40" s="64">
        <f>IFERROR(s_RadSpec!$F$4*AD4,".")*$B$40</f>
        <v>8.5900580173475042E-8</v>
      </c>
      <c r="AE40" s="64">
        <f>IFERROR(s_RadSpec!$M$4*AE4,".")*$B$40</f>
        <v>1.2181889039169112E-8</v>
      </c>
      <c r="AF40" s="64">
        <f>IFERROR(s_RadSpec!$N$4*AF4,".")*$B$40</f>
        <v>4.6714936368469673E-8</v>
      </c>
      <c r="AG40" s="64">
        <f>IFERROR(s_RadSpec!$O$4*AG4,".")*$B$40</f>
        <v>7.8820046807013719E-8</v>
      </c>
      <c r="AH40" s="64">
        <f>IFERROR(s_RadSpec!$K$4*AH4,".")*$B$40</f>
        <v>6.4684050492331147E-9</v>
      </c>
      <c r="AI40" s="73">
        <f t="shared" si="24"/>
        <v>8.5900580173475042E-8</v>
      </c>
      <c r="AJ40" s="73">
        <f t="shared" si="18"/>
        <v>1.2181889039169112E-8</v>
      </c>
      <c r="AK40" s="73">
        <f t="shared" si="18"/>
        <v>4.6714936368469673E-8</v>
      </c>
      <c r="AL40" s="73">
        <f t="shared" si="18"/>
        <v>7.8820046807013719E-8</v>
      </c>
      <c r="AM40" s="73">
        <f t="shared" si="18"/>
        <v>6.4684050492331147E-9</v>
      </c>
      <c r="AN40" s="56">
        <f t="shared" si="35"/>
        <v>0</v>
      </c>
      <c r="AO40" s="56">
        <f t="shared" si="35"/>
        <v>11965500.635841783</v>
      </c>
      <c r="AP40" s="56">
        <f t="shared" si="25"/>
        <v>11965500.635841783</v>
      </c>
      <c r="AQ40" s="64">
        <f>IFERROR(s_RadSpec!$G$4*AQ4,".")*$B$40</f>
        <v>0</v>
      </c>
      <c r="AR40" s="64">
        <f>IFERROR(s_RadSpec!$J$4*AR4,".")*$B$40</f>
        <v>4.642931515426027E-9</v>
      </c>
      <c r="AS40" s="73">
        <f t="shared" si="26"/>
        <v>0</v>
      </c>
      <c r="AT40" s="73">
        <f t="shared" si="26"/>
        <v>4.642931515426027E-9</v>
      </c>
      <c r="AU40" s="73">
        <f t="shared" si="27"/>
        <v>4.642931515426027E-9</v>
      </c>
    </row>
    <row r="41" spans="1:47" x14ac:dyDescent="0.25">
      <c r="A41" s="55" t="s">
        <v>299</v>
      </c>
      <c r="B41" s="57">
        <v>0.99987999999999999</v>
      </c>
      <c r="C41" s="56">
        <f>IFERROR(C8/$B41,0)</f>
        <v>764619.9401578774</v>
      </c>
      <c r="D41" s="56">
        <f>IFERROR(D8/$B41,0)</f>
        <v>14660.409611040288</v>
      </c>
      <c r="E41" s="56">
        <f>IFERROR(E8/$B41,0)</f>
        <v>713.19615431475995</v>
      </c>
      <c r="F41" s="56">
        <f t="shared" si="28"/>
        <v>679.50590470042323</v>
      </c>
      <c r="G41" s="64">
        <f>IFERROR(s_RadSpec!$I$8*G8,".")*$B$41</f>
        <v>7.2657011780949753E-8</v>
      </c>
      <c r="H41" s="64">
        <f>IFERROR(s_RadSpec!$G$8*H8,".")*$B$41</f>
        <v>3.7894575577317628E-6</v>
      </c>
      <c r="I41" s="64">
        <f>IFERROR(s_RadSpec!$F$8*I8,".")*$B$41</f>
        <v>7.7895821035907459E-5</v>
      </c>
      <c r="J41" s="73">
        <f t="shared" si="15"/>
        <v>7.2657011780949753E-8</v>
      </c>
      <c r="K41" s="73">
        <f t="shared" si="15"/>
        <v>3.7894575577317628E-6</v>
      </c>
      <c r="L41" s="73">
        <f t="shared" si="15"/>
        <v>7.7895821035907459E-5</v>
      </c>
      <c r="M41" s="73">
        <f t="shared" si="20"/>
        <v>8.1757935605420175E-5</v>
      </c>
      <c r="N41" s="56">
        <f>IFERROR(N8/$B41,0)</f>
        <v>764619.9401578774</v>
      </c>
      <c r="O41" s="56">
        <f>IFERROR(O8/$B41,0)</f>
        <v>92205.132425440301</v>
      </c>
      <c r="P41" s="56">
        <f>IFERROR(P8/$B41,0)</f>
        <v>713.19615431475995</v>
      </c>
      <c r="Q41" s="56">
        <f t="shared" si="29"/>
        <v>707.06755325539325</v>
      </c>
      <c r="R41" s="64">
        <f>IFERROR(s_RadSpec!$I$8*R8,".")*$B$41</f>
        <v>7.2657011780949753E-8</v>
      </c>
      <c r="S41" s="64">
        <f>IFERROR(s_RadSpec!$G$8*S8,".")*$B$41</f>
        <v>6.0251526719430031E-7</v>
      </c>
      <c r="T41" s="64">
        <f>IFERROR(s_RadSpec!$F$8*T8,".")*$B$41</f>
        <v>7.7895821035907459E-5</v>
      </c>
      <c r="U41" s="73">
        <f t="shared" si="16"/>
        <v>7.2657011780949753E-8</v>
      </c>
      <c r="V41" s="73">
        <f t="shared" si="16"/>
        <v>6.0251526719430031E-7</v>
      </c>
      <c r="W41" s="73">
        <f t="shared" si="16"/>
        <v>7.7895821035907459E-5</v>
      </c>
      <c r="X41" s="73">
        <f t="shared" si="22"/>
        <v>7.8570993314882714E-5</v>
      </c>
      <c r="Y41" s="56">
        <f t="shared" ref="Y41:AO41" si="36">IFERROR(Y8/$B41,0)</f>
        <v>713.19615431475995</v>
      </c>
      <c r="Z41" s="56">
        <f t="shared" si="36"/>
        <v>6039.5290342474946</v>
      </c>
      <c r="AA41" s="56">
        <f t="shared" si="36"/>
        <v>1577.9689253610634</v>
      </c>
      <c r="AB41" s="56">
        <f t="shared" si="36"/>
        <v>956.34825108978987</v>
      </c>
      <c r="AC41" s="56">
        <f t="shared" si="36"/>
        <v>10951.536594652041</v>
      </c>
      <c r="AD41" s="64">
        <f>IFERROR(s_RadSpec!$F$8*AD8,".")*$B$41</f>
        <v>7.7895821035907459E-5</v>
      </c>
      <c r="AE41" s="64">
        <f>IFERROR(s_RadSpec!$M$8*AE8,".")*$B$41</f>
        <v>9.1985649352742886E-6</v>
      </c>
      <c r="AF41" s="64">
        <f>IFERROR(s_RadSpec!$N$8*AF8,".")*$B$41</f>
        <v>3.5206650211624513E-5</v>
      </c>
      <c r="AG41" s="64">
        <f>IFERROR(s_RadSpec!$O$8*AG8,".")*$B$41</f>
        <v>5.8090763418758034E-5</v>
      </c>
      <c r="AH41" s="64">
        <f>IFERROR(s_RadSpec!$K$8*AH8,".")*$B$41</f>
        <v>5.072804123864147E-6</v>
      </c>
      <c r="AI41" s="73">
        <f t="shared" si="24"/>
        <v>7.7895821035907459E-5</v>
      </c>
      <c r="AJ41" s="73">
        <f t="shared" si="18"/>
        <v>9.1985649352742886E-6</v>
      </c>
      <c r="AK41" s="73">
        <f t="shared" si="18"/>
        <v>3.5206650211624513E-5</v>
      </c>
      <c r="AL41" s="73">
        <f t="shared" si="18"/>
        <v>5.8090763418758034E-5</v>
      </c>
      <c r="AM41" s="73">
        <f t="shared" si="18"/>
        <v>5.072804123864147E-6</v>
      </c>
      <c r="AN41" s="56">
        <f t="shared" si="36"/>
        <v>28.832288703473246</v>
      </c>
      <c r="AO41" s="56">
        <f t="shared" si="36"/>
        <v>21939.383891776957</v>
      </c>
      <c r="AP41" s="56">
        <f t="shared" si="25"/>
        <v>28.794447630486214</v>
      </c>
      <c r="AQ41" s="64">
        <f>IFERROR(s_RadSpec!$G$8*AQ8,".")*$B$41</f>
        <v>1.9268328148125001E-3</v>
      </c>
      <c r="AR41" s="64">
        <f>IFERROR(s_RadSpec!$J$8*AR8,".")*$B$41</f>
        <v>2.5322041983513686E-6</v>
      </c>
      <c r="AS41" s="73">
        <f t="shared" si="26"/>
        <v>1.9268328148125001E-3</v>
      </c>
      <c r="AT41" s="73">
        <f t="shared" si="26"/>
        <v>2.5322041983513686E-6</v>
      </c>
      <c r="AU41" s="73">
        <f t="shared" si="27"/>
        <v>1.9293650190108514E-3</v>
      </c>
    </row>
    <row r="42" spans="1:47" x14ac:dyDescent="0.25">
      <c r="A42" s="55" t="s">
        <v>300</v>
      </c>
      <c r="B42" s="50">
        <v>0.97898250799999997</v>
      </c>
      <c r="C42" s="56">
        <f>IFERROR(C19/$B42,0)</f>
        <v>0</v>
      </c>
      <c r="D42" s="56">
        <f>IFERROR(D19/$B42,0)</f>
        <v>0</v>
      </c>
      <c r="E42" s="56">
        <f>IFERROR(E19/$B42,0)</f>
        <v>1584315.7946421916</v>
      </c>
      <c r="F42" s="56">
        <f t="shared" si="28"/>
        <v>1584315.7946421916</v>
      </c>
      <c r="G42" s="74">
        <f>IFERROR(s_RadSpec!$I$19*G19,".")*$B$42</f>
        <v>0</v>
      </c>
      <c r="H42" s="74">
        <f>IFERROR(s_RadSpec!$G$19*H19,".")*$B$42</f>
        <v>0</v>
      </c>
      <c r="I42" s="74">
        <f>IFERROR(s_RadSpec!$F$19*I19,".")*$B$42</f>
        <v>3.5065610144060187E-8</v>
      </c>
      <c r="J42" s="73">
        <f t="shared" si="15"/>
        <v>0</v>
      </c>
      <c r="K42" s="73">
        <f t="shared" si="15"/>
        <v>0</v>
      </c>
      <c r="L42" s="73">
        <f t="shared" si="15"/>
        <v>3.5065610144060187E-8</v>
      </c>
      <c r="M42" s="73">
        <f t="shared" si="20"/>
        <v>3.5065610144060187E-8</v>
      </c>
      <c r="N42" s="56">
        <f>IFERROR(N19/$B42,0)</f>
        <v>0</v>
      </c>
      <c r="O42" s="56">
        <f>IFERROR(O19/$B42,0)</f>
        <v>0</v>
      </c>
      <c r="P42" s="56">
        <f>IFERROR(P19/$B42,0)</f>
        <v>1584315.7946421916</v>
      </c>
      <c r="Q42" s="56">
        <f t="shared" si="29"/>
        <v>1584315.7946421916</v>
      </c>
      <c r="R42" s="74">
        <f>IFERROR(s_RadSpec!$I$19*R19,".")*$B$42</f>
        <v>0</v>
      </c>
      <c r="S42" s="74">
        <f>IFERROR(s_RadSpec!$G$19*S19,".")*$B$42</f>
        <v>0</v>
      </c>
      <c r="T42" s="74">
        <f>IFERROR(s_RadSpec!$F$19*T19,".")*$B$42</f>
        <v>3.5065610144060187E-8</v>
      </c>
      <c r="U42" s="73">
        <f t="shared" si="16"/>
        <v>0</v>
      </c>
      <c r="V42" s="73">
        <f t="shared" si="16"/>
        <v>0</v>
      </c>
      <c r="W42" s="73">
        <f t="shared" si="16"/>
        <v>3.5065610144060187E-8</v>
      </c>
      <c r="X42" s="73">
        <f t="shared" si="22"/>
        <v>3.5065610144060187E-8</v>
      </c>
      <c r="Y42" s="56">
        <f t="shared" ref="Y42:AO42" si="37">IFERROR(Y19/$B42,0)</f>
        <v>1584315.7946421916</v>
      </c>
      <c r="Z42" s="56">
        <f t="shared" si="37"/>
        <v>15711688.152500637</v>
      </c>
      <c r="AA42" s="56">
        <f t="shared" si="37"/>
        <v>3867362.8286705478</v>
      </c>
      <c r="AB42" s="56">
        <f t="shared" si="37"/>
        <v>2071198.6714185171</v>
      </c>
      <c r="AC42" s="56">
        <f t="shared" si="37"/>
        <v>27807513.798061628</v>
      </c>
      <c r="AD42" s="74">
        <f>IFERROR(s_RadSpec!$F$19*AD19,".")*$B$42</f>
        <v>3.5065610144060187E-8</v>
      </c>
      <c r="AE42" s="74">
        <f>IFERROR(s_RadSpec!$M$19*AE19,".")*$B$42</f>
        <v>3.535902664358698E-9</v>
      </c>
      <c r="AF42" s="74">
        <f>IFERROR(s_RadSpec!$N$19*AF19,".")*$B$42</f>
        <v>1.4365086096433752E-8</v>
      </c>
      <c r="AG42" s="74">
        <f>IFERROR(s_RadSpec!$O$19*AG19,".")*$B$42</f>
        <v>2.6822632114741392E-8</v>
      </c>
      <c r="AH42" s="74">
        <f>IFERROR(s_RadSpec!$K$19*AH19,".")*$B$42</f>
        <v>1.9978413174022247E-9</v>
      </c>
      <c r="AI42" s="73">
        <f t="shared" si="24"/>
        <v>3.5065610144060187E-8</v>
      </c>
      <c r="AJ42" s="73">
        <f t="shared" si="18"/>
        <v>3.535902664358698E-9</v>
      </c>
      <c r="AK42" s="73">
        <f t="shared" si="18"/>
        <v>1.4365086096433752E-8</v>
      </c>
      <c r="AL42" s="73">
        <f t="shared" si="18"/>
        <v>2.6822632114741392E-8</v>
      </c>
      <c r="AM42" s="73">
        <f t="shared" si="18"/>
        <v>1.9978413174022247E-9</v>
      </c>
      <c r="AN42" s="56">
        <f t="shared" si="37"/>
        <v>0</v>
      </c>
      <c r="AO42" s="56">
        <f t="shared" si="37"/>
        <v>74042851.055541188</v>
      </c>
      <c r="AP42" s="56">
        <f t="shared" si="25"/>
        <v>74042851.055541188</v>
      </c>
      <c r="AQ42" s="74">
        <f>IFERROR(s_RadSpec!$G$19*AQ19,".")*$B$42</f>
        <v>0</v>
      </c>
      <c r="AR42" s="74">
        <f>IFERROR(s_RadSpec!$J$19*AR19,".")*$B$42</f>
        <v>7.5030876320965757E-10</v>
      </c>
      <c r="AS42" s="73">
        <f t="shared" si="26"/>
        <v>0</v>
      </c>
      <c r="AT42" s="73">
        <f t="shared" si="26"/>
        <v>7.5030876320965757E-10</v>
      </c>
      <c r="AU42" s="73">
        <f t="shared" si="27"/>
        <v>7.5030876320965757E-10</v>
      </c>
    </row>
    <row r="43" spans="1:47" x14ac:dyDescent="0.25">
      <c r="A43" s="55" t="s">
        <v>301</v>
      </c>
      <c r="B43" s="50">
        <v>2.0897492E-2</v>
      </c>
      <c r="C43" s="56">
        <f>IFERROR(C28/$B43,0)</f>
        <v>0</v>
      </c>
      <c r="D43" s="56">
        <f>IFERROR(D28/$B43,0)</f>
        <v>0</v>
      </c>
      <c r="E43" s="56">
        <f>IFERROR(E28/$B43,0)</f>
        <v>884.3546414817489</v>
      </c>
      <c r="F43" s="56">
        <f t="shared" si="28"/>
        <v>884.3546414817489</v>
      </c>
      <c r="G43" s="74">
        <f>IFERROR(s_RadSpec!$I$28*G28,".")*$B$43</f>
        <v>0</v>
      </c>
      <c r="H43" s="74">
        <f>IFERROR(s_RadSpec!$G$28*H28,".")*$B$43</f>
        <v>0</v>
      </c>
      <c r="I43" s="74">
        <f>IFERROR(s_RadSpec!$F$28*I28,".")*$B$43</f>
        <v>6.2819820685191161E-5</v>
      </c>
      <c r="J43" s="73">
        <f t="shared" si="15"/>
        <v>0</v>
      </c>
      <c r="K43" s="73">
        <f t="shared" si="15"/>
        <v>0</v>
      </c>
      <c r="L43" s="73">
        <f t="shared" si="15"/>
        <v>6.2819820685191161E-5</v>
      </c>
      <c r="M43" s="73">
        <f t="shared" si="20"/>
        <v>6.2819820685191161E-5</v>
      </c>
      <c r="N43" s="56">
        <f>IFERROR(N28/$B43,0)</f>
        <v>0</v>
      </c>
      <c r="O43" s="56">
        <f>IFERROR(O28/$B43,0)</f>
        <v>0</v>
      </c>
      <c r="P43" s="56">
        <f>IFERROR(P28/$B43,0)</f>
        <v>884.3546414817489</v>
      </c>
      <c r="Q43" s="56">
        <f t="shared" si="29"/>
        <v>884.3546414817489</v>
      </c>
      <c r="R43" s="74">
        <f>IFERROR(s_RadSpec!$I$28*R28,".")*$B$43</f>
        <v>0</v>
      </c>
      <c r="S43" s="74">
        <f>IFERROR(s_RadSpec!$G$28*S28,".")*$B$43</f>
        <v>0</v>
      </c>
      <c r="T43" s="74">
        <f>IFERROR(s_RadSpec!$F$28*T28,".")*$B$43</f>
        <v>6.2819820685191161E-5</v>
      </c>
      <c r="U43" s="73">
        <f t="shared" si="16"/>
        <v>0</v>
      </c>
      <c r="V43" s="73">
        <f t="shared" si="16"/>
        <v>0</v>
      </c>
      <c r="W43" s="73">
        <f t="shared" si="16"/>
        <v>6.2819820685191161E-5</v>
      </c>
      <c r="X43" s="73">
        <f t="shared" si="22"/>
        <v>6.2819820685191161E-5</v>
      </c>
      <c r="Y43" s="56">
        <f t="shared" ref="Y43:AO43" si="38">IFERROR(Y28/$B43,0)</f>
        <v>884.3546414817489</v>
      </c>
      <c r="Z43" s="56">
        <f t="shared" si="38"/>
        <v>10681.597831788837</v>
      </c>
      <c r="AA43" s="56">
        <f t="shared" si="38"/>
        <v>2581.7185375236704</v>
      </c>
      <c r="AB43" s="56">
        <f t="shared" si="38"/>
        <v>1404.6776201495579</v>
      </c>
      <c r="AC43" s="56">
        <f t="shared" si="38"/>
        <v>19273.892208010111</v>
      </c>
      <c r="AD43" s="74">
        <f>IFERROR(s_RadSpec!$F$28*AD28,".")*$B$43</f>
        <v>6.2819820685191161E-5</v>
      </c>
      <c r="AE43" s="74">
        <f>IFERROR(s_RadSpec!$M$28*AE28,".")*$B$43</f>
        <v>5.2010009059380823E-6</v>
      </c>
      <c r="AF43" s="74">
        <f>IFERROR(s_RadSpec!$N$28*AF28,".")*$B$43</f>
        <v>2.1518612192825316E-5</v>
      </c>
      <c r="AG43" s="74">
        <f>IFERROR(s_RadSpec!$O$28*AG28,".")*$B$43</f>
        <v>3.9550000087625063E-5</v>
      </c>
      <c r="AH43" s="74">
        <f>IFERROR(s_RadSpec!$K$28*AH28,".")*$B$43</f>
        <v>2.8823965289642782E-6</v>
      </c>
      <c r="AI43" s="73">
        <f t="shared" si="24"/>
        <v>6.2819820685191161E-5</v>
      </c>
      <c r="AJ43" s="73">
        <f t="shared" si="18"/>
        <v>5.2010009059380823E-6</v>
      </c>
      <c r="AK43" s="73">
        <f t="shared" si="18"/>
        <v>2.1518612192825316E-5</v>
      </c>
      <c r="AL43" s="73">
        <f t="shared" si="18"/>
        <v>3.9550000087625063E-5</v>
      </c>
      <c r="AM43" s="73">
        <f t="shared" si="18"/>
        <v>2.8823965289642782E-6</v>
      </c>
      <c r="AN43" s="56">
        <f t="shared" si="38"/>
        <v>0</v>
      </c>
      <c r="AO43" s="56">
        <f t="shared" si="38"/>
        <v>58375.300820692573</v>
      </c>
      <c r="AP43" s="56">
        <f t="shared" si="25"/>
        <v>58375.300820692581</v>
      </c>
      <c r="AQ43" s="74">
        <f>IFERROR(s_RadSpec!$G$28*AQ28,".")*$B$43</f>
        <v>0</v>
      </c>
      <c r="AR43" s="74">
        <f>IFERROR(s_RadSpec!$J$28*AR28,".")*$B$43</f>
        <v>9.5168674454705593E-7</v>
      </c>
      <c r="AS43" s="73">
        <f t="shared" si="26"/>
        <v>0</v>
      </c>
      <c r="AT43" s="73">
        <f t="shared" si="26"/>
        <v>9.5168674454705593E-7</v>
      </c>
      <c r="AU43" s="73">
        <f t="shared" si="27"/>
        <v>9.5168674454705593E-7</v>
      </c>
    </row>
    <row r="44" spans="1:47" x14ac:dyDescent="0.25">
      <c r="A44" s="55" t="s">
        <v>302</v>
      </c>
      <c r="B44" s="50">
        <v>0.99987999999999999</v>
      </c>
      <c r="C44" s="56">
        <f>IFERROR(C15/$B44,0)</f>
        <v>1985694.8142887908</v>
      </c>
      <c r="D44" s="56">
        <f>IFERROR(D15/$B44,0)</f>
        <v>5217227.619587291</v>
      </c>
      <c r="E44" s="56">
        <f>IFERROR(E15/$B44,0)</f>
        <v>0</v>
      </c>
      <c r="F44" s="56">
        <f t="shared" si="28"/>
        <v>1438280.3541595053</v>
      </c>
      <c r="G44" s="64">
        <f>IFERROR(s_RadSpec!$I$15*G15,".")*$B$44</f>
        <v>2.7977612471077502E-8</v>
      </c>
      <c r="H44" s="64">
        <f>IFERROR(s_RadSpec!$G$15*H15,".")*$B$44</f>
        <v>1.0648375737226254E-8</v>
      </c>
      <c r="I44" s="64">
        <f>IFERROR(s_RadSpec!$F$15*I15,".")*$B$44</f>
        <v>0</v>
      </c>
      <c r="J44" s="73">
        <f t="shared" si="15"/>
        <v>2.7977612471077502E-8</v>
      </c>
      <c r="K44" s="73">
        <f t="shared" si="15"/>
        <v>1.0648375737226254E-8</v>
      </c>
      <c r="L44" s="73">
        <f t="shared" si="15"/>
        <v>0</v>
      </c>
      <c r="M44" s="73">
        <f t="shared" si="20"/>
        <v>3.8625988208303759E-8</v>
      </c>
      <c r="N44" s="56">
        <f>IFERROR(N15/$B44,0)</f>
        <v>1985694.8142887908</v>
      </c>
      <c r="O44" s="56">
        <f>IFERROR(O15/$B44,0)</f>
        <v>32813214.386277687</v>
      </c>
      <c r="P44" s="56">
        <f>IFERROR(P15/$B44,0)</f>
        <v>0</v>
      </c>
      <c r="Q44" s="56">
        <f t="shared" si="29"/>
        <v>1872387.1277527653</v>
      </c>
      <c r="R44" s="64">
        <f>IFERROR(s_RadSpec!$I$15*R15,".")*$B$44</f>
        <v>2.7977612471077502E-8</v>
      </c>
      <c r="S44" s="64">
        <f>IFERROR(s_RadSpec!$G$15*S15,".")*$B$44</f>
        <v>1.6930679008159837E-9</v>
      </c>
      <c r="T44" s="64">
        <f>IFERROR(s_RadSpec!$F$15*T15,".")*$B$44</f>
        <v>0</v>
      </c>
      <c r="U44" s="73">
        <f t="shared" si="16"/>
        <v>2.7977612471077502E-8</v>
      </c>
      <c r="V44" s="73">
        <f t="shared" si="16"/>
        <v>1.6930679008159837E-9</v>
      </c>
      <c r="W44" s="73">
        <f t="shared" si="16"/>
        <v>0</v>
      </c>
      <c r="X44" s="73">
        <f t="shared" si="22"/>
        <v>2.9670680371893487E-8</v>
      </c>
      <c r="Y44" s="56">
        <f t="shared" ref="Y44:AO44" si="39">IFERROR(Y15/$B44,0)</f>
        <v>0</v>
      </c>
      <c r="Z44" s="56">
        <f t="shared" si="39"/>
        <v>0</v>
      </c>
      <c r="AA44" s="56">
        <f t="shared" si="39"/>
        <v>0</v>
      </c>
      <c r="AB44" s="56">
        <f t="shared" si="39"/>
        <v>0</v>
      </c>
      <c r="AC44" s="56">
        <f t="shared" si="39"/>
        <v>0</v>
      </c>
      <c r="AD44" s="64">
        <f>IFERROR(s_RadSpec!$F$15*AD15,".")*$B$44</f>
        <v>0</v>
      </c>
      <c r="AE44" s="64">
        <f>IFERROR(s_RadSpec!$M$15*AE15,".")*$B$44</f>
        <v>0</v>
      </c>
      <c r="AF44" s="64">
        <f>IFERROR(s_RadSpec!$N$15*AF15,".")*$B$44</f>
        <v>0</v>
      </c>
      <c r="AG44" s="64">
        <f>IFERROR(s_RadSpec!$O$15*AG15,".")*$B$44</f>
        <v>0</v>
      </c>
      <c r="AH44" s="64">
        <f>IFERROR(s_RadSpec!$K$15*AH15,".")*$B$44</f>
        <v>0</v>
      </c>
      <c r="AI44" s="73">
        <f t="shared" si="24"/>
        <v>0</v>
      </c>
      <c r="AJ44" s="73">
        <f t="shared" si="18"/>
        <v>0</v>
      </c>
      <c r="AK44" s="73">
        <f t="shared" si="18"/>
        <v>0</v>
      </c>
      <c r="AL44" s="73">
        <f t="shared" si="18"/>
        <v>0</v>
      </c>
      <c r="AM44" s="73">
        <f t="shared" si="18"/>
        <v>0</v>
      </c>
      <c r="AN44" s="56">
        <f t="shared" si="39"/>
        <v>10260.600962090122</v>
      </c>
      <c r="AO44" s="56">
        <f t="shared" si="39"/>
        <v>6852300.7223632131</v>
      </c>
      <c r="AP44" s="56">
        <f t="shared" si="25"/>
        <v>10245.259761167748</v>
      </c>
      <c r="AQ44" s="64">
        <f>IFERROR(s_RadSpec!$G$15*AQ15,".")*$B$44</f>
        <v>5.4144002096231245E-6</v>
      </c>
      <c r="AR44" s="64">
        <f>IFERROR(s_RadSpec!$J$15*AR15,".")*$B$44</f>
        <v>8.107495898230259E-9</v>
      </c>
      <c r="AS44" s="73">
        <f t="shared" si="26"/>
        <v>5.4144002096231245E-6</v>
      </c>
      <c r="AT44" s="73">
        <f t="shared" si="26"/>
        <v>8.107495898230259E-9</v>
      </c>
      <c r="AU44" s="73">
        <f t="shared" si="27"/>
        <v>5.4225077055213544E-6</v>
      </c>
    </row>
    <row r="45" spans="1:47" x14ac:dyDescent="0.25">
      <c r="A45" s="52" t="s">
        <v>20</v>
      </c>
      <c r="B45" s="52" t="s">
        <v>289</v>
      </c>
      <c r="C45" s="53">
        <f>IFERROR(IF(AND(C46&lt;&gt;0,C47&lt;&gt;0),1/SUM(1/C46,1/C47),IF(AND(C46&lt;&gt;0,C47=0),1/(1/C46),IF(AND(C46=0,C47&lt;&gt;0),1/(1/C47),IF(AND(C46=0,C47=0),".")))),".")</f>
        <v>7627.4814342334721</v>
      </c>
      <c r="D45" s="53">
        <f t="shared" ref="D45:F45" si="40">IFERROR(IF(AND(D46&lt;&gt;0,D47&lt;&gt;0),1/SUM(1/D46,1/D47),IF(AND(D46&lt;&gt;0,D47=0),1/(1/D46),IF(AND(D46=0,D47&lt;&gt;0),1/(1/D47),IF(AND(D46=0,D47=0),".")))),".")</f>
        <v>9643.8489222940552</v>
      </c>
      <c r="E45" s="53">
        <f t="shared" si="40"/>
        <v>122.76202014863027</v>
      </c>
      <c r="F45" s="54">
        <f t="shared" si="40"/>
        <v>119.32263281447538</v>
      </c>
      <c r="G45" s="71"/>
      <c r="H45" s="71"/>
      <c r="I45" s="71"/>
      <c r="J45" s="72">
        <f>IFERROR(IF(SUM(G46:G47)&gt;0.01,1-EXP(-SUM(G46:G47)),SUM(G46:G47)),".")</f>
        <v>7.2835313306249999E-6</v>
      </c>
      <c r="K45" s="72">
        <f>IFERROR(IF(SUM(H46:H47)&gt;0.01,1-EXP(-SUM(H46:H47)),SUM(H46:H47)),".")</f>
        <v>5.7606667677644108E-6</v>
      </c>
      <c r="L45" s="72">
        <f>IFERROR(IF(SUM(I46:I47)&gt;0.01,1-EXP(-SUM(I46:I47)),SUM(I46:I47)),".")</f>
        <v>4.5254224338063591E-4</v>
      </c>
      <c r="M45" s="72">
        <f>IFERROR(IF(SUM(G46:I47)&gt;0.01,1-EXP(-SUM(G46:I47)),SUM(G46:I47)),".")</f>
        <v>4.6558644147902536E-4</v>
      </c>
      <c r="N45" s="53">
        <f>IFERROR(IF(AND(N46&lt;&gt;0,N47&lt;&gt;0),1/SUM(1/N46,1/N47),IF(AND(N46&lt;&gt;0,N47=0),1/(1/N46),IF(AND(N46=0,N47&lt;&gt;0),1/(1/N47),IF(AND(N46=0,N47=0),".")))),".")</f>
        <v>7627.4814342334721</v>
      </c>
      <c r="O45" s="53">
        <f t="shared" ref="O45:Q45" si="41">IFERROR(IF(AND(O46&lt;&gt;0,O47&lt;&gt;0),1/SUM(1/O46,1/O47),IF(AND(O46&lt;&gt;0,O47=0),1/(1/O46),IF(AND(O46=0,O47&lt;&gt;0),1/(1/O47),IF(AND(O46=0,O47=0),".")))),".")</f>
        <v>60653.99197996661</v>
      </c>
      <c r="P45" s="53">
        <f t="shared" si="41"/>
        <v>122.76202014863027</v>
      </c>
      <c r="Q45" s="54">
        <f t="shared" si="41"/>
        <v>120.57731925709237</v>
      </c>
      <c r="R45" s="71"/>
      <c r="S45" s="71"/>
      <c r="T45" s="71"/>
      <c r="U45" s="72">
        <f>IFERROR(IF(SUM(R46:R47)&gt;0.01,1-EXP(-SUM(R46:R47)),SUM(R46:R47)),".")</f>
        <v>7.2835313306249999E-6</v>
      </c>
      <c r="V45" s="72">
        <f>IFERROR(IF(SUM(S46:S47)&gt;0.01,1-EXP(-SUM(S46:S47)),SUM(S46:S47)),".")</f>
        <v>9.1593311810950945E-7</v>
      </c>
      <c r="W45" s="72">
        <f>IFERROR(IF(SUM(T46:T47)&gt;0.01,1-EXP(-SUM(T46:T47)),SUM(T46:T47)),".")</f>
        <v>4.5254224338063591E-4</v>
      </c>
      <c r="X45" s="72">
        <f>IFERROR(IF(SUM(R46:T47)&gt;0.01,1-EXP(-SUM(R46:T47)),SUM(R46:T47)),".")</f>
        <v>4.6074170782937045E-4</v>
      </c>
      <c r="Y45" s="53">
        <f t="shared" ref="Y45:AP45" si="42">IFERROR(IF(AND(Y46&lt;&gt;0,Y47&lt;&gt;0),1/SUM(1/Y46,1/Y47),IF(AND(Y46&lt;&gt;0,Y47=0),1/(1/Y46),IF(AND(Y46=0,Y47&lt;&gt;0),1/(1/Y47),IF(AND(Y46=0,Y47=0),".")))),".")</f>
        <v>122.76202014863027</v>
      </c>
      <c r="Z45" s="53">
        <f t="shared" si="42"/>
        <v>1124.1528598546338</v>
      </c>
      <c r="AA45" s="53">
        <f t="shared" si="42"/>
        <v>281.7283300843722</v>
      </c>
      <c r="AB45" s="53">
        <f t="shared" si="42"/>
        <v>150.25418475210535</v>
      </c>
      <c r="AC45" s="53">
        <f t="shared" si="42"/>
        <v>1927.1984750294444</v>
      </c>
      <c r="AD45" s="71"/>
      <c r="AE45" s="71"/>
      <c r="AF45" s="71"/>
      <c r="AG45" s="71"/>
      <c r="AH45" s="71"/>
      <c r="AI45" s="72">
        <f>IFERROR(IF(SUM(AD46:AD47)&gt;0.01,1-EXP(-SUM(AD46:AD47)),SUM(AD46:AD47)),".")</f>
        <v>4.5254224338063591E-4</v>
      </c>
      <c r="AJ45" s="72">
        <f t="shared" ref="AJ45:AM45" si="43">IFERROR(IF(SUM(AE46:AE47)&gt;0.01,1-EXP(-SUM(AE46:AE47)),SUM(AE46:AE47)),".")</f>
        <v>4.9419435722632883E-5</v>
      </c>
      <c r="AK45" s="72">
        <f t="shared" si="43"/>
        <v>1.9719351612016562E-4</v>
      </c>
      <c r="AL45" s="72">
        <f t="shared" si="43"/>
        <v>3.6974011799842101E-4</v>
      </c>
      <c r="AM45" s="72">
        <f t="shared" si="43"/>
        <v>2.8826818161088054E-5</v>
      </c>
      <c r="AN45" s="53">
        <f t="shared" si="42"/>
        <v>18.966334755808443</v>
      </c>
      <c r="AO45" s="53">
        <f t="shared" si="42"/>
        <v>4902.527617296485</v>
      </c>
      <c r="AP45" s="54">
        <f t="shared" si="42"/>
        <v>18.893242752125417</v>
      </c>
      <c r="AQ45" s="71"/>
      <c r="AR45" s="71"/>
      <c r="AS45" s="72">
        <f>IFERROR(IF(SUM(AQ46:AQ47)&gt;0.01,1-EXP(-SUM(AQ46:AQ47)),SUM(AQ46:AQ47)),".")</f>
        <v>2.9291373749999999E-3</v>
      </c>
      <c r="AT45" s="72">
        <f>IFERROR(IF(SUM(AR46:AR47)&gt;0.01,1-EXP(-SUM(AR46:AR47)),SUM(AR46:AR47)),".")</f>
        <v>1.1331909646770329E-5</v>
      </c>
      <c r="AU45" s="72">
        <f>IFERROR(IF(SUM(AQ46:AR47)&gt;0.01,1-EXP(-SUM(AQ46:AR47)),SUM(AQ46:AR47)),".")</f>
        <v>2.9404692846467704E-3</v>
      </c>
    </row>
    <row r="46" spans="1:47" x14ac:dyDescent="0.25">
      <c r="A46" s="55" t="s">
        <v>303</v>
      </c>
      <c r="B46" s="50">
        <v>1</v>
      </c>
      <c r="C46" s="56">
        <f>IFERROR(C10/$B46,0)</f>
        <v>7627.4814342334712</v>
      </c>
      <c r="D46" s="56">
        <f>IFERROR(D10/$B46,0)</f>
        <v>9643.8489222940552</v>
      </c>
      <c r="E46" s="56">
        <f>IFERROR(E10/$B46,0)</f>
        <v>660633.44374366337</v>
      </c>
      <c r="F46" s="56">
        <f t="shared" si="28"/>
        <v>4231.7006326326709</v>
      </c>
      <c r="G46" s="64">
        <f>IFERROR(s_RadSpec!$I$10*G10,".")*$B$46</f>
        <v>7.2835313306249999E-6</v>
      </c>
      <c r="H46" s="64">
        <f>IFERROR(s_RadSpec!$G$10*H10,".")*$B$46</f>
        <v>5.7606667677644108E-6</v>
      </c>
      <c r="I46" s="64">
        <f>IFERROR(s_RadSpec!$F$10*I10,".")*$B$46</f>
        <v>8.4093532542315923E-8</v>
      </c>
      <c r="J46" s="73">
        <f t="shared" ref="J46:L47" si="44">IFERROR(IF(G46&gt;0.01,1-EXP(-G46),G46),".")</f>
        <v>7.2835313306249999E-6</v>
      </c>
      <c r="K46" s="73">
        <f t="shared" si="44"/>
        <v>5.7606667677644108E-6</v>
      </c>
      <c r="L46" s="73">
        <f t="shared" si="44"/>
        <v>8.4093532542315923E-8</v>
      </c>
      <c r="M46" s="73">
        <f t="shared" ref="M46:M47" si="45">IFERROR(IF(SUM(G46:I46)&gt;0.01,1-EXP(-SUM(G46:I46)),SUM(G46:I46)),".")</f>
        <v>1.3128291630931727E-5</v>
      </c>
      <c r="N46" s="56">
        <f>IFERROR(N10/$B46,0)</f>
        <v>7627.4814342334712</v>
      </c>
      <c r="O46" s="56">
        <f>IFERROR(O10/$B46,0)</f>
        <v>60653.99197996661</v>
      </c>
      <c r="P46" s="56">
        <f>IFERROR(P10/$B46,0)</f>
        <v>660633.44374366337</v>
      </c>
      <c r="Q46" s="56">
        <f t="shared" ref="Q46:Q47" si="46">IF(AND(N46&lt;&gt;0,O46&lt;&gt;0,P46&lt;&gt;0),1/((1/N46)+(1/O46)+(1/P46)),IF(AND(N46&lt;&gt;0,O46&lt;&gt;0,P46=0), 1/((1/N46)+(1/O46)),IF(AND(N46&lt;&gt;0,O46=0,P46&lt;&gt;0),1/((1/N46)+(1/P46)),IF(AND(N46=0,O46&lt;&gt;0,P46&lt;&gt;0),1/((1/O46)+(1/P46)),IF(AND(N46&lt;&gt;0,O46=0,P46=0),1/((1/N46)),IF(AND(N46=0,O46&lt;&gt;0,P46=0),1/((1/O46)),IF(AND(N46=0,O46=0,P46&lt;&gt;0),1/((1/P46)),IF(AND(N46=0,O46=0,P46=0),0))))))))</f>
        <v>6706.6591584884118</v>
      </c>
      <c r="R46" s="64">
        <f>IFERROR(s_RadSpec!$I$10*R10,".")*$B$46</f>
        <v>7.2835313306249999E-6</v>
      </c>
      <c r="S46" s="64">
        <f>IFERROR(s_RadSpec!$G$10*S10,".")*$B$46</f>
        <v>9.1593311810950945E-7</v>
      </c>
      <c r="T46" s="64">
        <f>IFERROR(s_RadSpec!$F$10*T10,".")*$B$46</f>
        <v>8.4093532542315923E-8</v>
      </c>
      <c r="U46" s="73">
        <f t="shared" ref="U46:W47" si="47">IFERROR(IF(R46&gt;0.01,1-EXP(-R46),R46),".")</f>
        <v>7.2835313306249999E-6</v>
      </c>
      <c r="V46" s="73">
        <f t="shared" si="47"/>
        <v>9.1593311810950945E-7</v>
      </c>
      <c r="W46" s="73">
        <f t="shared" si="47"/>
        <v>8.4093532542315923E-8</v>
      </c>
      <c r="X46" s="73">
        <f t="shared" ref="X46:X47" si="48">IFERROR(IF(SUM(R46:T46)&gt;0.01,1-EXP(-SUM(R46:T46)),SUM(R46:T46)),".")</f>
        <v>8.2835579812768262E-6</v>
      </c>
      <c r="Y46" s="56">
        <f t="shared" ref="Y46:AO46" si="49">IFERROR(Y10/$B46,0)</f>
        <v>660633.44374366337</v>
      </c>
      <c r="Z46" s="56">
        <f t="shared" si="49"/>
        <v>2954649.486643625</v>
      </c>
      <c r="AA46" s="56">
        <f t="shared" si="49"/>
        <v>957403.7526824798</v>
      </c>
      <c r="AB46" s="56">
        <f t="shared" si="49"/>
        <v>685428.53922771162</v>
      </c>
      <c r="AC46" s="56">
        <f t="shared" si="49"/>
        <v>1726927.5959839502</v>
      </c>
      <c r="AD46" s="64">
        <f>IFERROR(s_RadSpec!$F$10*AD10,".")*$B46</f>
        <v>8.4093532542315923E-8</v>
      </c>
      <c r="AE46" s="64">
        <f>IFERROR(s_RadSpec!$M$10*AE10,".")*$B46</f>
        <v>1.8802568714540984E-8</v>
      </c>
      <c r="AF46" s="64">
        <f>IFERROR(s_RadSpec!$N$10*AF10,".")*$B46</f>
        <v>5.8026720539108483E-8</v>
      </c>
      <c r="AG46" s="64">
        <f>IFERROR(s_RadSpec!$O$10*AG10,".")*$B46</f>
        <v>8.105148359097377E-8</v>
      </c>
      <c r="AH46" s="64">
        <f>IFERROR(s_RadSpec!$K$10*AH10,".")*$B46</f>
        <v>3.2169849001889655E-8</v>
      </c>
      <c r="AI46" s="73">
        <f t="shared" ref="AI46:AM47" si="50">IFERROR(IF(AD46&gt;0.01,1-EXP(-AD46),AD46),".")</f>
        <v>8.4093532542315923E-8</v>
      </c>
      <c r="AJ46" s="73">
        <f t="shared" si="50"/>
        <v>1.8802568714540984E-8</v>
      </c>
      <c r="AK46" s="73">
        <f t="shared" si="50"/>
        <v>5.8026720539108483E-8</v>
      </c>
      <c r="AL46" s="73">
        <f t="shared" si="50"/>
        <v>8.105148359097377E-8</v>
      </c>
      <c r="AM46" s="73">
        <f t="shared" si="50"/>
        <v>3.2169849001889655E-8</v>
      </c>
      <c r="AN46" s="56">
        <f t="shared" si="49"/>
        <v>18.966334755808443</v>
      </c>
      <c r="AO46" s="56">
        <f t="shared" si="49"/>
        <v>7196516.9291825416</v>
      </c>
      <c r="AP46" s="56">
        <f t="shared" ref="AP46:AP47" si="51">IFERROR(IF(AND(AN46&lt;&gt;0,AO46&lt;&gt;0),1/((1/AN46)+(1/AO46)),IF(AND(AN46&lt;&gt;0,AO46=0),1/((1/AN46)),IF(AND(AN46=0,AO46&lt;&gt;0),1/((1/AO46)),IF(AND(AN46=0,AO46=0),0)))),0)</f>
        <v>18.966284770390558</v>
      </c>
      <c r="AQ46" s="64">
        <f>IFERROR(s_RadSpec!$G$10*AQ10,".")*$B$46</f>
        <v>2.9291373749999999E-3</v>
      </c>
      <c r="AR46" s="64">
        <f>IFERROR(s_RadSpec!$J$10*AR10,".")*$B$46</f>
        <v>7.7197067062705466E-9</v>
      </c>
      <c r="AS46" s="73">
        <f>IFERROR(IF(AQ46&gt;0.01,1-EXP(-AQ46),AQ46),".")</f>
        <v>2.9291373749999999E-3</v>
      </c>
      <c r="AT46" s="73">
        <f>IFERROR(IF(AR46&gt;0.01,1-EXP(-AR46),AR46),".")</f>
        <v>7.7197067062705466E-9</v>
      </c>
      <c r="AU46" s="73">
        <f>IFERROR(IF(SUM(AQ46:AR46)&gt;0.01,1-EXP(-SUM(AQ46:AR46)),SUM(AQ46:AR46)),".")</f>
        <v>2.9291450947067062E-3</v>
      </c>
    </row>
    <row r="47" spans="1:47" x14ac:dyDescent="0.25">
      <c r="A47" s="55" t="s">
        <v>304</v>
      </c>
      <c r="B47" s="58">
        <v>0.94399</v>
      </c>
      <c r="C47" s="56">
        <f>IFERROR(C6/$B$47,0)</f>
        <v>0</v>
      </c>
      <c r="D47" s="56">
        <f>IFERROR(D6/$B$47,0)</f>
        <v>0</v>
      </c>
      <c r="E47" s="56">
        <f>IFERROR(E6/$B$47,0)</f>
        <v>122.78483660566569</v>
      </c>
      <c r="F47" s="56">
        <f t="shared" si="28"/>
        <v>122.78483660566569</v>
      </c>
      <c r="G47" s="64">
        <f>IFERROR(s_RadSpec!$I$6*G6,".")*$B$47</f>
        <v>0</v>
      </c>
      <c r="H47" s="64">
        <f>IFERROR(s_RadSpec!$G$6*H6,".")*$B$47</f>
        <v>0</v>
      </c>
      <c r="I47" s="64">
        <f>IFERROR(s_RadSpec!$F$6*I6,".")*$B$47</f>
        <v>4.5245814984809361E-4</v>
      </c>
      <c r="J47" s="73">
        <f t="shared" si="44"/>
        <v>0</v>
      </c>
      <c r="K47" s="73">
        <f t="shared" si="44"/>
        <v>0</v>
      </c>
      <c r="L47" s="73">
        <f t="shared" si="44"/>
        <v>4.5245814984809361E-4</v>
      </c>
      <c r="M47" s="73">
        <f t="shared" si="45"/>
        <v>4.5245814984809361E-4</v>
      </c>
      <c r="N47" s="56">
        <f>IFERROR(N6/$B$47,0)</f>
        <v>0</v>
      </c>
      <c r="O47" s="56">
        <f>IFERROR(O6/$B$47,0)</f>
        <v>0</v>
      </c>
      <c r="P47" s="56">
        <f>IFERROR(P6/$B$47,0)</f>
        <v>122.78483660566569</v>
      </c>
      <c r="Q47" s="56">
        <f t="shared" si="46"/>
        <v>122.78483660566569</v>
      </c>
      <c r="R47" s="64">
        <f>IFERROR(s_RadSpec!$I$6*R6,".")*$B$47</f>
        <v>0</v>
      </c>
      <c r="S47" s="64">
        <f>IFERROR(s_RadSpec!$G$6*S6,".")*$B$47</f>
        <v>0</v>
      </c>
      <c r="T47" s="64">
        <f>IFERROR(s_RadSpec!$F$6*T6,".")*$B$47</f>
        <v>4.5245814984809361E-4</v>
      </c>
      <c r="U47" s="73">
        <f t="shared" si="47"/>
        <v>0</v>
      </c>
      <c r="V47" s="73">
        <f t="shared" si="47"/>
        <v>0</v>
      </c>
      <c r="W47" s="73">
        <f t="shared" si="47"/>
        <v>4.5245814984809361E-4</v>
      </c>
      <c r="X47" s="73">
        <f t="shared" si="48"/>
        <v>4.5245814984809361E-4</v>
      </c>
      <c r="Y47" s="56">
        <f t="shared" ref="Y47:AO47" si="52">IFERROR(Y6/$B$47,0)</f>
        <v>122.78483660566569</v>
      </c>
      <c r="Z47" s="56">
        <f t="shared" si="52"/>
        <v>1124.5807280831077</v>
      </c>
      <c r="AA47" s="56">
        <f t="shared" si="52"/>
        <v>281.81125666003618</v>
      </c>
      <c r="AB47" s="56">
        <f t="shared" si="52"/>
        <v>150.28712949955801</v>
      </c>
      <c r="AC47" s="56">
        <f t="shared" si="52"/>
        <v>1929.3515724823606</v>
      </c>
      <c r="AD47" s="64">
        <f>IFERROR(s_RadSpec!$F$6*AD6,".")*$B47</f>
        <v>4.5245814984809361E-4</v>
      </c>
      <c r="AE47" s="64">
        <f>IFERROR(s_RadSpec!$M$6*AE6,".")*$B47</f>
        <v>4.9400633153918341E-5</v>
      </c>
      <c r="AF47" s="64">
        <f>IFERROR(s_RadSpec!$N$6*AF6,".")*$B47</f>
        <v>1.9713548939962651E-4</v>
      </c>
      <c r="AG47" s="64">
        <f>IFERROR(s_RadSpec!$O$6*AG6,".")*$B47</f>
        <v>3.6965906651483004E-4</v>
      </c>
      <c r="AH47" s="64">
        <f>IFERROR(s_RadSpec!$K$6*AH6,".")*$B47</f>
        <v>2.8794648312086164E-5</v>
      </c>
      <c r="AI47" s="73">
        <f t="shared" si="50"/>
        <v>4.5245814984809361E-4</v>
      </c>
      <c r="AJ47" s="73">
        <f t="shared" si="50"/>
        <v>4.9400633153918341E-5</v>
      </c>
      <c r="AK47" s="73">
        <f t="shared" si="50"/>
        <v>1.9713548939962651E-4</v>
      </c>
      <c r="AL47" s="73">
        <f t="shared" si="50"/>
        <v>3.6965906651483004E-4</v>
      </c>
      <c r="AM47" s="73">
        <f t="shared" si="50"/>
        <v>2.8794648312086164E-5</v>
      </c>
      <c r="AN47" s="56">
        <f t="shared" si="52"/>
        <v>0</v>
      </c>
      <c r="AO47" s="56">
        <f t="shared" si="52"/>
        <v>4905.8696731543632</v>
      </c>
      <c r="AP47" s="56">
        <f t="shared" si="51"/>
        <v>4905.8696731543632</v>
      </c>
      <c r="AQ47" s="64">
        <f>IFERROR(s_RadSpec!$G$6*AQ6,".")*$B$47</f>
        <v>0</v>
      </c>
      <c r="AR47" s="64">
        <f>IFERROR(s_RadSpec!$J$6*AR6,".")*$B$47</f>
        <v>1.1324189940064057E-5</v>
      </c>
      <c r="AS47" s="73">
        <f>IFERROR(IF(AQ47&gt;0.01,1-EXP(-AQ47),AQ47),".")</f>
        <v>0</v>
      </c>
      <c r="AT47" s="73">
        <f>IFERROR(IF(AR47&gt;0.01,1-EXP(-AR47),AR47),".")</f>
        <v>1.1324189940064057E-5</v>
      </c>
      <c r="AU47" s="73">
        <f>IFERROR(IF(SUM(AQ47:AR47)&gt;0.01,1-EXP(-SUM(AQ47:AR47)),SUM(AQ47:AR47)),".")</f>
        <v>1.1324189940064057E-5</v>
      </c>
    </row>
    <row r="48" spans="1:47" x14ac:dyDescent="0.25">
      <c r="A48" s="52" t="s">
        <v>33</v>
      </c>
      <c r="B48" s="52" t="s">
        <v>289</v>
      </c>
      <c r="C48" s="53">
        <f>1/SUM(1/C49,1/C52,1/C54,1/C58,1/C59,1/C61)</f>
        <v>103.88313026439646</v>
      </c>
      <c r="D48" s="53">
        <f>1/SUM(1/D49,1/D50,1/D51,1/D52,1/D54,1/D58,1/D59,1/D61)</f>
        <v>18.340425173895824</v>
      </c>
      <c r="E48" s="53">
        <f>1/SUM(1/E49,1/E50,1/E52,1/E54,1/E55,1/E56,1/E57,1/E58,1/E59,1/E60,1/E61,1/E62)</f>
        <v>24.652520445285433</v>
      </c>
      <c r="F48" s="54">
        <f>1/SUM(1/F49,1/F50,1/F51,1/F52,1/F54,1/F55,1/F56,1/F57,1/F58,1/F59,1/F60,1/F61,1/F62)</f>
        <v>9.5497877891019538</v>
      </c>
      <c r="G48" s="71"/>
      <c r="H48" s="71"/>
      <c r="I48" s="71"/>
      <c r="J48" s="72">
        <f>IFERROR(IF(SUM(G49:G62)&gt;0.01,1-EXP(-SUM(G49:G62)),SUM(G49:G62)),".")</f>
        <v>5.3478365407939757E-4</v>
      </c>
      <c r="K48" s="72">
        <f>IFERROR(IF(SUM(H49:H62)&gt;0.01,1-EXP(-SUM(H49:H62)),SUM(H49:H62)),".")</f>
        <v>3.0291009872046035E-3</v>
      </c>
      <c r="L48" s="72">
        <f>IFERROR(IF(SUM(I49:I62)&gt;0.01,1-EXP(-SUM(I49:I62)),SUM(I49:I62)),".")</f>
        <v>2.2535221144345252E-3</v>
      </c>
      <c r="M48" s="72">
        <f>IFERROR(IF(SUM(G49:I62)&gt;0.01,1-EXP(-SUM(G49:I62)),SUM(G49:I62)),".")</f>
        <v>5.8174067557185257E-3</v>
      </c>
      <c r="N48" s="53">
        <f>1/SUM(1/N49,1/N52,1/N54,1/N58,1/N59,1/N61)</f>
        <v>103.88313026439646</v>
      </c>
      <c r="O48" s="53">
        <f>1/SUM(1/O49,1/O50,1/O51,1/O52,1/O54,1/O58,1/O59,1/O61)</f>
        <v>115.3502103122988</v>
      </c>
      <c r="P48" s="53">
        <f>1/SUM(1/P49,1/P50,1/P52,1/P54,1/P55,1/P56,1/P57,1/P58,1/P59,1/P60,1/P61,1/P62)</f>
        <v>24.652520445285433</v>
      </c>
      <c r="Q48" s="54">
        <f>1/SUM(1/Q49,1/Q50,1/Q51,1/Q52,1/Q54,1/Q55,1/Q56,1/Q57,1/Q58,1/Q59,1/Q60,1/Q61,1/Q62)</f>
        <v>16.989680886499446</v>
      </c>
      <c r="R48" s="71"/>
      <c r="S48" s="71"/>
      <c r="T48" s="71"/>
      <c r="U48" s="72">
        <f>IFERROR(IF(SUM(R49:R62)&gt;0.01,1-EXP(-SUM(R49:R62)),SUM(R49:R62)),".")</f>
        <v>5.3478365407939757E-4</v>
      </c>
      <c r="V48" s="72">
        <f>IFERROR(IF(SUM(S49:S62)&gt;0.01,1-EXP(-SUM(S49:S62)),SUM(S49:S62)),".")</f>
        <v>4.8162027489668705E-4</v>
      </c>
      <c r="W48" s="72">
        <f>IFERROR(IF(SUM(T49:T62)&gt;0.01,1-EXP(-SUM(T49:T62)),SUM(T49:T62)),".")</f>
        <v>2.2535221144345252E-3</v>
      </c>
      <c r="X48" s="72">
        <f>IFERROR(IF(SUM(R49:T62)&gt;0.01,1-EXP(-SUM(R49:T62)),SUM(R49:T62)),".")</f>
        <v>3.2699260434106104E-3</v>
      </c>
      <c r="Y48" s="53">
        <f t="shared" ref="Y48:AC48" si="53">1/SUM(1/Y49,1/Y50,1/Y52,1/Y54,1/Y55,1/Y56,1/Y57,1/Y58,1/Y59,1/Y60,1/Y61,1/Y62)</f>
        <v>24.652520445285433</v>
      </c>
      <c r="Z48" s="53">
        <f t="shared" si="53"/>
        <v>272.94386033960251</v>
      </c>
      <c r="AA48" s="53">
        <f t="shared" si="53"/>
        <v>67.295623928845529</v>
      </c>
      <c r="AB48" s="53">
        <f t="shared" si="53"/>
        <v>34.765715182498447</v>
      </c>
      <c r="AC48" s="53">
        <f t="shared" si="53"/>
        <v>500.46342578183447</v>
      </c>
      <c r="AD48" s="71"/>
      <c r="AE48" s="71"/>
      <c r="AF48" s="71"/>
      <c r="AG48" s="71"/>
      <c r="AH48" s="71"/>
      <c r="AI48" s="72">
        <f>IFERROR(IF(SUM(AD49:AD62)&gt;0.01,1-EXP(-SUM(AD49:AD62)),SUM(AD49:AD62)),".")</f>
        <v>2.2535221144345252E-3</v>
      </c>
      <c r="AJ48" s="72">
        <f t="shared" ref="AJ48:AM48" si="54">IFERROR(IF(SUM(AE49:AE62)&gt;0.01,1-EXP(-SUM(AE49:AE62)),SUM(AE49:AE62)),".")</f>
        <v>2.035400244243534E-4</v>
      </c>
      <c r="AK48" s="72">
        <f t="shared" si="54"/>
        <v>8.2553659148387705E-4</v>
      </c>
      <c r="AL48" s="72">
        <f t="shared" si="54"/>
        <v>1.5979823716661861E-3</v>
      </c>
      <c r="AM48" s="72">
        <f t="shared" si="54"/>
        <v>1.1100711288384522E-4</v>
      </c>
      <c r="AN48" s="53">
        <f>1/SUM(1/AN49,1/AN50,1/AN51,1/AN52,1/AN54,1/AN58,1/AN59,1/AN61)</f>
        <v>3.6069690246580362E-2</v>
      </c>
      <c r="AO48" s="53">
        <f t="shared" ref="AO48:AP48" si="55">1/SUM(1/AO49,1/AO50,1/AO51,1/AO52,1/AO53,1/AO54,1/AO55,1/AO56,1/AO57,1/AO58,1/AO59,1/AO60,1/AO61,1/AO62)</f>
        <v>1506.7080749388419</v>
      </c>
      <c r="AP48" s="54">
        <f t="shared" si="55"/>
        <v>3.606882678043774E-2</v>
      </c>
      <c r="AQ48" s="71"/>
      <c r="AR48" s="71"/>
      <c r="AS48" s="72">
        <f>IFERROR(IF(SUM(AQ49:AQ62)&gt;0.01,1-EXP(-SUM(AQ49:AQ62)),SUM(AQ49:AQ62)),".")</f>
        <v>0.78566452227857198</v>
      </c>
      <c r="AT48" s="72">
        <f>IFERROR(IF(SUM(AR49:AR62)&gt;0.01,1-EXP(-SUM(AR49:AR62)),SUM(AR49:AR62)),".")</f>
        <v>3.6871774250134695E-5</v>
      </c>
      <c r="AU48" s="72">
        <f>IFERROR(IF(SUM(AQ49:AR62)&gt;0.01,1-EXP(-SUM(AQ49:AR62)),SUM(AQ49:AR62)),".")</f>
        <v>0.78567242506222468</v>
      </c>
    </row>
    <row r="49" spans="1:47" x14ac:dyDescent="0.25">
      <c r="A49" s="55" t="s">
        <v>305</v>
      </c>
      <c r="B49" s="50">
        <v>1</v>
      </c>
      <c r="C49" s="56">
        <f>IFERROR(C23/$B49,0)</f>
        <v>823.11640100584816</v>
      </c>
      <c r="D49" s="56">
        <f>IFERROR(D23/$B49,0)</f>
        <v>38.524705287482163</v>
      </c>
      <c r="E49" s="56">
        <f>IFERROR(E23/$B49,0)</f>
        <v>10273.033114582182</v>
      </c>
      <c r="F49" s="56">
        <f t="shared" si="28"/>
        <v>36.670862886801665</v>
      </c>
      <c r="G49" s="64">
        <f>IFERROR(s_RadSpec!$I$23*G23,".")*$B$49</f>
        <v>6.7493491724999991E-5</v>
      </c>
      <c r="H49" s="64">
        <f>IFERROR(s_RadSpec!$G$23*H23,".")*$B$49</f>
        <v>1.4420616481147094E-3</v>
      </c>
      <c r="I49" s="64">
        <f>IFERROR(s_RadSpec!$F$23*I23,".")*$B$49</f>
        <v>5.4078478459435481E-6</v>
      </c>
      <c r="J49" s="73">
        <f t="shared" ref="J49:L62" si="56">IFERROR(IF(G49&gt;0.01,1-EXP(-G49),G49),".")</f>
        <v>6.7493491724999991E-5</v>
      </c>
      <c r="K49" s="73">
        <f t="shared" si="56"/>
        <v>1.4420616481147094E-3</v>
      </c>
      <c r="L49" s="73">
        <f t="shared" si="56"/>
        <v>5.4078478459435481E-6</v>
      </c>
      <c r="M49" s="73">
        <f t="shared" ref="M49:M62" si="57">IFERROR(IF(SUM(G49:I49)&gt;0.01,1-EXP(-SUM(G49:I49)),SUM(G49:I49)),".")</f>
        <v>1.514962987685653E-3</v>
      </c>
      <c r="N49" s="56">
        <f>IFERROR(N23/$B49,0)</f>
        <v>823.11640100584816</v>
      </c>
      <c r="O49" s="56">
        <f>IFERROR(O23/$B49,0)</f>
        <v>242.2971558726656</v>
      </c>
      <c r="P49" s="56">
        <f>IFERROR(P23/$B49,0)</f>
        <v>10273.033114582182</v>
      </c>
      <c r="Q49" s="56">
        <f t="shared" ref="Q49:Q61" si="58">IF(AND(N49&lt;&gt;0,O49&lt;&gt;0,P49&lt;&gt;0),1/((1/N49)+(1/O49)+(1/P49)),IF(AND(N49&lt;&gt;0,O49&lt;&gt;0,P49=0), 1/((1/N49)+(1/O49)),IF(AND(N49&lt;&gt;0,O49=0,P49&lt;&gt;0),1/((1/N49)+(1/P49)),IF(AND(N49=0,O49&lt;&gt;0,P49&lt;&gt;0),1/((1/O49)+(1/P49)),IF(AND(N49&lt;&gt;0,O49=0,P49=0),1/((1/N49)),IF(AND(N49=0,O49&lt;&gt;0,P49=0),1/((1/O49)),IF(AND(N49=0,O49=0,P49&lt;&gt;0),1/((1/P49)),IF(AND(N49=0,O49=0,P49=0),0))))))))</f>
        <v>183.84377838533652</v>
      </c>
      <c r="R49" s="64">
        <f>IFERROR(s_RadSpec!$I$23*R23,".")*$B$49</f>
        <v>6.7493491724999991E-5</v>
      </c>
      <c r="S49" s="64">
        <f>IFERROR(s_RadSpec!$G$23*S23,".")*$B$49</f>
        <v>2.2928457331622919E-4</v>
      </c>
      <c r="T49" s="64">
        <f>IFERROR(s_RadSpec!$F$23*T23,".")*$B$49</f>
        <v>5.4078478459435481E-6</v>
      </c>
      <c r="U49" s="73">
        <f t="shared" ref="U49:W62" si="59">IFERROR(IF(R49&gt;0.01,1-EXP(-R49),R49),".")</f>
        <v>6.7493491724999991E-5</v>
      </c>
      <c r="V49" s="73">
        <f t="shared" si="59"/>
        <v>2.2928457331622919E-4</v>
      </c>
      <c r="W49" s="73">
        <f t="shared" si="59"/>
        <v>5.4078478459435481E-6</v>
      </c>
      <c r="X49" s="73">
        <f t="shared" ref="X49:X62" si="60">IFERROR(IF(SUM(R49:T49)&gt;0.01,1-EXP(-SUM(R49:T49)),SUM(R49:T49)),".")</f>
        <v>3.0218591288717271E-4</v>
      </c>
      <c r="Y49" s="56">
        <f t="shared" ref="Y49:AO49" si="61">IFERROR(Y23/$B49,0)</f>
        <v>10273.033114582182</v>
      </c>
      <c r="Z49" s="56">
        <f t="shared" si="61"/>
        <v>72146.849797887524</v>
      </c>
      <c r="AA49" s="56">
        <f t="shared" si="61"/>
        <v>18659.169412676827</v>
      </c>
      <c r="AB49" s="56">
        <f t="shared" si="61"/>
        <v>10886.784961444046</v>
      </c>
      <c r="AC49" s="56">
        <f t="shared" si="61"/>
        <v>115141.28580539224</v>
      </c>
      <c r="AD49" s="64">
        <f>IFERROR(s_RadSpec!$F$23*AD23,".")*$B$49</f>
        <v>5.4078478459435481E-6</v>
      </c>
      <c r="AE49" s="64">
        <f>IFERROR(s_RadSpec!$M$23*AE23,".")*$B$49</f>
        <v>7.7002669077904275E-7</v>
      </c>
      <c r="AF49" s="64">
        <f>IFERROR(s_RadSpec!$N$23*AF23,".")*$B$49</f>
        <v>2.9773565356160251E-6</v>
      </c>
      <c r="AG49" s="64">
        <f>IFERROR(s_RadSpec!$O$23*AG23,".")*$B$49</f>
        <v>5.1029757818079536E-6</v>
      </c>
      <c r="AH49" s="64">
        <f>IFERROR(s_RadSpec!$K$23*AH23,".")*$B$49</f>
        <v>4.8249417757846748E-7</v>
      </c>
      <c r="AI49" s="73">
        <f t="shared" ref="AI49:AM62" si="62">IFERROR(IF(AD49&gt;0.01,1-EXP(-AD49),AD49),".")</f>
        <v>5.4078478459435481E-6</v>
      </c>
      <c r="AJ49" s="73">
        <f t="shared" si="62"/>
        <v>7.7002669077904275E-7</v>
      </c>
      <c r="AK49" s="73">
        <f t="shared" si="62"/>
        <v>2.9773565356160251E-6</v>
      </c>
      <c r="AL49" s="73">
        <f t="shared" si="62"/>
        <v>5.1029757818079536E-6</v>
      </c>
      <c r="AM49" s="73">
        <f t="shared" si="62"/>
        <v>4.8249417757846748E-7</v>
      </c>
      <c r="AN49" s="56">
        <f t="shared" si="61"/>
        <v>7.5765647381941734E-2</v>
      </c>
      <c r="AO49" s="56">
        <f t="shared" si="61"/>
        <v>409965.51358867763</v>
      </c>
      <c r="AP49" s="56">
        <f t="shared" ref="AP49:AP62" si="63">IFERROR(IF(AND(AN49&lt;&gt;0,AO49&lt;&gt;0),1/((1/AN49)+(1/AO49)),IF(AND(AN49&lt;&gt;0,AO49=0),1/((1/AN49)),IF(AND(AN49=0,AO49&lt;&gt;0),1/((1/AO49)),IF(AND(AN49=0,AO49=0),0)))),0)</f>
        <v>7.5765633379709665E-2</v>
      </c>
      <c r="AQ49" s="64">
        <f>IFERROR(s_RadSpec!$G$23*AQ23,".")*$B$49</f>
        <v>0.73324787578124995</v>
      </c>
      <c r="AR49" s="64">
        <f>IFERROR(s_RadSpec!$J$23*AR23,".")*$B$49</f>
        <v>1.3551139829712327E-7</v>
      </c>
      <c r="AS49" s="73">
        <f t="shared" ref="AS49:AT62" si="64">IFERROR(IF(AQ49&gt;0.01,1-EXP(-AQ49),AQ49),".")</f>
        <v>0.5196536514410337</v>
      </c>
      <c r="AT49" s="73">
        <f t="shared" si="64"/>
        <v>1.3551139829712327E-7</v>
      </c>
      <c r="AU49" s="73">
        <f t="shared" ref="AU49:AU62" si="65">IFERROR(IF(SUM(AQ49:AR49)&gt;0.01,1-EXP(-SUM(AQ49:AR49)),SUM(AQ49:AR49)),".")</f>
        <v>0.51965371653343473</v>
      </c>
    </row>
    <row r="50" spans="1:47" x14ac:dyDescent="0.25">
      <c r="A50" s="55" t="s">
        <v>306</v>
      </c>
      <c r="B50" s="50">
        <v>1</v>
      </c>
      <c r="C50" s="56">
        <f>IFERROR(C25/$B50,0)</f>
        <v>0</v>
      </c>
      <c r="D50" s="56">
        <f>IFERROR(D25/$B50,0)</f>
        <v>475763.21349983994</v>
      </c>
      <c r="E50" s="56">
        <f>IFERROR(E25/$B50,0)</f>
        <v>221645.94447447688</v>
      </c>
      <c r="F50" s="56">
        <f t="shared" si="28"/>
        <v>151203.90318457448</v>
      </c>
      <c r="G50" s="64">
        <f>IFERROR(s_RadSpec!$I$25*G25,".")*$B$50</f>
        <v>0</v>
      </c>
      <c r="H50" s="64">
        <f>IFERROR(s_RadSpec!$G$25*H25,".")*$B$50</f>
        <v>1.1677027231954887E-7</v>
      </c>
      <c r="I50" s="64">
        <f>IFERROR(s_RadSpec!$F$25*I25,".")*$B$50</f>
        <v>2.5064749157364935E-7</v>
      </c>
      <c r="J50" s="73">
        <f t="shared" si="56"/>
        <v>0</v>
      </c>
      <c r="K50" s="73">
        <f t="shared" si="56"/>
        <v>1.1677027231954887E-7</v>
      </c>
      <c r="L50" s="73">
        <f t="shared" si="56"/>
        <v>2.5064749157364935E-7</v>
      </c>
      <c r="M50" s="73">
        <f t="shared" si="57"/>
        <v>3.6741776389319823E-7</v>
      </c>
      <c r="N50" s="56">
        <f>IFERROR(N25/$B50,0)</f>
        <v>0</v>
      </c>
      <c r="O50" s="56">
        <f>IFERROR(O25/$B50,0)</f>
        <v>2992263.604345019</v>
      </c>
      <c r="P50" s="56">
        <f>IFERROR(P25/$B50,0)</f>
        <v>221645.94447447688</v>
      </c>
      <c r="Q50" s="56">
        <f t="shared" si="58"/>
        <v>206360.22346841192</v>
      </c>
      <c r="R50" s="64">
        <f>IFERROR(s_RadSpec!$I$25*R25,".")*$B$50</f>
        <v>0</v>
      </c>
      <c r="S50" s="64">
        <f>IFERROR(s_RadSpec!$G$25*S25,".")*$B$50</f>
        <v>1.8566211853571138E-8</v>
      </c>
      <c r="T50" s="64">
        <f>IFERROR(s_RadSpec!$F$25*T25,".")*$B$50</f>
        <v>2.5064749157364935E-7</v>
      </c>
      <c r="U50" s="73">
        <f t="shared" si="59"/>
        <v>0</v>
      </c>
      <c r="V50" s="73">
        <f t="shared" si="59"/>
        <v>1.8566211853571138E-8</v>
      </c>
      <c r="W50" s="73">
        <f t="shared" si="59"/>
        <v>2.5064749157364935E-7</v>
      </c>
      <c r="X50" s="73">
        <f t="shared" si="60"/>
        <v>2.6921370342722049E-7</v>
      </c>
      <c r="Y50" s="56">
        <f t="shared" ref="Y50:AO50" si="66">IFERROR(Y25/$B50,0)</f>
        <v>221645.94447447688</v>
      </c>
      <c r="Z50" s="56">
        <f t="shared" si="66"/>
        <v>1883300.8629935577</v>
      </c>
      <c r="AA50" s="56">
        <f t="shared" si="66"/>
        <v>478705.50384824676</v>
      </c>
      <c r="AB50" s="56">
        <f t="shared" si="66"/>
        <v>279281.68368054886</v>
      </c>
      <c r="AC50" s="56">
        <f t="shared" si="66"/>
        <v>3439580.5937368032</v>
      </c>
      <c r="AD50" s="64">
        <f>IFERROR(s_RadSpec!$F$25*AD25,".")*$B$50</f>
        <v>2.5064749157364935E-7</v>
      </c>
      <c r="AE50" s="64">
        <f>IFERROR(s_RadSpec!$M$25*AE25,".")*$B$50</f>
        <v>2.9498738672956279E-8</v>
      </c>
      <c r="AF50" s="64">
        <f>IFERROR(s_RadSpec!$N$25*AF25,".")*$B$50</f>
        <v>1.1605256165513263E-7</v>
      </c>
      <c r="AG50" s="64">
        <f>IFERROR(s_RadSpec!$O$25*AG25,".")*$B$50</f>
        <v>1.9892102936311983E-7</v>
      </c>
      <c r="AH50" s="64">
        <f>IFERROR(s_RadSpec!$K$25*AH25,".")*$B$50</f>
        <v>1.6151678521841042E-8</v>
      </c>
      <c r="AI50" s="73">
        <f t="shared" si="62"/>
        <v>2.5064749157364935E-7</v>
      </c>
      <c r="AJ50" s="73">
        <f t="shared" si="62"/>
        <v>2.9498738672956279E-8</v>
      </c>
      <c r="AK50" s="73">
        <f t="shared" si="62"/>
        <v>1.1605256165513263E-7</v>
      </c>
      <c r="AL50" s="73">
        <f t="shared" si="62"/>
        <v>1.9892102936311983E-7</v>
      </c>
      <c r="AM50" s="73">
        <f t="shared" si="62"/>
        <v>1.6151678521841042E-8</v>
      </c>
      <c r="AN50" s="56">
        <f t="shared" si="66"/>
        <v>935.67251461988292</v>
      </c>
      <c r="AO50" s="56">
        <f t="shared" si="66"/>
        <v>7196516.9291825416</v>
      </c>
      <c r="AP50" s="56">
        <f t="shared" si="63"/>
        <v>935.5508767150485</v>
      </c>
      <c r="AQ50" s="64">
        <f>IFERROR(s_RadSpec!$G$25*AQ$25,".")*$B$50</f>
        <v>5.9374406250000001E-5</v>
      </c>
      <c r="AR50" s="64">
        <f>IFERROR(s_RadSpec!$J$25*AR25,".")*$B$50</f>
        <v>7.7197067062705466E-9</v>
      </c>
      <c r="AS50" s="73">
        <f t="shared" si="64"/>
        <v>5.9374406250000001E-5</v>
      </c>
      <c r="AT50" s="73">
        <f t="shared" si="64"/>
        <v>7.7197067062705466E-9</v>
      </c>
      <c r="AU50" s="73">
        <f t="shared" si="65"/>
        <v>5.9382125956706269E-5</v>
      </c>
    </row>
    <row r="51" spans="1:47" x14ac:dyDescent="0.25">
      <c r="A51" s="55" t="s">
        <v>307</v>
      </c>
      <c r="B51" s="50">
        <v>1</v>
      </c>
      <c r="C51" s="56">
        <f>IFERROR(C21/$B51,0)</f>
        <v>0</v>
      </c>
      <c r="D51" s="56">
        <f>IFERROR(D21/$B51,0)</f>
        <v>78038.858041700369</v>
      </c>
      <c r="E51" s="56">
        <f>IFERROR(E21/$B51,0)</f>
        <v>0</v>
      </c>
      <c r="F51" s="56">
        <f t="shared" si="28"/>
        <v>78038.858041700369</v>
      </c>
      <c r="G51" s="64">
        <f>IFERROR(s_RadSpec!$I$21*G21,".")*$B$51</f>
        <v>0</v>
      </c>
      <c r="H51" s="64">
        <f>IFERROR(s_RadSpec!$G$21*H21,".")*$B$51</f>
        <v>7.1188894089549533E-7</v>
      </c>
      <c r="I51" s="64">
        <f>IFERROR(s_RadSpec!$F$21*I21,".")*$B$51</f>
        <v>0</v>
      </c>
      <c r="J51" s="73">
        <f t="shared" si="56"/>
        <v>0</v>
      </c>
      <c r="K51" s="73">
        <f t="shared" si="56"/>
        <v>7.1188894089549533E-7</v>
      </c>
      <c r="L51" s="73">
        <f t="shared" si="56"/>
        <v>0</v>
      </c>
      <c r="M51" s="73">
        <f t="shared" si="57"/>
        <v>7.1188894089549533E-7</v>
      </c>
      <c r="N51" s="56">
        <f>IFERROR(N21/$B51,0)</f>
        <v>0</v>
      </c>
      <c r="O51" s="56">
        <f>IFERROR(O21/$B51,0)</f>
        <v>490817.33941774425</v>
      </c>
      <c r="P51" s="56">
        <f>IFERROR(P21/$B51,0)</f>
        <v>0</v>
      </c>
      <c r="Q51" s="56">
        <f t="shared" si="58"/>
        <v>490817.33941774425</v>
      </c>
      <c r="R51" s="64">
        <f>IFERROR(s_RadSpec!$I$21*R21,".")*$B$51</f>
        <v>0</v>
      </c>
      <c r="S51" s="64">
        <f>IFERROR(s_RadSpec!$G$21*S21,".")*$B$51</f>
        <v>1.1318874770378896E-7</v>
      </c>
      <c r="T51" s="64">
        <f>IFERROR(s_RadSpec!$F$21*T21,".")*$B$51</f>
        <v>0</v>
      </c>
      <c r="U51" s="73">
        <f t="shared" si="59"/>
        <v>0</v>
      </c>
      <c r="V51" s="73">
        <f t="shared" si="59"/>
        <v>1.1318874770378896E-7</v>
      </c>
      <c r="W51" s="73">
        <f t="shared" si="59"/>
        <v>0</v>
      </c>
      <c r="X51" s="73">
        <f t="shared" si="60"/>
        <v>1.1318874770378896E-7</v>
      </c>
      <c r="Y51" s="56">
        <f t="shared" ref="Y51:AO51" si="67">IFERROR(Y21/$B51,0)</f>
        <v>0</v>
      </c>
      <c r="Z51" s="56">
        <f t="shared" si="67"/>
        <v>0</v>
      </c>
      <c r="AA51" s="56">
        <f t="shared" si="67"/>
        <v>0</v>
      </c>
      <c r="AB51" s="56">
        <f t="shared" si="67"/>
        <v>0</v>
      </c>
      <c r="AC51" s="56">
        <f t="shared" si="67"/>
        <v>0</v>
      </c>
      <c r="AD51" s="64">
        <f>IFERROR(s_RadSpec!$F$21*AD21,".")*$B$51</f>
        <v>0</v>
      </c>
      <c r="AE51" s="64">
        <f>IFERROR(s_RadSpec!$M$21*AE21,".")*$B$51</f>
        <v>0</v>
      </c>
      <c r="AF51" s="64">
        <f>IFERROR(s_RadSpec!$N$21*AF21,".")*$B$51</f>
        <v>0</v>
      </c>
      <c r="AG51" s="64">
        <f>IFERROR(s_RadSpec!$O$21*AG21,".")*$B$51</f>
        <v>0</v>
      </c>
      <c r="AH51" s="64">
        <f>IFERROR(s_RadSpec!$K$21*AH21,".")*$B$51</f>
        <v>0</v>
      </c>
      <c r="AI51" s="73">
        <f t="shared" si="62"/>
        <v>0</v>
      </c>
      <c r="AJ51" s="73">
        <f t="shared" si="62"/>
        <v>0</v>
      </c>
      <c r="AK51" s="73">
        <f t="shared" si="62"/>
        <v>0</v>
      </c>
      <c r="AL51" s="73">
        <f t="shared" si="62"/>
        <v>0</v>
      </c>
      <c r="AM51" s="73">
        <f t="shared" si="62"/>
        <v>0</v>
      </c>
      <c r="AN51" s="56">
        <f t="shared" si="67"/>
        <v>153.47721822541965</v>
      </c>
      <c r="AO51" s="56">
        <f t="shared" si="67"/>
        <v>295951435845.08087</v>
      </c>
      <c r="AP51" s="56">
        <f t="shared" si="63"/>
        <v>153.47721814582803</v>
      </c>
      <c r="AQ51" s="64">
        <f>IFERROR(s_RadSpec!$G$21*AQ21,".")*$B$51</f>
        <v>3.6197554687499999E-4</v>
      </c>
      <c r="AR51" s="64">
        <f>IFERROR(s_RadSpec!$J$21*AR21,".")*$B$51</f>
        <v>1.8771660911650683E-13</v>
      </c>
      <c r="AS51" s="73">
        <f t="shared" si="64"/>
        <v>3.6197554687499999E-4</v>
      </c>
      <c r="AT51" s="73">
        <f t="shared" si="64"/>
        <v>1.8771660911650683E-13</v>
      </c>
      <c r="AU51" s="73">
        <f t="shared" si="65"/>
        <v>3.6197554706271658E-4</v>
      </c>
    </row>
    <row r="52" spans="1:47" x14ac:dyDescent="0.25">
      <c r="A52" s="55" t="s">
        <v>308</v>
      </c>
      <c r="B52" s="58">
        <v>0.99980000000000002</v>
      </c>
      <c r="C52" s="56">
        <f>IFERROR(C17/$B52,0)</f>
        <v>1099549.8683640338</v>
      </c>
      <c r="D52" s="56">
        <f>IFERROR(D17/$B52,0)</f>
        <v>13963.412074688233</v>
      </c>
      <c r="E52" s="56">
        <f>IFERROR(E17/$B52,0)</f>
        <v>519.13779840096208</v>
      </c>
      <c r="F52" s="56">
        <f t="shared" si="28"/>
        <v>500.30117356678858</v>
      </c>
      <c r="G52" s="64">
        <f>IFERROR(s_RadSpec!$I$17*G17,".")*$B$52</f>
        <v>5.0525220909405001E-8</v>
      </c>
      <c r="H52" s="64">
        <f>IFERROR(s_RadSpec!$G$17*H17,".")*$B$52</f>
        <v>3.9786120829811859E-6</v>
      </c>
      <c r="I52" s="64">
        <f>IFERROR(s_RadSpec!$F$17*I17,".")*$B$52</f>
        <v>1.0701397619498983E-4</v>
      </c>
      <c r="J52" s="73">
        <f t="shared" si="56"/>
        <v>5.0525220909405001E-8</v>
      </c>
      <c r="K52" s="73">
        <f t="shared" si="56"/>
        <v>3.9786120829811859E-6</v>
      </c>
      <c r="L52" s="73">
        <f t="shared" si="56"/>
        <v>1.0701397619498983E-4</v>
      </c>
      <c r="M52" s="73">
        <f t="shared" si="57"/>
        <v>1.1104311349888042E-4</v>
      </c>
      <c r="N52" s="56">
        <f>IFERROR(N17/$B52,0)</f>
        <v>1099549.8683640338</v>
      </c>
      <c r="O52" s="56">
        <f>IFERROR(O17/$B52,0)</f>
        <v>87821.438392010998</v>
      </c>
      <c r="P52" s="56">
        <f>IFERROR(P17/$B52,0)</f>
        <v>519.13779840096208</v>
      </c>
      <c r="Q52" s="56">
        <f t="shared" si="58"/>
        <v>515.84494118150906</v>
      </c>
      <c r="R52" s="64">
        <f>IFERROR(s_RadSpec!$I$17*R17,".")*$B$52</f>
        <v>5.0525220909405001E-8</v>
      </c>
      <c r="S52" s="64">
        <f>IFERROR(s_RadSpec!$G$17*S17,".")*$B$52</f>
        <v>6.3259041319748821E-7</v>
      </c>
      <c r="T52" s="64">
        <f>IFERROR(s_RadSpec!$F$17*T17,".")*$B$52</f>
        <v>1.0701397619498983E-4</v>
      </c>
      <c r="U52" s="73">
        <f t="shared" si="59"/>
        <v>5.0525220909405001E-8</v>
      </c>
      <c r="V52" s="73">
        <f t="shared" si="59"/>
        <v>6.3259041319748821E-7</v>
      </c>
      <c r="W52" s="73">
        <f t="shared" si="59"/>
        <v>1.0701397619498983E-4</v>
      </c>
      <c r="X52" s="73">
        <f t="shared" si="60"/>
        <v>1.0769709182909673E-4</v>
      </c>
      <c r="Y52" s="56">
        <f t="shared" ref="Y52:AO52" si="68">IFERROR(Y17/$B52,0)</f>
        <v>519.13779840096208</v>
      </c>
      <c r="Z52" s="56">
        <f t="shared" si="68"/>
        <v>3988.1915965368316</v>
      </c>
      <c r="AA52" s="56">
        <f t="shared" si="68"/>
        <v>1078.8608051539102</v>
      </c>
      <c r="AB52" s="56">
        <f t="shared" si="68"/>
        <v>649.04050876762165</v>
      </c>
      <c r="AC52" s="56">
        <f t="shared" si="68"/>
        <v>7745.9440222202829</v>
      </c>
      <c r="AD52" s="64">
        <f>IFERROR(s_RadSpec!$F$17*AD17,".")*$B$52</f>
        <v>1.0701397619498983E-4</v>
      </c>
      <c r="AE52" s="64">
        <f>IFERROR(s_RadSpec!$M$17*AE17,".")*$B$52</f>
        <v>1.3929872388337981E-5</v>
      </c>
      <c r="AF52" s="64">
        <f>IFERROR(s_RadSpec!$N$17*AF17,".")*$B$52</f>
        <v>5.1494131341692885E-5</v>
      </c>
      <c r="AG52" s="64">
        <f>IFERROR(s_RadSpec!$O$17*AG17,".")*$B$52</f>
        <v>8.5595581862041442E-5</v>
      </c>
      <c r="AH52" s="64">
        <f>IFERROR(s_RadSpec!$K$17*AH17,".")*$B$52</f>
        <v>7.172140650724171E-6</v>
      </c>
      <c r="AI52" s="73">
        <f t="shared" si="62"/>
        <v>1.0701397619498983E-4</v>
      </c>
      <c r="AJ52" s="73">
        <f t="shared" si="62"/>
        <v>1.3929872388337981E-5</v>
      </c>
      <c r="AK52" s="73">
        <f t="shared" si="62"/>
        <v>5.1494131341692885E-5</v>
      </c>
      <c r="AL52" s="73">
        <f t="shared" si="62"/>
        <v>8.5595581862041442E-5</v>
      </c>
      <c r="AM52" s="73">
        <f t="shared" si="62"/>
        <v>7.172140650724171E-6</v>
      </c>
      <c r="AN52" s="56">
        <f t="shared" si="68"/>
        <v>27.461519759979449</v>
      </c>
      <c r="AO52" s="56">
        <f t="shared" si="68"/>
        <v>11460.663875688922</v>
      </c>
      <c r="AP52" s="56">
        <f t="shared" si="63"/>
        <v>27.39587501450805</v>
      </c>
      <c r="AQ52" s="64">
        <f>IFERROR(s_RadSpec!$G$17*AQ17,".")*$B$52</f>
        <v>2.0230125821718748E-3</v>
      </c>
      <c r="AR52" s="64">
        <f>IFERROR(s_RadSpec!$J$17*AR17,".")*$B$52</f>
        <v>4.8474504271822108E-6</v>
      </c>
      <c r="AS52" s="73">
        <f t="shared" si="64"/>
        <v>2.0230125821718748E-3</v>
      </c>
      <c r="AT52" s="73">
        <f t="shared" si="64"/>
        <v>4.8474504271822108E-6</v>
      </c>
      <c r="AU52" s="73">
        <f t="shared" si="65"/>
        <v>2.027860032599057E-3</v>
      </c>
    </row>
    <row r="53" spans="1:47" x14ac:dyDescent="0.25">
      <c r="A53" s="55" t="s">
        <v>309</v>
      </c>
      <c r="B53" s="50">
        <v>2.0000000000000001E-4</v>
      </c>
      <c r="C53" s="56">
        <f>IFERROR(C5/$B53,0)</f>
        <v>0</v>
      </c>
      <c r="D53" s="56">
        <f>IFERROR(D5/$B53,0)</f>
        <v>0</v>
      </c>
      <c r="E53" s="56">
        <f>IFERROR(E5/$B53,0)</f>
        <v>0</v>
      </c>
      <c r="F53" s="56">
        <f t="shared" si="28"/>
        <v>0</v>
      </c>
      <c r="G53" s="64">
        <f>IFERROR(s_RadSpec!$I$5*G5,".")*$B$53</f>
        <v>0</v>
      </c>
      <c r="H53" s="64">
        <f>IFERROR(s_RadSpec!$G$5*H5,".")*$B$53</f>
        <v>0</v>
      </c>
      <c r="I53" s="64">
        <f>IFERROR(s_RadSpec!$F$5*I5,".")*$B$53</f>
        <v>0</v>
      </c>
      <c r="J53" s="73">
        <f t="shared" si="56"/>
        <v>0</v>
      </c>
      <c r="K53" s="73">
        <f t="shared" si="56"/>
        <v>0</v>
      </c>
      <c r="L53" s="73">
        <f t="shared" si="56"/>
        <v>0</v>
      </c>
      <c r="M53" s="73">
        <f t="shared" si="57"/>
        <v>0</v>
      </c>
      <c r="N53" s="56">
        <f>IFERROR(N5/$B53,0)</f>
        <v>0</v>
      </c>
      <c r="O53" s="56">
        <f>IFERROR(O5/$B53,0)</f>
        <v>0</v>
      </c>
      <c r="P53" s="56">
        <f>IFERROR(P5/$B53,0)</f>
        <v>0</v>
      </c>
      <c r="Q53" s="56">
        <f t="shared" si="58"/>
        <v>0</v>
      </c>
      <c r="R53" s="64">
        <f>IFERROR(s_RadSpec!$I$5*R5,".")*$B$53</f>
        <v>0</v>
      </c>
      <c r="S53" s="64">
        <f>IFERROR(s_RadSpec!$G$5*S5,".")*$B$53</f>
        <v>0</v>
      </c>
      <c r="T53" s="64">
        <f>IFERROR(s_RadSpec!$F$5*T5,".")*$B$53</f>
        <v>0</v>
      </c>
      <c r="U53" s="73">
        <f t="shared" si="59"/>
        <v>0</v>
      </c>
      <c r="V53" s="73">
        <f t="shared" si="59"/>
        <v>0</v>
      </c>
      <c r="W53" s="73">
        <f t="shared" si="59"/>
        <v>0</v>
      </c>
      <c r="X53" s="73">
        <f t="shared" si="60"/>
        <v>0</v>
      </c>
      <c r="Y53" s="56">
        <f t="shared" ref="Y53:AO53" si="69">IFERROR(Y5/$B53,0)</f>
        <v>0</v>
      </c>
      <c r="Z53" s="56">
        <f t="shared" si="69"/>
        <v>0</v>
      </c>
      <c r="AA53" s="56">
        <f t="shared" si="69"/>
        <v>0</v>
      </c>
      <c r="AB53" s="56">
        <f t="shared" si="69"/>
        <v>0</v>
      </c>
      <c r="AC53" s="56">
        <f t="shared" si="69"/>
        <v>0</v>
      </c>
      <c r="AD53" s="64">
        <f>IFERROR(s_RadSpec!$F$5*AD5,".")*$B$53</f>
        <v>0</v>
      </c>
      <c r="AE53" s="64">
        <f>IFERROR(s_RadSpec!$M$5*AE5,".")*$B$53</f>
        <v>0</v>
      </c>
      <c r="AF53" s="64">
        <f>IFERROR(s_RadSpec!$N$5*AF5,".")*$B$53</f>
        <v>0</v>
      </c>
      <c r="AG53" s="64">
        <f>IFERROR(s_RadSpec!$O$5*AG5,".")*$B$53</f>
        <v>0</v>
      </c>
      <c r="AH53" s="64">
        <f>IFERROR(s_RadSpec!$K$5*AH5,".")*$B$53</f>
        <v>0</v>
      </c>
      <c r="AI53" s="73">
        <f t="shared" si="62"/>
        <v>0</v>
      </c>
      <c r="AJ53" s="73">
        <f t="shared" si="62"/>
        <v>0</v>
      </c>
      <c r="AK53" s="73">
        <f t="shared" si="62"/>
        <v>0</v>
      </c>
      <c r="AL53" s="73">
        <f t="shared" si="62"/>
        <v>0</v>
      </c>
      <c r="AM53" s="73">
        <f t="shared" si="62"/>
        <v>0</v>
      </c>
      <c r="AN53" s="56">
        <f t="shared" si="69"/>
        <v>0</v>
      </c>
      <c r="AO53" s="56">
        <f t="shared" si="69"/>
        <v>1894537600674.9492</v>
      </c>
      <c r="AP53" s="56">
        <f t="shared" si="63"/>
        <v>1894537600674.9492</v>
      </c>
      <c r="AQ53" s="64">
        <f>IFERROR(s_RadSpec!$G$5*AQ5,".")*$B$53</f>
        <v>0</v>
      </c>
      <c r="AR53" s="64">
        <f>IFERROR(s_RadSpec!$J$5*AR5,".")*$B$53</f>
        <v>2.932377799216438E-14</v>
      </c>
      <c r="AS53" s="73">
        <f t="shared" si="64"/>
        <v>0</v>
      </c>
      <c r="AT53" s="73">
        <f t="shared" si="64"/>
        <v>2.932377799216438E-14</v>
      </c>
      <c r="AU53" s="73">
        <f t="shared" si="65"/>
        <v>2.932377799216438E-14</v>
      </c>
    </row>
    <row r="54" spans="1:47" x14ac:dyDescent="0.25">
      <c r="A54" s="55" t="s">
        <v>310</v>
      </c>
      <c r="B54" s="50">
        <v>0.99999979999999999</v>
      </c>
      <c r="C54" s="56">
        <f>IFERROR(C9/$B54,0)</f>
        <v>1646233.1312583226</v>
      </c>
      <c r="D54" s="56">
        <f>IFERROR(D9/$B54,0)</f>
        <v>17552.432746402978</v>
      </c>
      <c r="E54" s="56">
        <f>IFERROR(E9/$B54,0)</f>
        <v>25.963005092391658</v>
      </c>
      <c r="F54" s="56">
        <f t="shared" si="28"/>
        <v>25.924249903845283</v>
      </c>
      <c r="G54" s="64">
        <f>IFERROR(s_RadSpec!$I$9*G9,".")*$B$54</f>
        <v>3.3746739113150827E-8</v>
      </c>
      <c r="H54" s="64">
        <f>IFERROR(s_RadSpec!$G$9*H9,".")*$B$54</f>
        <v>3.1650883272226118E-6</v>
      </c>
      <c r="I54" s="64">
        <f>IFERROR(s_RadSpec!$F$9*I9,".")*$B$54</f>
        <v>2.1397754151456119E-3</v>
      </c>
      <c r="J54" s="73">
        <f t="shared" si="56"/>
        <v>3.3746739113150827E-8</v>
      </c>
      <c r="K54" s="73">
        <f t="shared" si="56"/>
        <v>3.1650883272226118E-6</v>
      </c>
      <c r="L54" s="73">
        <f t="shared" si="56"/>
        <v>2.1397754151456119E-3</v>
      </c>
      <c r="M54" s="73">
        <f t="shared" si="57"/>
        <v>2.1429742502119477E-3</v>
      </c>
      <c r="N54" s="56">
        <f>IFERROR(N9/$B54,0)</f>
        <v>1646233.1312583226</v>
      </c>
      <c r="O54" s="56">
        <f>IFERROR(O9/$B54,0)</f>
        <v>110394.21330710551</v>
      </c>
      <c r="P54" s="56">
        <f>IFERROR(P9/$B54,0)</f>
        <v>25.963005092391658</v>
      </c>
      <c r="Q54" s="56">
        <f t="shared" si="58"/>
        <v>25.956491164686813</v>
      </c>
      <c r="R54" s="64">
        <f>IFERROR(s_RadSpec!$I$9*R9,".")*$B$54</f>
        <v>3.3746739113150827E-8</v>
      </c>
      <c r="S54" s="64">
        <f>IFERROR(s_RadSpec!$G$9*S9,".")*$B$54</f>
        <v>5.0324195748785874E-7</v>
      </c>
      <c r="T54" s="64">
        <f>IFERROR(s_RadSpec!$F$9*T9,".")*$B$54</f>
        <v>2.1397754151456119E-3</v>
      </c>
      <c r="U54" s="73">
        <f t="shared" si="59"/>
        <v>3.3746739113150827E-8</v>
      </c>
      <c r="V54" s="73">
        <f t="shared" si="59"/>
        <v>5.0324195748785874E-7</v>
      </c>
      <c r="W54" s="73">
        <f t="shared" si="59"/>
        <v>2.1397754151456119E-3</v>
      </c>
      <c r="X54" s="73">
        <f t="shared" si="60"/>
        <v>2.1403124038422128E-3</v>
      </c>
      <c r="Y54" s="56">
        <f t="shared" ref="Y54:AO54" si="70">IFERROR(Y9/$B54,0)</f>
        <v>25.963005092391658</v>
      </c>
      <c r="Z54" s="56">
        <f t="shared" si="70"/>
        <v>294.43721856980505</v>
      </c>
      <c r="AA54" s="56">
        <f t="shared" si="70"/>
        <v>72.103906834702357</v>
      </c>
      <c r="AB54" s="56">
        <f t="shared" si="70"/>
        <v>36.882260286930169</v>
      </c>
      <c r="AC54" s="56">
        <f t="shared" si="70"/>
        <v>538.59887956929595</v>
      </c>
      <c r="AD54" s="64">
        <f>IFERROR(s_RadSpec!$F$9*AD9,".")*$B$54</f>
        <v>2.1397754151456119E-3</v>
      </c>
      <c r="AE54" s="64">
        <f>IFERROR(s_RadSpec!$M$9*AE9,".")*$B$54</f>
        <v>1.8868198887984344E-4</v>
      </c>
      <c r="AF54" s="64">
        <f>IFERROR(s_RadSpec!$N$9*AF9,".")*$B$54</f>
        <v>7.7048529599594922E-4</v>
      </c>
      <c r="AG54" s="64">
        <f>IFERROR(s_RadSpec!$O$9*AG9,".")*$B$54</f>
        <v>1.5062797010758809E-3</v>
      </c>
      <c r="AH54" s="64">
        <f>IFERROR(s_RadSpec!$K$9*AH9,".")*$B$54</f>
        <v>1.0314726247560324E-4</v>
      </c>
      <c r="AI54" s="73">
        <f t="shared" si="62"/>
        <v>2.1397754151456119E-3</v>
      </c>
      <c r="AJ54" s="73">
        <f t="shared" si="62"/>
        <v>1.8868198887984344E-4</v>
      </c>
      <c r="AK54" s="73">
        <f t="shared" si="62"/>
        <v>7.7048529599594922E-4</v>
      </c>
      <c r="AL54" s="73">
        <f t="shared" si="62"/>
        <v>1.5062797010758809E-3</v>
      </c>
      <c r="AM54" s="73">
        <f t="shared" si="62"/>
        <v>1.0314726247560324E-4</v>
      </c>
      <c r="AN54" s="56">
        <f t="shared" si="70"/>
        <v>34.519963754046685</v>
      </c>
      <c r="AO54" s="56">
        <f t="shared" si="70"/>
        <v>1745.7522743797279</v>
      </c>
      <c r="AP54" s="56">
        <f t="shared" si="63"/>
        <v>33.850612251475454</v>
      </c>
      <c r="AQ54" s="64">
        <f>IFERROR(s_RadSpec!$G$9*AQ9,".")*$B$54</f>
        <v>1.6093585843782187E-3</v>
      </c>
      <c r="AR54" s="64">
        <f>IFERROR(s_RadSpec!$J$9*AR9,".")*$B$54</f>
        <v>3.1822957251903844E-5</v>
      </c>
      <c r="AS54" s="73">
        <f t="shared" si="64"/>
        <v>1.6093585843782187E-3</v>
      </c>
      <c r="AT54" s="73">
        <f t="shared" si="64"/>
        <v>3.1822957251903844E-5</v>
      </c>
      <c r="AU54" s="73">
        <f t="shared" si="65"/>
        <v>1.6411815416301225E-3</v>
      </c>
    </row>
    <row r="55" spans="1:47" x14ac:dyDescent="0.25">
      <c r="A55" s="55" t="s">
        <v>311</v>
      </c>
      <c r="B55" s="50">
        <v>1.9999999999999999E-7</v>
      </c>
      <c r="C55" s="56">
        <f>IFERROR(C24/$B55,0)</f>
        <v>0</v>
      </c>
      <c r="D55" s="56">
        <f>IFERROR(D24/$B55,0)</f>
        <v>0</v>
      </c>
      <c r="E55" s="56">
        <f>IFERROR(E24/$B55,0)</f>
        <v>496890662279.289</v>
      </c>
      <c r="F55" s="56">
        <f t="shared" si="28"/>
        <v>496890662279.289</v>
      </c>
      <c r="G55" s="64">
        <f>IFERROR(s_RadSpec!$I$24*G24,".")*$B$55</f>
        <v>0</v>
      </c>
      <c r="H55" s="64">
        <f>IFERROR(s_RadSpec!$G$24*H24,".")*$B$55</f>
        <v>0</v>
      </c>
      <c r="I55" s="64">
        <f>IFERROR(s_RadSpec!$F$24*I24,".")*$B$55</f>
        <v>1.1180528075364397E-13</v>
      </c>
      <c r="J55" s="73">
        <f t="shared" si="56"/>
        <v>0</v>
      </c>
      <c r="K55" s="73">
        <f t="shared" si="56"/>
        <v>0</v>
      </c>
      <c r="L55" s="73">
        <f t="shared" si="56"/>
        <v>1.1180528075364397E-13</v>
      </c>
      <c r="M55" s="73">
        <f t="shared" si="57"/>
        <v>1.1180528075364397E-13</v>
      </c>
      <c r="N55" s="56">
        <f>IFERROR(N24/$B55,0)</f>
        <v>0</v>
      </c>
      <c r="O55" s="56">
        <f>IFERROR(O24/$B55,0)</f>
        <v>0</v>
      </c>
      <c r="P55" s="56">
        <f>IFERROR(P24/$B55,0)</f>
        <v>496890662279.289</v>
      </c>
      <c r="Q55" s="56">
        <f t="shared" si="58"/>
        <v>496890662279.289</v>
      </c>
      <c r="R55" s="64">
        <f>IFERROR(s_RadSpec!$I$24*R24,".")*$B$55</f>
        <v>0</v>
      </c>
      <c r="S55" s="64">
        <f>IFERROR(s_RadSpec!$G$24*S24,".")*$B$55</f>
        <v>0</v>
      </c>
      <c r="T55" s="64">
        <f>IFERROR(s_RadSpec!$F$24*T24,".")*$B$55</f>
        <v>1.1180528075364397E-13</v>
      </c>
      <c r="U55" s="73">
        <f t="shared" si="59"/>
        <v>0</v>
      </c>
      <c r="V55" s="73">
        <f t="shared" si="59"/>
        <v>0</v>
      </c>
      <c r="W55" s="73">
        <f t="shared" si="59"/>
        <v>1.1180528075364397E-13</v>
      </c>
      <c r="X55" s="73">
        <f t="shared" si="60"/>
        <v>1.1180528075364397E-13</v>
      </c>
      <c r="Y55" s="56">
        <f t="shared" ref="Y55:AO55" si="71">IFERROR(Y24/$B55,0)</f>
        <v>496890662279.289</v>
      </c>
      <c r="Z55" s="56">
        <f t="shared" si="71"/>
        <v>4377552943416.8057</v>
      </c>
      <c r="AA55" s="56">
        <f t="shared" si="71"/>
        <v>1097982425760.2218</v>
      </c>
      <c r="AB55" s="56">
        <f t="shared" si="71"/>
        <v>592449748380.97473</v>
      </c>
      <c r="AC55" s="56">
        <f t="shared" si="71"/>
        <v>7447736452166.0859</v>
      </c>
      <c r="AD55" s="64">
        <f>IFERROR(s_RadSpec!$F$24*AD24,".")*$B$55</f>
        <v>1.1180528075364397E-13</v>
      </c>
      <c r="AE55" s="64">
        <f>IFERROR(s_RadSpec!$M$24*AE24,".")*$B$55</f>
        <v>1.2690880205925666E-14</v>
      </c>
      <c r="AF55" s="64">
        <f>IFERROR(s_RadSpec!$N$24*AF24,".")*$B$55</f>
        <v>5.0597349007234597E-14</v>
      </c>
      <c r="AG55" s="64">
        <f>IFERROR(s_RadSpec!$O$24*AG24,".")*$B$55</f>
        <v>9.377166612327656E-14</v>
      </c>
      <c r="AH55" s="64">
        <f>IFERROR(s_RadSpec!$K$24*AH24,".")*$B$55</f>
        <v>7.459313357394982E-15</v>
      </c>
      <c r="AI55" s="73">
        <f t="shared" si="62"/>
        <v>1.1180528075364397E-13</v>
      </c>
      <c r="AJ55" s="73">
        <f t="shared" si="62"/>
        <v>1.2690880205925666E-14</v>
      </c>
      <c r="AK55" s="73">
        <f t="shared" si="62"/>
        <v>5.0597349007234597E-14</v>
      </c>
      <c r="AL55" s="73">
        <f t="shared" si="62"/>
        <v>9.377166612327656E-14</v>
      </c>
      <c r="AM55" s="73">
        <f t="shared" si="62"/>
        <v>7.459313357394982E-15</v>
      </c>
      <c r="AN55" s="56">
        <f t="shared" si="71"/>
        <v>0</v>
      </c>
      <c r="AO55" s="56">
        <f t="shared" si="71"/>
        <v>18320803171362.152</v>
      </c>
      <c r="AP55" s="56">
        <f t="shared" si="63"/>
        <v>18320803171362.152</v>
      </c>
      <c r="AQ55" s="64">
        <f>IFERROR(s_RadSpec!$G$24*AQ24,".")*$B$55</f>
        <v>0</v>
      </c>
      <c r="AR55" s="64">
        <f>IFERROR(s_RadSpec!$J$24*AR24,".")*$B$55</f>
        <v>3.0323452241897256E-15</v>
      </c>
      <c r="AS55" s="73">
        <f t="shared" si="64"/>
        <v>0</v>
      </c>
      <c r="AT55" s="73">
        <f t="shared" si="64"/>
        <v>3.0323452241897256E-15</v>
      </c>
      <c r="AU55" s="73">
        <f t="shared" si="65"/>
        <v>3.0323452241897256E-15</v>
      </c>
    </row>
    <row r="56" spans="1:47" x14ac:dyDescent="0.25">
      <c r="A56" s="55" t="s">
        <v>312</v>
      </c>
      <c r="B56" s="50">
        <v>0.99979000004200003</v>
      </c>
      <c r="C56" s="56">
        <f>IFERROR(C20/$B56,0)</f>
        <v>0</v>
      </c>
      <c r="D56" s="56">
        <f>IFERROR(D20/$B56,0)</f>
        <v>0</v>
      </c>
      <c r="E56" s="56">
        <f>IFERROR(E20/$B56,0)</f>
        <v>684138.40151537966</v>
      </c>
      <c r="F56" s="56">
        <f t="shared" si="28"/>
        <v>684138.40151537966</v>
      </c>
      <c r="G56" s="64">
        <f>IFERROR(s_RadSpec!$I$20*G20,".")*$B$56</f>
        <v>0</v>
      </c>
      <c r="H56" s="64">
        <f>IFERROR(s_RadSpec!$G$20*H20,".")*$B$56</f>
        <v>0</v>
      </c>
      <c r="I56" s="64">
        <f>IFERROR(s_RadSpec!$F$20*I20,".")*$B$56</f>
        <v>8.1204329236517916E-8</v>
      </c>
      <c r="J56" s="73">
        <f t="shared" si="56"/>
        <v>0</v>
      </c>
      <c r="K56" s="73">
        <f t="shared" si="56"/>
        <v>0</v>
      </c>
      <c r="L56" s="73">
        <f t="shared" si="56"/>
        <v>8.1204329236517916E-8</v>
      </c>
      <c r="M56" s="73">
        <f t="shared" si="57"/>
        <v>8.1204329236517916E-8</v>
      </c>
      <c r="N56" s="56">
        <f>IFERROR(N20/$B56,0)</f>
        <v>0</v>
      </c>
      <c r="O56" s="56">
        <f>IFERROR(O20/$B56,0)</f>
        <v>0</v>
      </c>
      <c r="P56" s="56">
        <f>IFERROR(P20/$B56,0)</f>
        <v>684138.40151537966</v>
      </c>
      <c r="Q56" s="56">
        <f t="shared" si="58"/>
        <v>684138.40151537966</v>
      </c>
      <c r="R56" s="64">
        <f>IFERROR(s_RadSpec!$I$20*R20,".")*$B$56</f>
        <v>0</v>
      </c>
      <c r="S56" s="64">
        <f>IFERROR(s_RadSpec!$G$20*S20,".")*$B$56</f>
        <v>0</v>
      </c>
      <c r="T56" s="64">
        <f>IFERROR(s_RadSpec!$F$20*T20,".")*$B$56</f>
        <v>8.1204329236517916E-8</v>
      </c>
      <c r="U56" s="73">
        <f t="shared" si="59"/>
        <v>0</v>
      </c>
      <c r="V56" s="73">
        <f t="shared" si="59"/>
        <v>0</v>
      </c>
      <c r="W56" s="73">
        <f t="shared" si="59"/>
        <v>8.1204329236517916E-8</v>
      </c>
      <c r="X56" s="73">
        <f t="shared" si="60"/>
        <v>8.1204329236517916E-8</v>
      </c>
      <c r="Y56" s="56">
        <f t="shared" ref="Y56:AO56" si="72">IFERROR(Y20/$B56,0)</f>
        <v>684138.40151537966</v>
      </c>
      <c r="Z56" s="56">
        <f t="shared" si="72"/>
        <v>6820332.2361435732</v>
      </c>
      <c r="AA56" s="56">
        <f t="shared" si="72"/>
        <v>1693038.4397031681</v>
      </c>
      <c r="AB56" s="56">
        <f t="shared" si="72"/>
        <v>905105.24329258059</v>
      </c>
      <c r="AC56" s="56">
        <f t="shared" si="72"/>
        <v>11928570.353400188</v>
      </c>
      <c r="AD56" s="64">
        <f>IFERROR(s_RadSpec!$F$20*AD20,".")*$B$56</f>
        <v>8.1204329236517916E-8</v>
      </c>
      <c r="AE56" s="64">
        <f>IFERROR(s_RadSpec!$M$20*AE20,".")*$B$56</f>
        <v>8.1454976204227395E-9</v>
      </c>
      <c r="AF56" s="64">
        <f>IFERROR(s_RadSpec!$N$20*AF20,".")*$B$56</f>
        <v>3.2813785379698863E-8</v>
      </c>
      <c r="AG56" s="64">
        <f>IFERROR(s_RadSpec!$O$20*AG20,".")*$B$56</f>
        <v>6.1379602440377773E-8</v>
      </c>
      <c r="AH56" s="64">
        <f>IFERROR(s_RadSpec!$K$20*AH20,".")*$B$56</f>
        <v>4.6573058090036987E-9</v>
      </c>
      <c r="AI56" s="73">
        <f t="shared" si="62"/>
        <v>8.1204329236517916E-8</v>
      </c>
      <c r="AJ56" s="73">
        <f t="shared" si="62"/>
        <v>8.1454976204227395E-9</v>
      </c>
      <c r="AK56" s="73">
        <f t="shared" si="62"/>
        <v>3.2813785379698863E-8</v>
      </c>
      <c r="AL56" s="73">
        <f t="shared" si="62"/>
        <v>6.1379602440377773E-8</v>
      </c>
      <c r="AM56" s="73">
        <f t="shared" si="62"/>
        <v>4.6573058090036987E-9</v>
      </c>
      <c r="AN56" s="56">
        <f t="shared" si="72"/>
        <v>0</v>
      </c>
      <c r="AO56" s="56">
        <f t="shared" si="72"/>
        <v>32696926.913944453</v>
      </c>
      <c r="AP56" s="56">
        <f t="shared" si="63"/>
        <v>32696926.913944449</v>
      </c>
      <c r="AQ56" s="64">
        <f>IFERROR(s_RadSpec!$G$20*AQ20,".")*$B$56</f>
        <v>0</v>
      </c>
      <c r="AR56" s="64">
        <f>IFERROR(s_RadSpec!$J$20*AR20,".")*$B$56</f>
        <v>1.6990893409101124E-9</v>
      </c>
      <c r="AS56" s="73">
        <f t="shared" si="64"/>
        <v>0</v>
      </c>
      <c r="AT56" s="73">
        <f t="shared" si="64"/>
        <v>1.6990893409101124E-9</v>
      </c>
      <c r="AU56" s="73">
        <f t="shared" si="65"/>
        <v>1.6990893409101124E-9</v>
      </c>
    </row>
    <row r="57" spans="1:47" x14ac:dyDescent="0.25">
      <c r="A57" s="55" t="s">
        <v>313</v>
      </c>
      <c r="B57" s="50">
        <v>2.0999995799999999E-4</v>
      </c>
      <c r="C57" s="56">
        <f>IFERROR(C29/$B57,0)</f>
        <v>0</v>
      </c>
      <c r="D57" s="56">
        <f>IFERROR(D29/$B57,0)</f>
        <v>0</v>
      </c>
      <c r="E57" s="56">
        <f>IFERROR(E29/$B57,0)</f>
        <v>73561.804590246509</v>
      </c>
      <c r="F57" s="56">
        <f t="shared" si="28"/>
        <v>73561.804590246509</v>
      </c>
      <c r="G57" s="64">
        <f>IFERROR(s_RadSpec!$I$29*G29,".")*$B$57</f>
        <v>0</v>
      </c>
      <c r="H57" s="64">
        <f>IFERROR(s_RadSpec!$G$29*H29,".")*$B$57</f>
        <v>0</v>
      </c>
      <c r="I57" s="64">
        <f>IFERROR(s_RadSpec!$F$29*I29,".")*$B$57</f>
        <v>7.5521529562049344E-7</v>
      </c>
      <c r="J57" s="73">
        <f t="shared" si="56"/>
        <v>0</v>
      </c>
      <c r="K57" s="73">
        <f t="shared" si="56"/>
        <v>0</v>
      </c>
      <c r="L57" s="73">
        <f t="shared" si="56"/>
        <v>7.5521529562049344E-7</v>
      </c>
      <c r="M57" s="73">
        <f t="shared" si="57"/>
        <v>7.5521529562049344E-7</v>
      </c>
      <c r="N57" s="56">
        <f>IFERROR(N29/$B57,0)</f>
        <v>0</v>
      </c>
      <c r="O57" s="56">
        <f>IFERROR(O29/$B57,0)</f>
        <v>0</v>
      </c>
      <c r="P57" s="56">
        <f>IFERROR(P29/$B57,0)</f>
        <v>73561.804590246509</v>
      </c>
      <c r="Q57" s="56">
        <f t="shared" si="58"/>
        <v>73561.804590246509</v>
      </c>
      <c r="R57" s="64">
        <f>IFERROR(s_RadSpec!$I$29*R29,".")*$B$57</f>
        <v>0</v>
      </c>
      <c r="S57" s="64">
        <f>IFERROR(s_RadSpec!$G$29*S29,".")*$B$57</f>
        <v>0</v>
      </c>
      <c r="T57" s="64">
        <f>IFERROR(s_RadSpec!$F$29*T29,".")*$B$57</f>
        <v>7.5521529562049344E-7</v>
      </c>
      <c r="U57" s="73">
        <f t="shared" si="59"/>
        <v>0</v>
      </c>
      <c r="V57" s="73">
        <f t="shared" si="59"/>
        <v>0</v>
      </c>
      <c r="W57" s="73">
        <f t="shared" si="59"/>
        <v>7.5521529562049344E-7</v>
      </c>
      <c r="X57" s="73">
        <f t="shared" si="60"/>
        <v>7.5521529562049344E-7</v>
      </c>
      <c r="Y57" s="56">
        <f t="shared" ref="Y57:AO57" si="73">IFERROR(Y29/$B57,0)</f>
        <v>73561.804590246509</v>
      </c>
      <c r="Z57" s="56">
        <f t="shared" si="73"/>
        <v>793273.29425677238</v>
      </c>
      <c r="AA57" s="56">
        <f t="shared" si="73"/>
        <v>197274.43909221812</v>
      </c>
      <c r="AB57" s="56">
        <f t="shared" si="73"/>
        <v>104840.95833524654</v>
      </c>
      <c r="AC57" s="56">
        <f t="shared" si="73"/>
        <v>1471485.8093845013</v>
      </c>
      <c r="AD57" s="64">
        <f>IFERROR(s_RadSpec!$F$29*AD29,".")*$B$57</f>
        <v>7.5521529562049344E-7</v>
      </c>
      <c r="AE57" s="64">
        <f>IFERROR(s_RadSpec!$M$29*AE29,".")*$B$57</f>
        <v>7.0032610957929906E-8</v>
      </c>
      <c r="AF57" s="64">
        <f>IFERROR(s_RadSpec!$N$29*AF29,".")*$B$57</f>
        <v>2.8161276369935684E-7</v>
      </c>
      <c r="AG57" s="64">
        <f>IFERROR(s_RadSpec!$O$29*AG29,".")*$B$57</f>
        <v>5.2989786512970985E-7</v>
      </c>
      <c r="AH57" s="64">
        <f>IFERROR(s_RadSpec!$K$29*AH29,".")*$B$57</f>
        <v>3.775435661403879E-8</v>
      </c>
      <c r="AI57" s="73">
        <f t="shared" si="62"/>
        <v>7.5521529562049344E-7</v>
      </c>
      <c r="AJ57" s="73">
        <f t="shared" si="62"/>
        <v>7.0032610957929906E-8</v>
      </c>
      <c r="AK57" s="73">
        <f t="shared" si="62"/>
        <v>2.8161276369935684E-7</v>
      </c>
      <c r="AL57" s="73">
        <f t="shared" si="62"/>
        <v>5.2989786512970985E-7</v>
      </c>
      <c r="AM57" s="73">
        <f t="shared" si="62"/>
        <v>3.775435661403879E-8</v>
      </c>
      <c r="AN57" s="56">
        <f t="shared" si="73"/>
        <v>0</v>
      </c>
      <c r="AO57" s="56">
        <f t="shared" si="73"/>
        <v>4493782.8087133151</v>
      </c>
      <c r="AP57" s="56">
        <f t="shared" si="63"/>
        <v>4493782.8087133151</v>
      </c>
      <c r="AQ57" s="64">
        <f>IFERROR(s_RadSpec!$G$29*AQ29,".")*$B$57</f>
        <v>0</v>
      </c>
      <c r="AR57" s="64">
        <f>IFERROR(s_RadSpec!$J$29*AR29,".")*$B$57</f>
        <v>1.2362635749168928E-8</v>
      </c>
      <c r="AS57" s="73">
        <f t="shared" si="64"/>
        <v>0</v>
      </c>
      <c r="AT57" s="73">
        <f t="shared" si="64"/>
        <v>1.2362635749168928E-8</v>
      </c>
      <c r="AU57" s="73">
        <f t="shared" si="65"/>
        <v>1.2362635749168928E-8</v>
      </c>
    </row>
    <row r="58" spans="1:47" x14ac:dyDescent="0.25">
      <c r="A58" s="55" t="s">
        <v>314</v>
      </c>
      <c r="B58" s="50">
        <v>1</v>
      </c>
      <c r="C58" s="56">
        <f>IFERROR(C16/$B58,0)</f>
        <v>404.44484888929333</v>
      </c>
      <c r="D58" s="56">
        <f>IFERROR(D16/$B58,0)</f>
        <v>68.338696325813345</v>
      </c>
      <c r="E58" s="56">
        <f>IFERROR(E16/$B58,0)</f>
        <v>3782882982.1826382</v>
      </c>
      <c r="F58" s="56">
        <f t="shared" si="28"/>
        <v>58.46064982881979</v>
      </c>
      <c r="G58" s="64">
        <f>IFERROR(s_RadSpec!$I$16*G16,".")*$B$58</f>
        <v>1.37361126375E-4</v>
      </c>
      <c r="H58" s="64">
        <f>IFERROR(s_RadSpec!$G$16*H16,".")*$B$58</f>
        <v>8.129361984772804E-4</v>
      </c>
      <c r="I58" s="64">
        <f>IFERROR(s_RadSpec!$F$16*I16,".")*$B$58</f>
        <v>1.4685889111998389E-11</v>
      </c>
      <c r="J58" s="73">
        <f t="shared" si="56"/>
        <v>1.37361126375E-4</v>
      </c>
      <c r="K58" s="73">
        <f t="shared" si="56"/>
        <v>8.129361984772804E-4</v>
      </c>
      <c r="L58" s="73">
        <f t="shared" si="56"/>
        <v>1.4685889111998389E-11</v>
      </c>
      <c r="M58" s="73">
        <f t="shared" si="57"/>
        <v>9.5029733953816951E-4</v>
      </c>
      <c r="N58" s="56">
        <f>IFERROR(N16/$B58,0)</f>
        <v>404.44484888929333</v>
      </c>
      <c r="O58" s="56">
        <f>IFERROR(O16/$B58,0)</f>
        <v>429.80917393729254</v>
      </c>
      <c r="P58" s="56">
        <f>IFERROR(P16/$B58,0)</f>
        <v>3782882982.1826382</v>
      </c>
      <c r="Q58" s="56">
        <f t="shared" si="58"/>
        <v>208.37070253506613</v>
      </c>
      <c r="R58" s="64">
        <f>IFERROR(s_RadSpec!$I$16*R16,".")*$B$58</f>
        <v>1.37361126375E-4</v>
      </c>
      <c r="S58" s="64">
        <f>IFERROR(s_RadSpec!$G$16*S16,".")*$B$58</f>
        <v>1.292550354174275E-4</v>
      </c>
      <c r="T58" s="64">
        <f>IFERROR(s_RadSpec!$F$16*T16,".")*$B$58</f>
        <v>1.4685889111998389E-11</v>
      </c>
      <c r="U58" s="73">
        <f t="shared" si="59"/>
        <v>1.37361126375E-4</v>
      </c>
      <c r="V58" s="73">
        <f t="shared" si="59"/>
        <v>1.292550354174275E-4</v>
      </c>
      <c r="W58" s="73">
        <f t="shared" si="59"/>
        <v>1.4685889111998389E-11</v>
      </c>
      <c r="X58" s="73">
        <f t="shared" si="60"/>
        <v>2.6661617647831662E-4</v>
      </c>
      <c r="Y58" s="56">
        <f t="shared" ref="Y58:AO58" si="74">IFERROR(Y16/$B58,0)</f>
        <v>3782882982.1826382</v>
      </c>
      <c r="Z58" s="56">
        <f t="shared" si="74"/>
        <v>10485569476.077385</v>
      </c>
      <c r="AA58" s="56">
        <f t="shared" si="74"/>
        <v>4092409105.8074307</v>
      </c>
      <c r="AB58" s="56">
        <f t="shared" si="74"/>
        <v>4068208035.9730072</v>
      </c>
      <c r="AC58" s="56">
        <f t="shared" si="74"/>
        <v>136097394987.2617</v>
      </c>
      <c r="AD58" s="64">
        <f>IFERROR(s_RadSpec!$F$16*AD16,".")*$B$58</f>
        <v>1.4685889111998389E-11</v>
      </c>
      <c r="AE58" s="64">
        <f>IFERROR(s_RadSpec!$M$16*AE16,".")*$B$58</f>
        <v>5.2982339325248495E-12</v>
      </c>
      <c r="AF58" s="64">
        <f>IFERROR(s_RadSpec!$N$16*AF16,".")*$B$58</f>
        <v>1.3575133512718298E-11</v>
      </c>
      <c r="AG58" s="64">
        <f>IFERROR(s_RadSpec!$O$16*AG16,".")*$B$58</f>
        <v>1.36558896469297E-11</v>
      </c>
      <c r="AH58" s="64">
        <f>IFERROR(s_RadSpec!$K$16*AH16,".")*$B$58</f>
        <v>4.0820031864092459E-13</v>
      </c>
      <c r="AI58" s="73">
        <f t="shared" si="62"/>
        <v>1.4685889111998389E-11</v>
      </c>
      <c r="AJ58" s="73">
        <f t="shared" si="62"/>
        <v>5.2982339325248495E-12</v>
      </c>
      <c r="AK58" s="73">
        <f t="shared" si="62"/>
        <v>1.3575133512718298E-11</v>
      </c>
      <c r="AL58" s="73">
        <f t="shared" si="62"/>
        <v>1.36558896469297E-11</v>
      </c>
      <c r="AM58" s="73">
        <f t="shared" si="62"/>
        <v>4.0820031864092459E-13</v>
      </c>
      <c r="AN58" s="56">
        <f t="shared" si="74"/>
        <v>0.1344001344001344</v>
      </c>
      <c r="AO58" s="56">
        <f t="shared" si="74"/>
        <v>2968296.3001672802</v>
      </c>
      <c r="AP58" s="56">
        <f t="shared" si="63"/>
        <v>0.13440012831469228</v>
      </c>
      <c r="AQ58" s="64">
        <f>IFERROR(s_RadSpec!$G$16*AQ16,".")*$B$58</f>
        <v>0.41335524140624996</v>
      </c>
      <c r="AR58" s="64">
        <f>IFERROR(s_RadSpec!$J$16*AR16,".")*$B$58</f>
        <v>1.8716123453332189E-8</v>
      </c>
      <c r="AS58" s="73">
        <f t="shared" si="64"/>
        <v>0.3385727252671914</v>
      </c>
      <c r="AT58" s="73">
        <f t="shared" si="64"/>
        <v>1.8716123453332189E-8</v>
      </c>
      <c r="AU58" s="73">
        <f t="shared" si="65"/>
        <v>0.33857273764654583</v>
      </c>
    </row>
    <row r="59" spans="1:47" x14ac:dyDescent="0.25">
      <c r="A59" s="55" t="s">
        <v>315</v>
      </c>
      <c r="B59" s="50">
        <v>1</v>
      </c>
      <c r="C59" s="56">
        <f>IFERROR(C7/$B59,0)</f>
        <v>64871.352000064864</v>
      </c>
      <c r="D59" s="56">
        <f>IFERROR(D7/$B59,0)</f>
        <v>2383.5203840466611</v>
      </c>
      <c r="E59" s="56">
        <f>IFERROR(E7/$B59,0)</f>
        <v>243385.85234948245</v>
      </c>
      <c r="F59" s="56">
        <f t="shared" si="28"/>
        <v>2277.534321738468</v>
      </c>
      <c r="G59" s="64">
        <f>IFERROR(s_RadSpec!$I$7*G7,".")*$B$59</f>
        <v>8.5638726937499996E-7</v>
      </c>
      <c r="H59" s="64">
        <f>IFERROR(s_RadSpec!$G$7*H7,".")*$B$59</f>
        <v>2.3307960935362585E-5</v>
      </c>
      <c r="I59" s="64">
        <f>IFERROR(s_RadSpec!$F$7*I7,".")*$B$59</f>
        <v>2.282589536890069E-7</v>
      </c>
      <c r="J59" s="73">
        <f t="shared" si="56"/>
        <v>8.5638726937499996E-7</v>
      </c>
      <c r="K59" s="73">
        <f t="shared" si="56"/>
        <v>2.3307960935362585E-5</v>
      </c>
      <c r="L59" s="73">
        <f t="shared" si="56"/>
        <v>2.282589536890069E-7</v>
      </c>
      <c r="M59" s="73">
        <f t="shared" si="57"/>
        <v>2.4392607158426589E-5</v>
      </c>
      <c r="N59" s="56">
        <f>IFERROR(N7/$B59,0)</f>
        <v>64871.352000064864</v>
      </c>
      <c r="O59" s="56">
        <f>IFERROR(O7/$B59,0)</f>
        <v>14990.905334886058</v>
      </c>
      <c r="P59" s="56">
        <f>IFERROR(P7/$B59,0)</f>
        <v>243385.85234948245</v>
      </c>
      <c r="Q59" s="56">
        <f t="shared" si="58"/>
        <v>11596.765726453272</v>
      </c>
      <c r="R59" s="64">
        <f>IFERROR(s_RadSpec!$I$7*R7,".")*$B$59</f>
        <v>8.5638726937499996E-7</v>
      </c>
      <c r="S59" s="64">
        <f>IFERROR(s_RadSpec!$G$7*S7,".")*$B$59</f>
        <v>3.7059136028772919E-6</v>
      </c>
      <c r="T59" s="64">
        <f>IFERROR(s_RadSpec!$F$7*T7,".")*$B$59</f>
        <v>2.282589536890069E-7</v>
      </c>
      <c r="U59" s="73">
        <f t="shared" si="59"/>
        <v>8.5638726937499996E-7</v>
      </c>
      <c r="V59" s="73">
        <f t="shared" si="59"/>
        <v>3.7059136028772919E-6</v>
      </c>
      <c r="W59" s="73">
        <f t="shared" si="59"/>
        <v>2.282589536890069E-7</v>
      </c>
      <c r="X59" s="73">
        <f t="shared" si="60"/>
        <v>4.7905598259412982E-6</v>
      </c>
      <c r="Y59" s="56">
        <f t="shared" ref="Y59:AO59" si="75">IFERROR(Y7/$B59,0)</f>
        <v>243385.85234948245</v>
      </c>
      <c r="Z59" s="56">
        <f t="shared" si="75"/>
        <v>1122378.5469965809</v>
      </c>
      <c r="AA59" s="56">
        <f t="shared" si="75"/>
        <v>381989.38780732075</v>
      </c>
      <c r="AB59" s="56">
        <f t="shared" si="75"/>
        <v>268891.97038063756</v>
      </c>
      <c r="AC59" s="56">
        <f t="shared" si="75"/>
        <v>380241.29434263927</v>
      </c>
      <c r="AD59" s="64">
        <f>IFERROR(s_RadSpec!$F$7*AD7,".")*$B$59</f>
        <v>2.282589536890069E-7</v>
      </c>
      <c r="AE59" s="64">
        <f>IFERROR(s_RadSpec!$M$7*AE7,".")*$B$59</f>
        <v>4.9497560469827149E-8</v>
      </c>
      <c r="AF59" s="64">
        <f>IFERROR(s_RadSpec!$N$7*AF7,".")*$B$59</f>
        <v>1.4543597747281528E-7</v>
      </c>
      <c r="AG59" s="64">
        <f>IFERROR(s_RadSpec!$O$7*AG7,".")*$B$59</f>
        <v>2.0660713639517592E-7</v>
      </c>
      <c r="AH59" s="64">
        <f>IFERROR(s_RadSpec!$K$7*AH7,".")*$B$59</f>
        <v>1.4610459417892367E-7</v>
      </c>
      <c r="AI59" s="73">
        <f t="shared" si="62"/>
        <v>2.282589536890069E-7</v>
      </c>
      <c r="AJ59" s="73">
        <f t="shared" si="62"/>
        <v>4.9497560469827149E-8</v>
      </c>
      <c r="AK59" s="73">
        <f t="shared" si="62"/>
        <v>1.4543597747281528E-7</v>
      </c>
      <c r="AL59" s="73">
        <f t="shared" si="62"/>
        <v>2.0660713639517592E-7</v>
      </c>
      <c r="AM59" s="73">
        <f t="shared" si="62"/>
        <v>1.4610459417892367E-7</v>
      </c>
      <c r="AN59" s="56">
        <f t="shared" si="75"/>
        <v>4.6876144437120049</v>
      </c>
      <c r="AO59" s="56">
        <f t="shared" si="75"/>
        <v>2208202.7663496095</v>
      </c>
      <c r="AP59" s="56">
        <f t="shared" si="63"/>
        <v>4.6876044927768543</v>
      </c>
      <c r="AQ59" s="64">
        <f>IFERROR(s_RadSpec!$G$7*AQ7,".")*$B$59</f>
        <v>1.1851443984375E-2</v>
      </c>
      <c r="AR59" s="64">
        <f>IFERROR(s_RadSpec!$J$7*AR7,".")*$B$59</f>
        <v>2.5158468618277396E-8</v>
      </c>
      <c r="AS59" s="73">
        <f t="shared" si="64"/>
        <v>1.1781492237892155E-2</v>
      </c>
      <c r="AT59" s="73">
        <f t="shared" si="64"/>
        <v>2.5158468618277396E-8</v>
      </c>
      <c r="AU59" s="73">
        <f t="shared" si="65"/>
        <v>1.1781517099956118E-2</v>
      </c>
    </row>
    <row r="60" spans="1:47" x14ac:dyDescent="0.25">
      <c r="A60" s="55" t="s">
        <v>316</v>
      </c>
      <c r="B60" s="59">
        <v>1.9000000000000001E-8</v>
      </c>
      <c r="C60" s="56">
        <f>IFERROR(C12/$B60,0)</f>
        <v>0</v>
      </c>
      <c r="D60" s="56">
        <f>IFERROR(D12/$B60,0)</f>
        <v>0</v>
      </c>
      <c r="E60" s="56">
        <f>IFERROR(E12/$B60,0)</f>
        <v>56914382023.586525</v>
      </c>
      <c r="F60" s="56">
        <f t="shared" si="28"/>
        <v>56914382023.586525</v>
      </c>
      <c r="G60" s="64">
        <f>IFERROR(s_RadSpec!$I$12*G12,".")*$B$60</f>
        <v>0</v>
      </c>
      <c r="H60" s="64">
        <f>IFERROR(s_RadSpec!$G$12*H12,".")*$B$60</f>
        <v>0</v>
      </c>
      <c r="I60" s="64">
        <f>IFERROR(s_RadSpec!$F$12*I12,".")*$B$60</f>
        <v>9.7611531610721591E-13</v>
      </c>
      <c r="J60" s="73">
        <f t="shared" si="56"/>
        <v>0</v>
      </c>
      <c r="K60" s="73">
        <f t="shared" si="56"/>
        <v>0</v>
      </c>
      <c r="L60" s="73">
        <f t="shared" si="56"/>
        <v>9.7611531610721591E-13</v>
      </c>
      <c r="M60" s="73">
        <f t="shared" si="57"/>
        <v>9.7611531610721591E-13</v>
      </c>
      <c r="N60" s="56">
        <f>IFERROR(N12/$B60,0)</f>
        <v>0</v>
      </c>
      <c r="O60" s="56">
        <f>IFERROR(O12/$B60,0)</f>
        <v>0</v>
      </c>
      <c r="P60" s="56">
        <f>IFERROR(P12/$B60,0)</f>
        <v>56914382023.586525</v>
      </c>
      <c r="Q60" s="56">
        <f t="shared" si="58"/>
        <v>56914382023.586525</v>
      </c>
      <c r="R60" s="64">
        <f>IFERROR(s_RadSpec!$I$12*R12,".")*$B$60</f>
        <v>0</v>
      </c>
      <c r="S60" s="64">
        <f>IFERROR(s_RadSpec!$G$12*S12,".")*$B$60</f>
        <v>0</v>
      </c>
      <c r="T60" s="64">
        <f>IFERROR(s_RadSpec!$F$12*T12,".")*$B$60</f>
        <v>9.7611531610721591E-13</v>
      </c>
      <c r="U60" s="73">
        <f t="shared" si="59"/>
        <v>0</v>
      </c>
      <c r="V60" s="73">
        <f t="shared" si="59"/>
        <v>0</v>
      </c>
      <c r="W60" s="73">
        <f t="shared" si="59"/>
        <v>9.7611531610721591E-13</v>
      </c>
      <c r="X60" s="73">
        <f t="shared" si="60"/>
        <v>9.7611531610721591E-13</v>
      </c>
      <c r="Y60" s="56">
        <f t="shared" ref="Y60:AO60" si="76">IFERROR(Y12/$B60,0)</f>
        <v>56914382023.586525</v>
      </c>
      <c r="Z60" s="56">
        <f t="shared" si="76"/>
        <v>449327523208.37469</v>
      </c>
      <c r="AA60" s="56">
        <f t="shared" si="76"/>
        <v>116811876089.47636</v>
      </c>
      <c r="AB60" s="56">
        <f t="shared" si="76"/>
        <v>69947010960.56958</v>
      </c>
      <c r="AC60" s="56">
        <f t="shared" si="76"/>
        <v>762521152413.09375</v>
      </c>
      <c r="AD60" s="64">
        <f>IFERROR(s_RadSpec!$F$12*AD12,".")*$B$60</f>
        <v>9.7611531610721591E-13</v>
      </c>
      <c r="AE60" s="64">
        <f>IFERROR(s_RadSpec!$M$12*AE12,".")*$B$60</f>
        <v>1.2364032277238552E-13</v>
      </c>
      <c r="AF60" s="64">
        <f>IFERROR(s_RadSpec!$N$12*AF12,".")*$B$60</f>
        <v>4.7559376546136096E-13</v>
      </c>
      <c r="AG60" s="64">
        <f>IFERROR(s_RadSpec!$O$12*AG12,".")*$B$60</f>
        <v>7.9424408901929147E-13</v>
      </c>
      <c r="AH60" s="64">
        <f>IFERROR(s_RadSpec!$K$12*AH12,".")*$B$60</f>
        <v>7.2856995277034908E-14</v>
      </c>
      <c r="AI60" s="73">
        <f t="shared" si="62"/>
        <v>9.7611531610721591E-13</v>
      </c>
      <c r="AJ60" s="73">
        <f t="shared" si="62"/>
        <v>1.2364032277238552E-13</v>
      </c>
      <c r="AK60" s="73">
        <f t="shared" si="62"/>
        <v>4.7559376546136096E-13</v>
      </c>
      <c r="AL60" s="73">
        <f t="shared" si="62"/>
        <v>7.9424408901929147E-13</v>
      </c>
      <c r="AM60" s="73">
        <f t="shared" si="62"/>
        <v>7.2856995277034908E-14</v>
      </c>
      <c r="AN60" s="56">
        <f t="shared" si="76"/>
        <v>0</v>
      </c>
      <c r="AO60" s="56">
        <f t="shared" si="76"/>
        <v>1238781242298.9143</v>
      </c>
      <c r="AP60" s="56">
        <f t="shared" si="63"/>
        <v>1238781242298.9143</v>
      </c>
      <c r="AQ60" s="64">
        <f>IFERROR(s_RadSpec!$G$12*AQ12,".")*$B$60</f>
        <v>0</v>
      </c>
      <c r="AR60" s="64">
        <f>IFERROR(s_RadSpec!$J$12*AR12,".")*$B$60</f>
        <v>4.4846497592183214E-14</v>
      </c>
      <c r="AS60" s="73">
        <f t="shared" si="64"/>
        <v>0</v>
      </c>
      <c r="AT60" s="73">
        <f t="shared" si="64"/>
        <v>4.4846497592183214E-14</v>
      </c>
      <c r="AU60" s="73">
        <f t="shared" si="65"/>
        <v>4.4846497592183214E-14</v>
      </c>
    </row>
    <row r="61" spans="1:47" x14ac:dyDescent="0.25">
      <c r="A61" s="55" t="s">
        <v>317</v>
      </c>
      <c r="B61" s="50">
        <v>1</v>
      </c>
      <c r="C61" s="56">
        <f>IFERROR(C18/$B61,0)</f>
        <v>168.8661482475915</v>
      </c>
      <c r="D61" s="56">
        <f>IFERROR(D18/$B61,0)</f>
        <v>74.789032458606968</v>
      </c>
      <c r="E61" s="56">
        <f>IFERROR(E18/$B61,0)</f>
        <v>5828048.538898522</v>
      </c>
      <c r="F61" s="56">
        <f t="shared" si="28"/>
        <v>51.832361969566911</v>
      </c>
      <c r="G61" s="64">
        <f>IFERROR(s_RadSpec!$I$18*G18,".")*$B$61</f>
        <v>3.2898837675000001E-4</v>
      </c>
      <c r="H61" s="64">
        <f>IFERROR(s_RadSpec!$G$18*H18,".")*$B$61</f>
        <v>7.4282282005383199E-4</v>
      </c>
      <c r="I61" s="64">
        <f>IFERROR(s_RadSpec!$F$18*I18,".")*$B$61</f>
        <v>9.5323502591314508E-9</v>
      </c>
      <c r="J61" s="73">
        <f t="shared" si="56"/>
        <v>3.2898837675000001E-4</v>
      </c>
      <c r="K61" s="73">
        <f t="shared" si="56"/>
        <v>7.4282282005383199E-4</v>
      </c>
      <c r="L61" s="73">
        <f t="shared" si="56"/>
        <v>9.5323502591314508E-9</v>
      </c>
      <c r="M61" s="73">
        <f t="shared" si="57"/>
        <v>1.0718207291540913E-3</v>
      </c>
      <c r="N61" s="56">
        <f>IFERROR(N18/$B61,0)</f>
        <v>168.8661482475915</v>
      </c>
      <c r="O61" s="56">
        <f>IFERROR(O18/$B61,0)</f>
        <v>470.37789698749623</v>
      </c>
      <c r="P61" s="56">
        <f>IFERROR(P18/$B61,0)</f>
        <v>5828048.538898522</v>
      </c>
      <c r="Q61" s="56">
        <f t="shared" si="58"/>
        <v>124.25490827459231</v>
      </c>
      <c r="R61" s="64">
        <f>IFERROR(s_RadSpec!$I$18*R18,".")*$B$61</f>
        <v>3.2898837675000001E-4</v>
      </c>
      <c r="S61" s="64">
        <f>IFERROR(s_RadSpec!$G$18*S18,".")*$B$61</f>
        <v>1.1810716522991044E-4</v>
      </c>
      <c r="T61" s="64">
        <f>IFERROR(s_RadSpec!$F$18*T18,".")*$B$61</f>
        <v>9.5323502591314508E-9</v>
      </c>
      <c r="U61" s="73">
        <f t="shared" si="59"/>
        <v>3.2898837675000001E-4</v>
      </c>
      <c r="V61" s="73">
        <f t="shared" si="59"/>
        <v>1.1810716522991044E-4</v>
      </c>
      <c r="W61" s="73">
        <f t="shared" si="59"/>
        <v>9.5323502591314508E-9</v>
      </c>
      <c r="X61" s="73">
        <f t="shared" si="60"/>
        <v>4.4710507433016957E-4</v>
      </c>
      <c r="Y61" s="56">
        <f t="shared" ref="Y61:AO61" si="77">IFERROR(Y18/$B61,0)</f>
        <v>5828048.538898522</v>
      </c>
      <c r="Z61" s="56">
        <f t="shared" si="77"/>
        <v>58081397.668057106</v>
      </c>
      <c r="AA61" s="56">
        <f t="shared" si="77"/>
        <v>14325673.355007019</v>
      </c>
      <c r="AB61" s="56">
        <f t="shared" si="77"/>
        <v>7618618.3241430791</v>
      </c>
      <c r="AC61" s="56">
        <f t="shared" si="77"/>
        <v>101563647.11104116</v>
      </c>
      <c r="AD61" s="64">
        <f>IFERROR(s_RadSpec!$F$18*AD18,".")*$B$61</f>
        <v>9.5323502591314508E-9</v>
      </c>
      <c r="AE61" s="64">
        <f>IFERROR(s_RadSpec!$M$18*AE18,".")*$B$61</f>
        <v>9.5650246430886855E-10</v>
      </c>
      <c r="AF61" s="64">
        <f>IFERROR(s_RadSpec!$N$18*AF18,".")*$B$61</f>
        <v>3.8780027034877732E-9</v>
      </c>
      <c r="AG61" s="64">
        <f>IFERROR(s_RadSpec!$O$18*AG18,".")*$B$61</f>
        <v>7.2920046176809433E-9</v>
      </c>
      <c r="AH61" s="64">
        <f>IFERROR(s_RadSpec!$K$18*AH18,".")*$B$61</f>
        <v>5.4699689879451487E-10</v>
      </c>
      <c r="AI61" s="73">
        <f t="shared" si="62"/>
        <v>9.5323502591314508E-9</v>
      </c>
      <c r="AJ61" s="73">
        <f t="shared" si="62"/>
        <v>9.5650246430886855E-10</v>
      </c>
      <c r="AK61" s="73">
        <f t="shared" si="62"/>
        <v>3.8780027034877732E-9</v>
      </c>
      <c r="AL61" s="73">
        <f t="shared" si="62"/>
        <v>7.2920046176809433E-9</v>
      </c>
      <c r="AM61" s="73">
        <f t="shared" si="62"/>
        <v>5.4699689879451487E-10</v>
      </c>
      <c r="AN61" s="56">
        <f t="shared" si="77"/>
        <v>0.14708586137157567</v>
      </c>
      <c r="AO61" s="56">
        <f t="shared" si="77"/>
        <v>279417836.07719922</v>
      </c>
      <c r="AP61" s="56">
        <f t="shared" si="63"/>
        <v>0.14708586129414952</v>
      </c>
      <c r="AQ61" s="64">
        <f>IFERROR(s_RadSpec!$G$18*AQ18,".")*$B$61</f>
        <v>0.37770455624999999</v>
      </c>
      <c r="AR61" s="64">
        <f>IFERROR(s_RadSpec!$J$18*AR18,".")*$B$61</f>
        <v>1.9882410078020545E-10</v>
      </c>
      <c r="AS61" s="73">
        <f t="shared" si="64"/>
        <v>0.31456702235659262</v>
      </c>
      <c r="AT61" s="73">
        <f t="shared" si="64"/>
        <v>1.9882410078020545E-10</v>
      </c>
      <c r="AU61" s="73">
        <f t="shared" si="65"/>
        <v>0.31456702249287327</v>
      </c>
    </row>
    <row r="62" spans="1:47" x14ac:dyDescent="0.25">
      <c r="A62" s="55" t="s">
        <v>318</v>
      </c>
      <c r="B62" s="50">
        <v>1.339E-6</v>
      </c>
      <c r="C62" s="56">
        <f>IFERROR(C27/$B62,0)</f>
        <v>0</v>
      </c>
      <c r="D62" s="56">
        <f>IFERROR(D27/$B62,0)</f>
        <v>0</v>
      </c>
      <c r="E62" s="56">
        <f>IFERROR(E27/$B62,0)</f>
        <v>52719161473.460098</v>
      </c>
      <c r="F62" s="56">
        <f t="shared" ref="F62" si="78">IFERROR(SUM(C62:E62),0)</f>
        <v>52719161473.460098</v>
      </c>
      <c r="G62" s="64">
        <f>IFERROR(s_RadSpec!$I$27*G27,".")*$B$62</f>
        <v>0</v>
      </c>
      <c r="H62" s="64">
        <f>IFERROR(s_RadSpec!$G$27*H27,".")*$B$62</f>
        <v>0</v>
      </c>
      <c r="I62" s="64">
        <f>IFERROR(s_RadSpec!$F$27*I27,".")*$B$62</f>
        <v>1.0537914194247477E-12</v>
      </c>
      <c r="J62" s="73">
        <f t="shared" si="56"/>
        <v>0</v>
      </c>
      <c r="K62" s="73">
        <f t="shared" si="56"/>
        <v>0</v>
      </c>
      <c r="L62" s="73">
        <f t="shared" si="56"/>
        <v>1.0537914194247477E-12</v>
      </c>
      <c r="M62" s="73">
        <f t="shared" si="57"/>
        <v>1.0537914194247477E-12</v>
      </c>
      <c r="N62" s="56">
        <f>IFERROR(N27/$B62,0)</f>
        <v>0</v>
      </c>
      <c r="O62" s="56">
        <f>IFERROR(O27/$B62,0)</f>
        <v>0</v>
      </c>
      <c r="P62" s="56">
        <f>IFERROR(P27/$B62,0)</f>
        <v>52719161473.460098</v>
      </c>
      <c r="Q62" s="56">
        <f t="shared" ref="Q62" si="79">IFERROR(SUM(N62:P62),0)</f>
        <v>52719161473.460098</v>
      </c>
      <c r="R62" s="64">
        <f>IFERROR(s_RadSpec!$I$27*R27,".")*$B$62</f>
        <v>0</v>
      </c>
      <c r="S62" s="64">
        <f>IFERROR(s_RadSpec!$G$27*S27,".")*$B$62</f>
        <v>0</v>
      </c>
      <c r="T62" s="64">
        <f>IFERROR(s_RadSpec!$F$27*T27,".")*$B$62</f>
        <v>1.0537914194247477E-12</v>
      </c>
      <c r="U62" s="73">
        <f t="shared" si="59"/>
        <v>0</v>
      </c>
      <c r="V62" s="73">
        <f t="shared" si="59"/>
        <v>0</v>
      </c>
      <c r="W62" s="73">
        <f t="shared" si="59"/>
        <v>1.0537914194247477E-12</v>
      </c>
      <c r="X62" s="73">
        <f t="shared" si="60"/>
        <v>1.0537914194247477E-12</v>
      </c>
      <c r="Y62" s="56">
        <f t="shared" ref="Y62:AO62" si="80">IFERROR(Y27/$B62,0)</f>
        <v>52719161473.460098</v>
      </c>
      <c r="Z62" s="56">
        <f t="shared" si="80"/>
        <v>460493333313.25012</v>
      </c>
      <c r="AA62" s="56">
        <f t="shared" si="80"/>
        <v>132784709851.72945</v>
      </c>
      <c r="AB62" s="56">
        <f t="shared" si="80"/>
        <v>72658473953.024612</v>
      </c>
      <c r="AC62" s="56">
        <f t="shared" si="80"/>
        <v>348525496821.82135</v>
      </c>
      <c r="AD62" s="64">
        <f>IFERROR(s_RadSpec!$F$27*AD27,".")*$B$62</f>
        <v>1.0537914194247477E-12</v>
      </c>
      <c r="AE62" s="64">
        <f>IFERROR(s_RadSpec!$M$27*AE27,".")*$B$62</f>
        <v>1.2064235458151304E-13</v>
      </c>
      <c r="AF62" s="64">
        <f>IFERROR(s_RadSpec!$N$27*AF27,".")*$B$62</f>
        <v>4.1838401471098605E-13</v>
      </c>
      <c r="AG62" s="64">
        <f>IFERROR(s_RadSpec!$O$27*AG27,".")*$B$62</f>
        <v>7.6460455302044455E-13</v>
      </c>
      <c r="AH62" s="64">
        <f>IFERROR(s_RadSpec!$K$27*AH27,".")*$B$62</f>
        <v>1.5940010273739512E-13</v>
      </c>
      <c r="AI62" s="73">
        <f t="shared" si="62"/>
        <v>1.0537914194247477E-12</v>
      </c>
      <c r="AJ62" s="73">
        <f t="shared" si="62"/>
        <v>1.2064235458151304E-13</v>
      </c>
      <c r="AK62" s="73">
        <f t="shared" si="62"/>
        <v>4.1838401471098605E-13</v>
      </c>
      <c r="AL62" s="73">
        <f t="shared" si="62"/>
        <v>7.6460455302044455E-13</v>
      </c>
      <c r="AM62" s="73">
        <f t="shared" si="62"/>
        <v>1.5940010273739512E-13</v>
      </c>
      <c r="AN62" s="56">
        <f t="shared" si="80"/>
        <v>0</v>
      </c>
      <c r="AO62" s="56">
        <f t="shared" si="80"/>
        <v>928027176261.48499</v>
      </c>
      <c r="AP62" s="56">
        <f t="shared" si="63"/>
        <v>928027176261.48499</v>
      </c>
      <c r="AQ62" s="64">
        <f>IFERROR(s_RadSpec!$G$27*AQ27,".")*$B$62</f>
        <v>0</v>
      </c>
      <c r="AR62" s="64">
        <f>IFERROR(s_RadSpec!$J$27*AR27,".")*$B$62</f>
        <v>5.9863548634212173E-14</v>
      </c>
      <c r="AS62" s="73">
        <f t="shared" si="64"/>
        <v>0</v>
      </c>
      <c r="AT62" s="73">
        <f t="shared" si="64"/>
        <v>5.9863548634212173E-14</v>
      </c>
      <c r="AU62" s="73">
        <f t="shared" si="65"/>
        <v>5.9863548634212173E-14</v>
      </c>
    </row>
    <row r="63" spans="1:47" x14ac:dyDescent="0.25">
      <c r="A63" s="52" t="s">
        <v>35</v>
      </c>
      <c r="B63" s="52" t="s">
        <v>289</v>
      </c>
      <c r="C63" s="53">
        <f>1/SUM(1/C66,1/C68,1/C72,1/C73,1/C75)</f>
        <v>118.88758736133313</v>
      </c>
      <c r="D63" s="53">
        <f>1/SUM(1/D64,1/D65,1/D66,1/D68,1/D72,1/D73,1/D75)</f>
        <v>35.005433470766171</v>
      </c>
      <c r="E63" s="53">
        <f>1/SUM(1/E64,1/E66,1/E68,1/E69,1/E70,1/E71,1/E72,1/E73,1/E74,1/E75,1/E76)</f>
        <v>24.711822181664434</v>
      </c>
      <c r="F63" s="54">
        <f>1/SUM(1/F64,1/F65,1/F66,1/F68,1/F69,1/F70,1/F71,1/F72,1/F73,1/F74,1/F75,1/F76)</f>
        <v>12.912429074093485</v>
      </c>
      <c r="G63" s="71"/>
      <c r="H63" s="71"/>
      <c r="I63" s="71"/>
      <c r="J63" s="72">
        <f>IFERROR(IF(SUM(G64:G76)&gt;0.01,1-EXP(-SUM(G64:G76)),SUM(G64:G76)),".")</f>
        <v>4.6729016235439759E-4</v>
      </c>
      <c r="K63" s="72">
        <f>IFERROR(IF(SUM(H64:H76)&gt;0.01,1-EXP(-SUM(H64:H76)),SUM(H64:H76)),".")</f>
        <v>1.5870393390898939E-3</v>
      </c>
      <c r="L63" s="72">
        <f>IFERROR(IF(SUM(I64:I76)&gt;0.01,1-EXP(-SUM(I64:I76)),SUM(I64:I76)),".")</f>
        <v>2.2481142665885818E-3</v>
      </c>
      <c r="M63" s="72">
        <f>IFERROR(IF(SUM(G64:I76)&gt;0.01,1-EXP(-SUM(G64:I76)),SUM(G64:I76)),".")</f>
        <v>4.3024437680328738E-3</v>
      </c>
      <c r="N63" s="53">
        <f>1/SUM(1/N66,1/N68,1/N72,1/N73,1/N75)</f>
        <v>118.88758736133313</v>
      </c>
      <c r="O63" s="53">
        <f>1/SUM(1/O64,1/O65,1/O66,1/O68,1/O72,1/O73,1/O75)</f>
        <v>220.16305917886987</v>
      </c>
      <c r="P63" s="53">
        <f>1/SUM(1/P64,1/P66,1/P68,1/P69,1/P70,1/P71,1/P72,1/P73,1/P74,1/P75,1/P76)</f>
        <v>24.711822181664434</v>
      </c>
      <c r="Q63" s="54">
        <f>1/SUM(1/Q64,1/Q65,1/Q66,1/Q68,1/Q69,1/Q70,1/Q71,1/Q72,1/Q73,1/Q74,1/Q75,1/Q76)</f>
        <v>18.719630950369446</v>
      </c>
      <c r="R63" s="71"/>
      <c r="S63" s="71"/>
      <c r="T63" s="71"/>
      <c r="U63" s="72">
        <f>IFERROR(IF(SUM(R64:R76)&gt;0.01,1-EXP(-SUM(R64:R76)),SUM(R64:R76)),".")</f>
        <v>4.6729016235439759E-4</v>
      </c>
      <c r="V63" s="72">
        <f>IFERROR(IF(SUM(S64:S76)&gt;0.01,1-EXP(-SUM(S64:S76)),SUM(S64:S76)),".")</f>
        <v>2.5233570158045797E-4</v>
      </c>
      <c r="W63" s="72">
        <f>IFERROR(IF(SUM(T64:T76)&gt;0.01,1-EXP(-SUM(T64:T76)),SUM(T64:T76)),".")</f>
        <v>2.2481142665885818E-3</v>
      </c>
      <c r="X63" s="72">
        <f>IFERROR(IF(SUM(R64:T76)&gt;0.01,1-EXP(-SUM(R64:T76)),SUM(R64:T76)),".")</f>
        <v>2.9677401305234384E-3</v>
      </c>
      <c r="Y63" s="53">
        <f t="shared" ref="Y63:AC63" si="81">1/SUM(1/Y64,1/Y66,1/Y68,1/Y69,1/Y70,1/Y71,1/Y72,1/Y73,1/Y74,1/Y75,1/Y76)</f>
        <v>24.711822181664434</v>
      </c>
      <c r="Z63" s="53">
        <f t="shared" si="81"/>
        <v>273.98037491224608</v>
      </c>
      <c r="AA63" s="53">
        <f t="shared" si="81"/>
        <v>67.539208897818028</v>
      </c>
      <c r="AB63" s="53">
        <f t="shared" si="81"/>
        <v>34.877091224571629</v>
      </c>
      <c r="AC63" s="53">
        <f t="shared" si="81"/>
        <v>502.64819413351222</v>
      </c>
      <c r="AD63" s="71"/>
      <c r="AE63" s="71"/>
      <c r="AF63" s="71"/>
      <c r="AG63" s="71"/>
      <c r="AH63" s="71"/>
      <c r="AI63" s="72">
        <f>IFERROR(IF(SUM(AD64:AD76)&gt;0.01,1-EXP(-SUM(AD64:AD76)),SUM(AD64:AD76)),".")</f>
        <v>2.2481142665885818E-3</v>
      </c>
      <c r="AJ63" s="72">
        <f t="shared" ref="AJ63:AM63" si="82">IFERROR(IF(SUM(AE64:AE76)&gt;0.01,1-EXP(-SUM(AE64:AE76)),SUM(AE64:AE76)),".")</f>
        <v>2.0276999773357436E-4</v>
      </c>
      <c r="AK63" s="72">
        <f t="shared" si="82"/>
        <v>8.2255923494826109E-4</v>
      </c>
      <c r="AL63" s="72">
        <f t="shared" si="82"/>
        <v>1.5928793958843782E-3</v>
      </c>
      <c r="AM63" s="72">
        <f t="shared" si="82"/>
        <v>1.1052461870626675E-4</v>
      </c>
      <c r="AN63" s="53">
        <f>1/SUM(1/AN64,1/AN65,1/AN66,1/AN68,1/AN72,1/AN73,1/AN75)</f>
        <v>6.8844376848740577E-2</v>
      </c>
      <c r="AO63" s="53">
        <f t="shared" ref="AO63:AP63" si="83">1/SUM(1/AO64,1/AO65,1/AO66,1/AO67,1/AO68,1/AO69,1/AO70,1/AO71,1/AO72,1/AO73,1/AO74,1/AO75,1/AO76)</f>
        <v>1512.26596521429</v>
      </c>
      <c r="AP63" s="54">
        <f t="shared" si="83"/>
        <v>6.8841242920860565E-2</v>
      </c>
      <c r="AQ63" s="71"/>
      <c r="AR63" s="71"/>
      <c r="AS63" s="72">
        <f>IFERROR(IF(SUM(AQ64:AQ76)&gt;0.01,1-EXP(-SUM(AQ64:AQ76)),SUM(AQ64:AQ76)),".")</f>
        <v>0.55378972201114451</v>
      </c>
      <c r="AT63" s="72">
        <f>IFERROR(IF(SUM(AR64:AR76)&gt;0.01,1-EXP(-SUM(AR64:AR76)),SUM(AR64:AR76)),".")</f>
        <v>3.6736262851837567E-5</v>
      </c>
      <c r="AU63" s="72">
        <f>IFERROR(IF(SUM(AQ64:AR76)&gt;0.01,1-EXP(-SUM(AQ64:AR76)),SUM(AQ64:AR76)),".")</f>
        <v>0.55380611380811529</v>
      </c>
    </row>
    <row r="64" spans="1:47" x14ac:dyDescent="0.25">
      <c r="A64" s="55" t="s">
        <v>306</v>
      </c>
      <c r="B64" s="60">
        <v>1</v>
      </c>
      <c r="C64" s="56">
        <f>IFERROR(C25/$B50,0)</f>
        <v>0</v>
      </c>
      <c r="D64" s="56">
        <f>IFERROR(D25/$B50,0)</f>
        <v>475763.21349983994</v>
      </c>
      <c r="E64" s="56">
        <f>IFERROR(E25/$B50,0)</f>
        <v>221645.94447447688</v>
      </c>
      <c r="F64" s="56">
        <f t="shared" ref="F64:F76" si="84">IF(AND(C64&lt;&gt;0,D64&lt;&gt;0,E64&lt;&gt;0),1/((1/C64)+(1/D64)+(1/E64)),IF(AND(C64&lt;&gt;0,D64&lt;&gt;0,E64=0), 1/((1/C64)+(1/D64)),IF(AND(C64&lt;&gt;0,D64=0,E64&lt;&gt;0),1/((1/C64)+(1/E64)),IF(AND(C64=0,D64&lt;&gt;0,E64&lt;&gt;0),1/((1/D64)+(1/E64)),IF(AND(C64&lt;&gt;0,D64=0,E64=0),1/((1/C64)),IF(AND(C64=0,D64&lt;&gt;0,E64=0),1/((1/D64)),IF(AND(C64=0,D64=0,E64&lt;&gt;0),1/((1/E64)),IF(AND(C64=0,D64=0,E64=0),0))))))))</f>
        <v>151203.90318457448</v>
      </c>
      <c r="G64" s="64">
        <f>IFERROR(s_RadSpec!$I$25*G25,".")*$B$64</f>
        <v>0</v>
      </c>
      <c r="H64" s="64">
        <f>IFERROR(s_RadSpec!$G$25*H25,".")*$B$64</f>
        <v>1.1677027231954887E-7</v>
      </c>
      <c r="I64" s="64">
        <f>IFERROR(s_RadSpec!$F$25*I25,".")*$B$64</f>
        <v>2.5064749157364935E-7</v>
      </c>
      <c r="J64" s="73">
        <f t="shared" ref="J64:L76" si="85">IFERROR(IF(G64&gt;0.01,1-EXP(-G64),G64),".")</f>
        <v>0</v>
      </c>
      <c r="K64" s="73">
        <f t="shared" si="85"/>
        <v>1.1677027231954887E-7</v>
      </c>
      <c r="L64" s="73">
        <f t="shared" si="85"/>
        <v>2.5064749157364935E-7</v>
      </c>
      <c r="M64" s="73">
        <f t="shared" ref="M64:M76" si="86">IFERROR(IF(SUM(G64:I64)&gt;0.01,1-EXP(-SUM(G64:I64)),SUM(G64:I64)),".")</f>
        <v>3.6741776389319823E-7</v>
      </c>
      <c r="N64" s="56">
        <f>IFERROR(N25/$B50,0)</f>
        <v>0</v>
      </c>
      <c r="O64" s="56">
        <f>IFERROR(O25/$B50,0)</f>
        <v>2992263.604345019</v>
      </c>
      <c r="P64" s="56">
        <f>IFERROR(P25/$B50,0)</f>
        <v>221645.94447447688</v>
      </c>
      <c r="Q64" s="56">
        <f t="shared" ref="Q64:Q76" si="87">IF(AND(N64&lt;&gt;0,O64&lt;&gt;0,P64&lt;&gt;0),1/((1/N64)+(1/O64)+(1/P64)),IF(AND(N64&lt;&gt;0,O64&lt;&gt;0,P64=0), 1/((1/N64)+(1/O64)),IF(AND(N64&lt;&gt;0,O64=0,P64&lt;&gt;0),1/((1/N64)+(1/P64)),IF(AND(N64=0,O64&lt;&gt;0,P64&lt;&gt;0),1/((1/O64)+(1/P64)),IF(AND(N64&lt;&gt;0,O64=0,P64=0),1/((1/N64)),IF(AND(N64=0,O64&lt;&gt;0,P64=0),1/((1/O64)),IF(AND(N64=0,O64=0,P64&lt;&gt;0),1/((1/P64)),IF(AND(N64=0,O64=0,P64=0),0))))))))</f>
        <v>206360.22346841192</v>
      </c>
      <c r="R64" s="64">
        <f>IFERROR(s_RadSpec!$I$25*R25,".")*$B$64</f>
        <v>0</v>
      </c>
      <c r="S64" s="64">
        <f>IFERROR(s_RadSpec!$G$25*S25,".")*$B$64</f>
        <v>1.8566211853571138E-8</v>
      </c>
      <c r="T64" s="64">
        <f>IFERROR(s_RadSpec!$F$25*T25,".")*$B$64</f>
        <v>2.5064749157364935E-7</v>
      </c>
      <c r="U64" s="73">
        <f t="shared" ref="U64:W76" si="88">IFERROR(IF(R64&gt;0.01,1-EXP(-R64),R64),".")</f>
        <v>0</v>
      </c>
      <c r="V64" s="73">
        <f t="shared" si="88"/>
        <v>1.8566211853571138E-8</v>
      </c>
      <c r="W64" s="73">
        <f t="shared" si="88"/>
        <v>2.5064749157364935E-7</v>
      </c>
      <c r="X64" s="73">
        <f t="shared" ref="X64:X76" si="89">IFERROR(IF(SUM(R64:T64)&gt;0.01,1-EXP(-SUM(R64:T64)),SUM(R64:T64)),".")</f>
        <v>2.6921370342722049E-7</v>
      </c>
      <c r="Y64" s="56">
        <f t="shared" ref="Y64:AO64" si="90">IFERROR(Y25/$B50,0)</f>
        <v>221645.94447447688</v>
      </c>
      <c r="Z64" s="56">
        <f t="shared" si="90"/>
        <v>1883300.8629935577</v>
      </c>
      <c r="AA64" s="56">
        <f t="shared" si="90"/>
        <v>478705.50384824676</v>
      </c>
      <c r="AB64" s="56">
        <f t="shared" si="90"/>
        <v>279281.68368054886</v>
      </c>
      <c r="AC64" s="56">
        <f t="shared" si="90"/>
        <v>3439580.5937368032</v>
      </c>
      <c r="AD64" s="64">
        <f>IFERROR(s_RadSpec!$F$25*AD25,".")*$B$64</f>
        <v>2.5064749157364935E-7</v>
      </c>
      <c r="AE64" s="64">
        <f>IFERROR(s_RadSpec!$M$25*AE25,".")*$B$64</f>
        <v>2.9498738672956279E-8</v>
      </c>
      <c r="AF64" s="64">
        <f>IFERROR(s_RadSpec!$N$25*AF25,".")*$B$64</f>
        <v>1.1605256165513263E-7</v>
      </c>
      <c r="AG64" s="64">
        <f>IFERROR(s_RadSpec!$O$25*AG25,".")*$B$64</f>
        <v>1.9892102936311983E-7</v>
      </c>
      <c r="AH64" s="64">
        <f>IFERROR(s_RadSpec!$K$25*AH25,".")*$B$64</f>
        <v>1.6151678521841042E-8</v>
      </c>
      <c r="AI64" s="73">
        <f t="shared" ref="AI64:AM76" si="91">IFERROR(IF(AD64&gt;0.01,1-EXP(-AD64),AD64),".")</f>
        <v>2.5064749157364935E-7</v>
      </c>
      <c r="AJ64" s="73">
        <f t="shared" si="91"/>
        <v>2.9498738672956279E-8</v>
      </c>
      <c r="AK64" s="73">
        <f t="shared" si="91"/>
        <v>1.1605256165513263E-7</v>
      </c>
      <c r="AL64" s="73">
        <f t="shared" si="91"/>
        <v>1.9892102936311983E-7</v>
      </c>
      <c r="AM64" s="73">
        <f t="shared" si="91"/>
        <v>1.6151678521841042E-8</v>
      </c>
      <c r="AN64" s="56">
        <f t="shared" si="90"/>
        <v>935.67251461988292</v>
      </c>
      <c r="AO64" s="56">
        <f t="shared" si="90"/>
        <v>7196516.9291825416</v>
      </c>
      <c r="AP64" s="56">
        <f t="shared" ref="AP64:AP76" si="92">IFERROR(IF(AND(AN64&lt;&gt;0,AO64&lt;&gt;0),1/((1/AN64)+(1/AO64)),IF(AND(AN64&lt;&gt;0,AO64=0),1/((1/AN64)),IF(AND(AN64=0,AO64&lt;&gt;0),1/((1/AO64)),IF(AND(AN64=0,AO64=0),0)))),0)</f>
        <v>935.5508767150485</v>
      </c>
      <c r="AQ64" s="64">
        <f>IFERROR(s_RadSpec!$G$25*AQ25,".")*$B$64</f>
        <v>5.9374406250000001E-5</v>
      </c>
      <c r="AR64" s="64">
        <f>IFERROR(s_RadSpec!$J$25*AR25,".")*$B$64</f>
        <v>7.7197067062705466E-9</v>
      </c>
      <c r="AS64" s="73">
        <f t="shared" ref="AS64:AT76" si="93">IFERROR(IF(AQ64&gt;0.01,1-EXP(-AQ64),AQ64),".")</f>
        <v>5.9374406250000001E-5</v>
      </c>
      <c r="AT64" s="73">
        <f t="shared" si="93"/>
        <v>7.7197067062705466E-9</v>
      </c>
      <c r="AU64" s="73">
        <f t="shared" ref="AU64:AU76" si="94">IFERROR(IF(SUM(AQ64:AR64)&gt;0.01,1-EXP(-SUM(AQ64:AR64)),SUM(AQ64:AR64)),".")</f>
        <v>5.9382125956706269E-5</v>
      </c>
    </row>
    <row r="65" spans="1:47" x14ac:dyDescent="0.25">
      <c r="A65" s="55" t="s">
        <v>307</v>
      </c>
      <c r="B65" s="60">
        <v>1</v>
      </c>
      <c r="C65" s="56">
        <f>IFERROR(C21/$B51,0)</f>
        <v>0</v>
      </c>
      <c r="D65" s="56">
        <f>IFERROR(D21/$B51,0)</f>
        <v>78038.858041700369</v>
      </c>
      <c r="E65" s="56">
        <f>IFERROR(E21/$B51,0)</f>
        <v>0</v>
      </c>
      <c r="F65" s="56">
        <f t="shared" si="84"/>
        <v>78038.858041700369</v>
      </c>
      <c r="G65" s="64">
        <f>IFERROR(s_RadSpec!$I$21*G21,".")*$B$65</f>
        <v>0</v>
      </c>
      <c r="H65" s="64">
        <f>IFERROR(s_RadSpec!$G$21*H21,".")*$B$65</f>
        <v>7.1188894089549533E-7</v>
      </c>
      <c r="I65" s="64">
        <f>IFERROR(s_RadSpec!$F$21*I21,".")*$B$65</f>
        <v>0</v>
      </c>
      <c r="J65" s="73">
        <f t="shared" si="85"/>
        <v>0</v>
      </c>
      <c r="K65" s="73">
        <f t="shared" si="85"/>
        <v>7.1188894089549533E-7</v>
      </c>
      <c r="L65" s="73">
        <f t="shared" si="85"/>
        <v>0</v>
      </c>
      <c r="M65" s="73">
        <f t="shared" si="86"/>
        <v>7.1188894089549533E-7</v>
      </c>
      <c r="N65" s="56">
        <f>IFERROR(N21/$B51,0)</f>
        <v>0</v>
      </c>
      <c r="O65" s="56">
        <f>IFERROR(O21/$B51,0)</f>
        <v>490817.33941774425</v>
      </c>
      <c r="P65" s="56">
        <f>IFERROR(P21/$B51,0)</f>
        <v>0</v>
      </c>
      <c r="Q65" s="56">
        <f t="shared" si="87"/>
        <v>490817.33941774425</v>
      </c>
      <c r="R65" s="64">
        <f>IFERROR(s_RadSpec!$I$21*R21,".")*$B$65</f>
        <v>0</v>
      </c>
      <c r="S65" s="64">
        <f>IFERROR(s_RadSpec!$G$21*S21,".")*$B$65</f>
        <v>1.1318874770378896E-7</v>
      </c>
      <c r="T65" s="64">
        <f>IFERROR(s_RadSpec!$F$21*T21,".")*$B$65</f>
        <v>0</v>
      </c>
      <c r="U65" s="73">
        <f t="shared" si="88"/>
        <v>0</v>
      </c>
      <c r="V65" s="73">
        <f t="shared" si="88"/>
        <v>1.1318874770378896E-7</v>
      </c>
      <c r="W65" s="73">
        <f t="shared" si="88"/>
        <v>0</v>
      </c>
      <c r="X65" s="73">
        <f t="shared" si="89"/>
        <v>1.1318874770378896E-7</v>
      </c>
      <c r="Y65" s="56">
        <f t="shared" ref="Y65:AO65" si="95">IFERROR(Y21/$B51,0)</f>
        <v>0</v>
      </c>
      <c r="Z65" s="56">
        <f t="shared" si="95"/>
        <v>0</v>
      </c>
      <c r="AA65" s="56">
        <f t="shared" si="95"/>
        <v>0</v>
      </c>
      <c r="AB65" s="56">
        <f t="shared" si="95"/>
        <v>0</v>
      </c>
      <c r="AC65" s="56">
        <f t="shared" si="95"/>
        <v>0</v>
      </c>
      <c r="AD65" s="64">
        <f>IFERROR(s_RadSpec!$F$21*AD21,".")*$B$65</f>
        <v>0</v>
      </c>
      <c r="AE65" s="64">
        <f>IFERROR(s_RadSpec!$M$21*AE21,".")*$B$65</f>
        <v>0</v>
      </c>
      <c r="AF65" s="64">
        <f>IFERROR(s_RadSpec!$N$21*AF21,".")*$B$65</f>
        <v>0</v>
      </c>
      <c r="AG65" s="64">
        <f>IFERROR(s_RadSpec!$O$21*AG21,".")*$B$65</f>
        <v>0</v>
      </c>
      <c r="AH65" s="64">
        <f>IFERROR(s_RadSpec!$K$21*AH21,".")*$B$65</f>
        <v>0</v>
      </c>
      <c r="AI65" s="73">
        <f t="shared" si="91"/>
        <v>0</v>
      </c>
      <c r="AJ65" s="73">
        <f t="shared" si="91"/>
        <v>0</v>
      </c>
      <c r="AK65" s="73">
        <f t="shared" si="91"/>
        <v>0</v>
      </c>
      <c r="AL65" s="73">
        <f t="shared" si="91"/>
        <v>0</v>
      </c>
      <c r="AM65" s="73">
        <f t="shared" si="91"/>
        <v>0</v>
      </c>
      <c r="AN65" s="56">
        <f t="shared" si="95"/>
        <v>153.47721822541965</v>
      </c>
      <c r="AO65" s="56">
        <f t="shared" si="95"/>
        <v>295951435845.08087</v>
      </c>
      <c r="AP65" s="56">
        <f t="shared" si="92"/>
        <v>153.47721814582803</v>
      </c>
      <c r="AQ65" s="64">
        <f>IFERROR(s_RadSpec!$G$21*AQ21,".")*$B$65</f>
        <v>3.6197554687499999E-4</v>
      </c>
      <c r="AR65" s="64">
        <f>IFERROR(s_RadSpec!$J$21*AR21,".")*$B$65</f>
        <v>1.8771660911650683E-13</v>
      </c>
      <c r="AS65" s="73">
        <f t="shared" si="93"/>
        <v>3.6197554687499999E-4</v>
      </c>
      <c r="AT65" s="73">
        <f t="shared" si="93"/>
        <v>1.8771660911650683E-13</v>
      </c>
      <c r="AU65" s="73">
        <f t="shared" si="94"/>
        <v>3.6197554706271658E-4</v>
      </c>
    </row>
    <row r="66" spans="1:47" x14ac:dyDescent="0.25">
      <c r="A66" s="55" t="s">
        <v>308</v>
      </c>
      <c r="B66" s="61">
        <v>0.99980000000000002</v>
      </c>
      <c r="C66" s="56">
        <f>IFERROR(C17/$B52,0)</f>
        <v>1099549.8683640338</v>
      </c>
      <c r="D66" s="56">
        <f>IFERROR(D17/$B52,0)</f>
        <v>13963.412074688233</v>
      </c>
      <c r="E66" s="56">
        <f>IFERROR(E17/$B52,0)</f>
        <v>519.13779840096208</v>
      </c>
      <c r="F66" s="56">
        <f t="shared" si="84"/>
        <v>500.30117356678858</v>
      </c>
      <c r="G66" s="64">
        <f>IFERROR(s_RadSpec!$I$17*G17,".")*$B$66</f>
        <v>5.0525220909405001E-8</v>
      </c>
      <c r="H66" s="64">
        <f>IFERROR(s_RadSpec!$G$17*H17,".")*$B$66</f>
        <v>3.9786120829811859E-6</v>
      </c>
      <c r="I66" s="64">
        <f>IFERROR(s_RadSpec!$F$17*I17,".")*$B$66</f>
        <v>1.0701397619498983E-4</v>
      </c>
      <c r="J66" s="73">
        <f t="shared" si="85"/>
        <v>5.0525220909405001E-8</v>
      </c>
      <c r="K66" s="73">
        <f t="shared" si="85"/>
        <v>3.9786120829811859E-6</v>
      </c>
      <c r="L66" s="73">
        <f t="shared" si="85"/>
        <v>1.0701397619498983E-4</v>
      </c>
      <c r="M66" s="73">
        <f t="shared" si="86"/>
        <v>1.1104311349888042E-4</v>
      </c>
      <c r="N66" s="56">
        <f>IFERROR(N17/$B52,0)</f>
        <v>1099549.8683640338</v>
      </c>
      <c r="O66" s="56">
        <f>IFERROR(O17/$B52,0)</f>
        <v>87821.438392010998</v>
      </c>
      <c r="P66" s="56">
        <f>IFERROR(P17/$B52,0)</f>
        <v>519.13779840096208</v>
      </c>
      <c r="Q66" s="56">
        <f t="shared" si="87"/>
        <v>515.84494118150906</v>
      </c>
      <c r="R66" s="64">
        <f>IFERROR(s_RadSpec!$I$17*R17,".")*$B$66</f>
        <v>5.0525220909405001E-8</v>
      </c>
      <c r="S66" s="64">
        <f>IFERROR(s_RadSpec!$G$17*S17,".")*$B$66</f>
        <v>6.3259041319748821E-7</v>
      </c>
      <c r="T66" s="64">
        <f>IFERROR(s_RadSpec!$F$17*T17,".")*$B$66</f>
        <v>1.0701397619498983E-4</v>
      </c>
      <c r="U66" s="73">
        <f t="shared" si="88"/>
        <v>5.0525220909405001E-8</v>
      </c>
      <c r="V66" s="73">
        <f t="shared" si="88"/>
        <v>6.3259041319748821E-7</v>
      </c>
      <c r="W66" s="73">
        <f t="shared" si="88"/>
        <v>1.0701397619498983E-4</v>
      </c>
      <c r="X66" s="73">
        <f t="shared" si="89"/>
        <v>1.0769709182909673E-4</v>
      </c>
      <c r="Y66" s="56">
        <f t="shared" ref="Y66:AO66" si="96">IFERROR(Y17/$B52,0)</f>
        <v>519.13779840096208</v>
      </c>
      <c r="Z66" s="56">
        <f t="shared" si="96"/>
        <v>3988.1915965368316</v>
      </c>
      <c r="AA66" s="56">
        <f t="shared" si="96"/>
        <v>1078.8608051539102</v>
      </c>
      <c r="AB66" s="56">
        <f t="shared" si="96"/>
        <v>649.04050876762165</v>
      </c>
      <c r="AC66" s="56">
        <f t="shared" si="96"/>
        <v>7745.9440222202829</v>
      </c>
      <c r="AD66" s="64">
        <f>IFERROR(s_RadSpec!$F$17*AD17,".")*$B$66</f>
        <v>1.0701397619498983E-4</v>
      </c>
      <c r="AE66" s="64">
        <f>IFERROR(s_RadSpec!$M$17*AE17,".")*$B$66</f>
        <v>1.3929872388337981E-5</v>
      </c>
      <c r="AF66" s="64">
        <f>IFERROR(s_RadSpec!$N$17*AF17,".")*$B$66</f>
        <v>5.1494131341692885E-5</v>
      </c>
      <c r="AG66" s="64">
        <f>IFERROR(s_RadSpec!$O$17*AG17,".")*$B$66</f>
        <v>8.5595581862041442E-5</v>
      </c>
      <c r="AH66" s="64">
        <f>IFERROR(s_RadSpec!$K$17*AH17,".")*$B$66</f>
        <v>7.172140650724171E-6</v>
      </c>
      <c r="AI66" s="73">
        <f t="shared" si="91"/>
        <v>1.0701397619498983E-4</v>
      </c>
      <c r="AJ66" s="73">
        <f t="shared" si="91"/>
        <v>1.3929872388337981E-5</v>
      </c>
      <c r="AK66" s="73">
        <f t="shared" si="91"/>
        <v>5.1494131341692885E-5</v>
      </c>
      <c r="AL66" s="73">
        <f t="shared" si="91"/>
        <v>8.5595581862041442E-5</v>
      </c>
      <c r="AM66" s="73">
        <f t="shared" si="91"/>
        <v>7.172140650724171E-6</v>
      </c>
      <c r="AN66" s="56">
        <f t="shared" si="96"/>
        <v>27.461519759979449</v>
      </c>
      <c r="AO66" s="56">
        <f t="shared" si="96"/>
        <v>11460.663875688922</v>
      </c>
      <c r="AP66" s="56">
        <f t="shared" si="92"/>
        <v>27.39587501450805</v>
      </c>
      <c r="AQ66" s="64">
        <f>IFERROR(s_RadSpec!$G$17*AQ17,".")*$B$66</f>
        <v>2.0230125821718748E-3</v>
      </c>
      <c r="AR66" s="64">
        <f>IFERROR(s_RadSpec!$J$17*AR17,".")*$B$66</f>
        <v>4.8474504271822108E-6</v>
      </c>
      <c r="AS66" s="73">
        <f t="shared" si="93"/>
        <v>2.0230125821718748E-3</v>
      </c>
      <c r="AT66" s="73">
        <f t="shared" si="93"/>
        <v>4.8474504271822108E-6</v>
      </c>
      <c r="AU66" s="73">
        <f t="shared" si="94"/>
        <v>2.027860032599057E-3</v>
      </c>
    </row>
    <row r="67" spans="1:47" x14ac:dyDescent="0.25">
      <c r="A67" s="55" t="s">
        <v>309</v>
      </c>
      <c r="B67" s="60">
        <v>2.0000000000000001E-4</v>
      </c>
      <c r="C67" s="56">
        <f>IFERROR(C5/$B53,0)</f>
        <v>0</v>
      </c>
      <c r="D67" s="56">
        <f>IFERROR(D5/$B53,0)</f>
        <v>0</v>
      </c>
      <c r="E67" s="56">
        <f>IFERROR(E5/$B53,0)</f>
        <v>0</v>
      </c>
      <c r="F67" s="56">
        <f t="shared" si="84"/>
        <v>0</v>
      </c>
      <c r="G67" s="64">
        <f>IFERROR(s_RadSpec!$I$5*G5,".")*$B$67</f>
        <v>0</v>
      </c>
      <c r="H67" s="64">
        <f>IFERROR(s_RadSpec!$G$5*H5,".")*$B$67</f>
        <v>0</v>
      </c>
      <c r="I67" s="64">
        <f>IFERROR(s_RadSpec!$F$5*I5,".")*$B$67</f>
        <v>0</v>
      </c>
      <c r="J67" s="73">
        <f t="shared" si="85"/>
        <v>0</v>
      </c>
      <c r="K67" s="73">
        <f t="shared" si="85"/>
        <v>0</v>
      </c>
      <c r="L67" s="73">
        <f t="shared" si="85"/>
        <v>0</v>
      </c>
      <c r="M67" s="73">
        <f t="shared" si="86"/>
        <v>0</v>
      </c>
      <c r="N67" s="56">
        <f>IFERROR(N5/$B53,0)</f>
        <v>0</v>
      </c>
      <c r="O67" s="56">
        <f>IFERROR(O5/$B53,0)</f>
        <v>0</v>
      </c>
      <c r="P67" s="56">
        <f>IFERROR(P5/$B53,0)</f>
        <v>0</v>
      </c>
      <c r="Q67" s="56">
        <f t="shared" si="87"/>
        <v>0</v>
      </c>
      <c r="R67" s="64">
        <f>IFERROR(s_RadSpec!$I$5*R5,".")*$B$67</f>
        <v>0</v>
      </c>
      <c r="S67" s="64">
        <f>IFERROR(s_RadSpec!$G$5*S5,".")*$B$67</f>
        <v>0</v>
      </c>
      <c r="T67" s="64">
        <f>IFERROR(s_RadSpec!$F$5*T5,".")*$B$67</f>
        <v>0</v>
      </c>
      <c r="U67" s="73">
        <f t="shared" si="88"/>
        <v>0</v>
      </c>
      <c r="V67" s="73">
        <f t="shared" si="88"/>
        <v>0</v>
      </c>
      <c r="W67" s="73">
        <f t="shared" si="88"/>
        <v>0</v>
      </c>
      <c r="X67" s="73">
        <f t="shared" si="89"/>
        <v>0</v>
      </c>
      <c r="Y67" s="56">
        <f t="shared" ref="Y67:AO67" si="97">IFERROR(Y5/$B53,0)</f>
        <v>0</v>
      </c>
      <c r="Z67" s="56">
        <f t="shared" si="97"/>
        <v>0</v>
      </c>
      <c r="AA67" s="56">
        <f t="shared" si="97"/>
        <v>0</v>
      </c>
      <c r="AB67" s="56">
        <f t="shared" si="97"/>
        <v>0</v>
      </c>
      <c r="AC67" s="56">
        <f t="shared" si="97"/>
        <v>0</v>
      </c>
      <c r="AD67" s="64">
        <f>IFERROR(s_RadSpec!$F$5*AD5,".")*$B$67</f>
        <v>0</v>
      </c>
      <c r="AE67" s="64">
        <f>IFERROR(s_RadSpec!$M$5*AE5,".")*$B$67</f>
        <v>0</v>
      </c>
      <c r="AF67" s="64">
        <f>IFERROR(s_RadSpec!$N$5*AF5,".")*$B$67</f>
        <v>0</v>
      </c>
      <c r="AG67" s="64">
        <f>IFERROR(s_RadSpec!$O$5*AG5,".")*$B$67</f>
        <v>0</v>
      </c>
      <c r="AH67" s="64">
        <f>IFERROR(s_RadSpec!$K$5*AH5,".")*$B$67</f>
        <v>0</v>
      </c>
      <c r="AI67" s="73">
        <f t="shared" si="91"/>
        <v>0</v>
      </c>
      <c r="AJ67" s="73">
        <f t="shared" si="91"/>
        <v>0</v>
      </c>
      <c r="AK67" s="73">
        <f t="shared" si="91"/>
        <v>0</v>
      </c>
      <c r="AL67" s="73">
        <f t="shared" si="91"/>
        <v>0</v>
      </c>
      <c r="AM67" s="73">
        <f t="shared" si="91"/>
        <v>0</v>
      </c>
      <c r="AN67" s="56">
        <f t="shared" si="97"/>
        <v>0</v>
      </c>
      <c r="AO67" s="56">
        <f t="shared" si="97"/>
        <v>1894537600674.9492</v>
      </c>
      <c r="AP67" s="56">
        <f t="shared" si="92"/>
        <v>1894537600674.9492</v>
      </c>
      <c r="AQ67" s="64">
        <f>IFERROR(s_RadSpec!$G$5*AQ5,".")*$B$67</f>
        <v>0</v>
      </c>
      <c r="AR67" s="64">
        <f>IFERROR(s_RadSpec!$J$5*AR5,".")*$B$67</f>
        <v>2.932377799216438E-14</v>
      </c>
      <c r="AS67" s="73">
        <f t="shared" si="93"/>
        <v>0</v>
      </c>
      <c r="AT67" s="73">
        <f t="shared" si="93"/>
        <v>2.932377799216438E-14</v>
      </c>
      <c r="AU67" s="73">
        <f t="shared" si="94"/>
        <v>2.932377799216438E-14</v>
      </c>
    </row>
    <row r="68" spans="1:47" x14ac:dyDescent="0.25">
      <c r="A68" s="55" t="s">
        <v>310</v>
      </c>
      <c r="B68" s="60">
        <v>0.99999979999999999</v>
      </c>
      <c r="C68" s="56">
        <f>IFERROR(C9/$B54,0)</f>
        <v>1646233.1312583226</v>
      </c>
      <c r="D68" s="56">
        <f>IFERROR(D9/$B54,0)</f>
        <v>17552.432746402978</v>
      </c>
      <c r="E68" s="56">
        <f>IFERROR(E9/$B54,0)</f>
        <v>25.963005092391658</v>
      </c>
      <c r="F68" s="56">
        <f t="shared" si="84"/>
        <v>25.924249903845283</v>
      </c>
      <c r="G68" s="64">
        <f>IFERROR(s_RadSpec!$I$9*G9,".")*$B$68</f>
        <v>3.3746739113150827E-8</v>
      </c>
      <c r="H68" s="64">
        <f>IFERROR(s_RadSpec!$G$9*H9,".")*$B$68</f>
        <v>3.1650883272226118E-6</v>
      </c>
      <c r="I68" s="64">
        <f>IFERROR(s_RadSpec!$F$9*I9,".")*$B$68</f>
        <v>2.1397754151456119E-3</v>
      </c>
      <c r="J68" s="73">
        <f t="shared" si="85"/>
        <v>3.3746739113150827E-8</v>
      </c>
      <c r="K68" s="73">
        <f t="shared" si="85"/>
        <v>3.1650883272226118E-6</v>
      </c>
      <c r="L68" s="73">
        <f t="shared" si="85"/>
        <v>2.1397754151456119E-3</v>
      </c>
      <c r="M68" s="73">
        <f t="shared" si="86"/>
        <v>2.1429742502119477E-3</v>
      </c>
      <c r="N68" s="56">
        <f>IFERROR(N9/$B54,0)</f>
        <v>1646233.1312583226</v>
      </c>
      <c r="O68" s="56">
        <f>IFERROR(O9/$B54,0)</f>
        <v>110394.21330710551</v>
      </c>
      <c r="P68" s="56">
        <f>IFERROR(P9/$B54,0)</f>
        <v>25.963005092391658</v>
      </c>
      <c r="Q68" s="56">
        <f t="shared" si="87"/>
        <v>25.956491164686813</v>
      </c>
      <c r="R68" s="64">
        <f>IFERROR(s_RadSpec!$I$9*R9,".")*$B$68</f>
        <v>3.3746739113150827E-8</v>
      </c>
      <c r="S68" s="64">
        <f>IFERROR(s_RadSpec!$G$9*S9,".")*$B$68</f>
        <v>5.0324195748785874E-7</v>
      </c>
      <c r="T68" s="64">
        <f>IFERROR(s_RadSpec!$F$9*T9,".")*$B$68</f>
        <v>2.1397754151456119E-3</v>
      </c>
      <c r="U68" s="73">
        <f t="shared" si="88"/>
        <v>3.3746739113150827E-8</v>
      </c>
      <c r="V68" s="73">
        <f t="shared" si="88"/>
        <v>5.0324195748785874E-7</v>
      </c>
      <c r="W68" s="73">
        <f t="shared" si="88"/>
        <v>2.1397754151456119E-3</v>
      </c>
      <c r="X68" s="73">
        <f t="shared" si="89"/>
        <v>2.1403124038422128E-3</v>
      </c>
      <c r="Y68" s="56">
        <f t="shared" ref="Y68:AO68" si="98">IFERROR(Y9/$B54,0)</f>
        <v>25.963005092391658</v>
      </c>
      <c r="Z68" s="56">
        <f t="shared" si="98"/>
        <v>294.43721856980505</v>
      </c>
      <c r="AA68" s="56">
        <f t="shared" si="98"/>
        <v>72.103906834702357</v>
      </c>
      <c r="AB68" s="56">
        <f t="shared" si="98"/>
        <v>36.882260286930169</v>
      </c>
      <c r="AC68" s="56">
        <f t="shared" si="98"/>
        <v>538.59887956929595</v>
      </c>
      <c r="AD68" s="64">
        <f>IFERROR(s_RadSpec!$F$9*AD9,".")*$B$68</f>
        <v>2.1397754151456119E-3</v>
      </c>
      <c r="AE68" s="64">
        <f>IFERROR(s_RadSpec!$M$9*AE9,".")*$B$68</f>
        <v>1.8868198887984344E-4</v>
      </c>
      <c r="AF68" s="64">
        <f>IFERROR(s_RadSpec!$N$9*AF9,".")*$B$68</f>
        <v>7.7048529599594922E-4</v>
      </c>
      <c r="AG68" s="64">
        <f>IFERROR(s_RadSpec!$O$9*AG9,".")*$B$68</f>
        <v>1.5062797010758809E-3</v>
      </c>
      <c r="AH68" s="64">
        <f>IFERROR(s_RadSpec!$K$9*AH9,".")*$B$68</f>
        <v>1.0314726247560324E-4</v>
      </c>
      <c r="AI68" s="73">
        <f t="shared" si="91"/>
        <v>2.1397754151456119E-3</v>
      </c>
      <c r="AJ68" s="73">
        <f t="shared" si="91"/>
        <v>1.8868198887984344E-4</v>
      </c>
      <c r="AK68" s="73">
        <f t="shared" si="91"/>
        <v>7.7048529599594922E-4</v>
      </c>
      <c r="AL68" s="73">
        <f t="shared" si="91"/>
        <v>1.5062797010758809E-3</v>
      </c>
      <c r="AM68" s="73">
        <f t="shared" si="91"/>
        <v>1.0314726247560324E-4</v>
      </c>
      <c r="AN68" s="56">
        <f t="shared" si="98"/>
        <v>34.519963754046685</v>
      </c>
      <c r="AO68" s="56">
        <f t="shared" si="98"/>
        <v>1745.7522743797279</v>
      </c>
      <c r="AP68" s="56">
        <f t="shared" si="92"/>
        <v>33.850612251475454</v>
      </c>
      <c r="AQ68" s="64">
        <f>IFERROR(s_RadSpec!$G$9*AQ9,".")*$B$68</f>
        <v>1.6093585843782187E-3</v>
      </c>
      <c r="AR68" s="64">
        <f>IFERROR(s_RadSpec!$J$9*AR9,".")*$B$68</f>
        <v>3.1822957251903844E-5</v>
      </c>
      <c r="AS68" s="73">
        <f t="shared" si="93"/>
        <v>1.6093585843782187E-3</v>
      </c>
      <c r="AT68" s="73">
        <f t="shared" si="93"/>
        <v>3.1822957251903844E-5</v>
      </c>
      <c r="AU68" s="73">
        <f t="shared" si="94"/>
        <v>1.6411815416301225E-3</v>
      </c>
    </row>
    <row r="69" spans="1:47" x14ac:dyDescent="0.25">
      <c r="A69" s="55" t="s">
        <v>311</v>
      </c>
      <c r="B69" s="60">
        <v>1.9999999999999999E-7</v>
      </c>
      <c r="C69" s="56">
        <f>IFERROR(C24/$B55,0)</f>
        <v>0</v>
      </c>
      <c r="D69" s="56">
        <f>IFERROR(D24/$B55,0)</f>
        <v>0</v>
      </c>
      <c r="E69" s="56">
        <f>IFERROR(E24/$B55,0)</f>
        <v>496890662279.289</v>
      </c>
      <c r="F69" s="56">
        <f t="shared" si="84"/>
        <v>496890662279.289</v>
      </c>
      <c r="G69" s="64">
        <f>IFERROR(s_RadSpec!$I$24*G24,".")*$B$69</f>
        <v>0</v>
      </c>
      <c r="H69" s="64">
        <f>IFERROR(s_RadSpec!$G$24*H24,".")*$B$69</f>
        <v>0</v>
      </c>
      <c r="I69" s="64">
        <f>IFERROR(s_RadSpec!$F$24*I24,".")*$B$69</f>
        <v>1.1180528075364397E-13</v>
      </c>
      <c r="J69" s="73">
        <f t="shared" si="85"/>
        <v>0</v>
      </c>
      <c r="K69" s="73">
        <f t="shared" si="85"/>
        <v>0</v>
      </c>
      <c r="L69" s="73">
        <f t="shared" si="85"/>
        <v>1.1180528075364397E-13</v>
      </c>
      <c r="M69" s="73">
        <f t="shared" si="86"/>
        <v>1.1180528075364397E-13</v>
      </c>
      <c r="N69" s="56">
        <f>IFERROR(N24/$B55,0)</f>
        <v>0</v>
      </c>
      <c r="O69" s="56">
        <f>IFERROR(O24/$B55,0)</f>
        <v>0</v>
      </c>
      <c r="P69" s="56">
        <f>IFERROR(P24/$B55,0)</f>
        <v>496890662279.289</v>
      </c>
      <c r="Q69" s="56">
        <f t="shared" si="87"/>
        <v>496890662279.289</v>
      </c>
      <c r="R69" s="64">
        <f>IFERROR(s_RadSpec!$I$24*R24,".")*$B$69</f>
        <v>0</v>
      </c>
      <c r="S69" s="64">
        <f>IFERROR(s_RadSpec!$G$24*S24,".")*$B$69</f>
        <v>0</v>
      </c>
      <c r="T69" s="64">
        <f>IFERROR(s_RadSpec!$F$24*T24,".")*$B$69</f>
        <v>1.1180528075364397E-13</v>
      </c>
      <c r="U69" s="73">
        <f t="shared" si="88"/>
        <v>0</v>
      </c>
      <c r="V69" s="73">
        <f t="shared" si="88"/>
        <v>0</v>
      </c>
      <c r="W69" s="73">
        <f t="shared" si="88"/>
        <v>1.1180528075364397E-13</v>
      </c>
      <c r="X69" s="73">
        <f t="shared" si="89"/>
        <v>1.1180528075364397E-13</v>
      </c>
      <c r="Y69" s="56">
        <f t="shared" ref="Y69:AO69" si="99">IFERROR(Y24/$B55,0)</f>
        <v>496890662279.289</v>
      </c>
      <c r="Z69" s="56">
        <f t="shared" si="99"/>
        <v>4377552943416.8057</v>
      </c>
      <c r="AA69" s="56">
        <f t="shared" si="99"/>
        <v>1097982425760.2218</v>
      </c>
      <c r="AB69" s="56">
        <f t="shared" si="99"/>
        <v>592449748380.97473</v>
      </c>
      <c r="AC69" s="56">
        <f t="shared" si="99"/>
        <v>7447736452166.0859</v>
      </c>
      <c r="AD69" s="64">
        <f>IFERROR(s_RadSpec!$F$24*AD24,".")*$B$69</f>
        <v>1.1180528075364397E-13</v>
      </c>
      <c r="AE69" s="64">
        <f>IFERROR(s_RadSpec!$M$24*AE24,".")*$B$69</f>
        <v>1.2690880205925666E-14</v>
      </c>
      <c r="AF69" s="64">
        <f>IFERROR(s_RadSpec!$N$24*AF24,".")*$B$69</f>
        <v>5.0597349007234597E-14</v>
      </c>
      <c r="AG69" s="64">
        <f>IFERROR(s_RadSpec!$O$24*AG24,".")*$B$69</f>
        <v>9.377166612327656E-14</v>
      </c>
      <c r="AH69" s="64">
        <f>IFERROR(s_RadSpec!$K$24*AH24,".")*$B$69</f>
        <v>7.459313357394982E-15</v>
      </c>
      <c r="AI69" s="73">
        <f t="shared" si="91"/>
        <v>1.1180528075364397E-13</v>
      </c>
      <c r="AJ69" s="73">
        <f t="shared" si="91"/>
        <v>1.2690880205925666E-14</v>
      </c>
      <c r="AK69" s="73">
        <f t="shared" si="91"/>
        <v>5.0597349007234597E-14</v>
      </c>
      <c r="AL69" s="73">
        <f t="shared" si="91"/>
        <v>9.377166612327656E-14</v>
      </c>
      <c r="AM69" s="73">
        <f t="shared" si="91"/>
        <v>7.459313357394982E-15</v>
      </c>
      <c r="AN69" s="56">
        <f t="shared" si="99"/>
        <v>0</v>
      </c>
      <c r="AO69" s="56">
        <f t="shared" si="99"/>
        <v>18320803171362.152</v>
      </c>
      <c r="AP69" s="56">
        <f t="shared" si="92"/>
        <v>18320803171362.152</v>
      </c>
      <c r="AQ69" s="64">
        <f>IFERROR(s_RadSpec!$G$24*AQ24,".")*$B$69</f>
        <v>0</v>
      </c>
      <c r="AR69" s="64">
        <f>IFERROR(s_RadSpec!$J$24*AR24,".")*$B$69</f>
        <v>3.0323452241897256E-15</v>
      </c>
      <c r="AS69" s="73">
        <f t="shared" si="93"/>
        <v>0</v>
      </c>
      <c r="AT69" s="73">
        <f t="shared" si="93"/>
        <v>3.0323452241897256E-15</v>
      </c>
      <c r="AU69" s="73">
        <f t="shared" si="94"/>
        <v>3.0323452241897256E-15</v>
      </c>
    </row>
    <row r="70" spans="1:47" x14ac:dyDescent="0.25">
      <c r="A70" s="55" t="s">
        <v>312</v>
      </c>
      <c r="B70" s="60">
        <v>0.99979000004200003</v>
      </c>
      <c r="C70" s="56">
        <f>IFERROR(C20/$B56,0)</f>
        <v>0</v>
      </c>
      <c r="D70" s="56">
        <f>IFERROR(D20/$B56,0)</f>
        <v>0</v>
      </c>
      <c r="E70" s="56">
        <f>IFERROR(E20/$B56,0)</f>
        <v>684138.40151537966</v>
      </c>
      <c r="F70" s="56">
        <f t="shared" si="84"/>
        <v>684138.40151537966</v>
      </c>
      <c r="G70" s="64">
        <f>IFERROR(s_RadSpec!$I$20*G20,".")*$B$70</f>
        <v>0</v>
      </c>
      <c r="H70" s="64">
        <f>IFERROR(s_RadSpec!$G$20*H20,".")*$B$70</f>
        <v>0</v>
      </c>
      <c r="I70" s="64">
        <f>IFERROR(s_RadSpec!$F$20*I20,".")*$B$70</f>
        <v>8.1204329236517916E-8</v>
      </c>
      <c r="J70" s="73">
        <f t="shared" si="85"/>
        <v>0</v>
      </c>
      <c r="K70" s="73">
        <f t="shared" si="85"/>
        <v>0</v>
      </c>
      <c r="L70" s="73">
        <f t="shared" si="85"/>
        <v>8.1204329236517916E-8</v>
      </c>
      <c r="M70" s="73">
        <f t="shared" si="86"/>
        <v>8.1204329236517916E-8</v>
      </c>
      <c r="N70" s="56">
        <f>IFERROR(N20/$B56,0)</f>
        <v>0</v>
      </c>
      <c r="O70" s="56">
        <f>IFERROR(O20/$B56,0)</f>
        <v>0</v>
      </c>
      <c r="P70" s="56">
        <f>IFERROR(P20/$B56,0)</f>
        <v>684138.40151537966</v>
      </c>
      <c r="Q70" s="56">
        <f t="shared" si="87"/>
        <v>684138.40151537966</v>
      </c>
      <c r="R70" s="64">
        <f>IFERROR(s_RadSpec!$I$20*R20,".")*$B$70</f>
        <v>0</v>
      </c>
      <c r="S70" s="64">
        <f>IFERROR(s_RadSpec!$G$20*S20,".")*$B$70</f>
        <v>0</v>
      </c>
      <c r="T70" s="64">
        <f>IFERROR(s_RadSpec!$F$20*T20,".")*$B$70</f>
        <v>8.1204329236517916E-8</v>
      </c>
      <c r="U70" s="73">
        <f t="shared" si="88"/>
        <v>0</v>
      </c>
      <c r="V70" s="73">
        <f t="shared" si="88"/>
        <v>0</v>
      </c>
      <c r="W70" s="73">
        <f t="shared" si="88"/>
        <v>8.1204329236517916E-8</v>
      </c>
      <c r="X70" s="73">
        <f t="shared" si="89"/>
        <v>8.1204329236517916E-8</v>
      </c>
      <c r="Y70" s="56">
        <f t="shared" ref="Y70:AO70" si="100">IFERROR(Y20/$B56,0)</f>
        <v>684138.40151537966</v>
      </c>
      <c r="Z70" s="56">
        <f t="shared" si="100"/>
        <v>6820332.2361435732</v>
      </c>
      <c r="AA70" s="56">
        <f t="shared" si="100"/>
        <v>1693038.4397031681</v>
      </c>
      <c r="AB70" s="56">
        <f t="shared" si="100"/>
        <v>905105.24329258059</v>
      </c>
      <c r="AC70" s="56">
        <f t="shared" si="100"/>
        <v>11928570.353400188</v>
      </c>
      <c r="AD70" s="64">
        <f>IFERROR(s_RadSpec!$F$20*AD20,".")*$B$70</f>
        <v>8.1204329236517916E-8</v>
      </c>
      <c r="AE70" s="64">
        <f>IFERROR(s_RadSpec!$M$20*AE20,".")*$B$70</f>
        <v>8.1454976204227395E-9</v>
      </c>
      <c r="AF70" s="64">
        <f>IFERROR(s_RadSpec!$N$20*AF20,".")*$B$70</f>
        <v>3.2813785379698863E-8</v>
      </c>
      <c r="AG70" s="64">
        <f>IFERROR(s_RadSpec!$O$20*AG20,".")*$B$70</f>
        <v>6.1379602440377773E-8</v>
      </c>
      <c r="AH70" s="64">
        <f>IFERROR(s_RadSpec!$K$20*AH20,".")*$B$70</f>
        <v>4.6573058090036987E-9</v>
      </c>
      <c r="AI70" s="73">
        <f t="shared" si="91"/>
        <v>8.1204329236517916E-8</v>
      </c>
      <c r="AJ70" s="73">
        <f t="shared" si="91"/>
        <v>8.1454976204227395E-9</v>
      </c>
      <c r="AK70" s="73">
        <f t="shared" si="91"/>
        <v>3.2813785379698863E-8</v>
      </c>
      <c r="AL70" s="73">
        <f t="shared" si="91"/>
        <v>6.1379602440377773E-8</v>
      </c>
      <c r="AM70" s="73">
        <f t="shared" si="91"/>
        <v>4.6573058090036987E-9</v>
      </c>
      <c r="AN70" s="56">
        <f t="shared" si="100"/>
        <v>0</v>
      </c>
      <c r="AO70" s="56">
        <f t="shared" si="100"/>
        <v>32696926.913944453</v>
      </c>
      <c r="AP70" s="56">
        <f t="shared" si="92"/>
        <v>32696926.913944449</v>
      </c>
      <c r="AQ70" s="64">
        <f>IFERROR(s_RadSpec!$G$20*AQ20,".")*$B$70</f>
        <v>0</v>
      </c>
      <c r="AR70" s="64">
        <f>IFERROR(s_RadSpec!$J$20*AR20,".")*$B$70</f>
        <v>1.6990893409101124E-9</v>
      </c>
      <c r="AS70" s="73">
        <f t="shared" si="93"/>
        <v>0</v>
      </c>
      <c r="AT70" s="73">
        <f t="shared" si="93"/>
        <v>1.6990893409101124E-9</v>
      </c>
      <c r="AU70" s="73">
        <f t="shared" si="94"/>
        <v>1.6990893409101124E-9</v>
      </c>
    </row>
    <row r="71" spans="1:47" x14ac:dyDescent="0.25">
      <c r="A71" s="55" t="s">
        <v>313</v>
      </c>
      <c r="B71" s="60">
        <v>2.0999995799999999E-4</v>
      </c>
      <c r="C71" s="56">
        <f>IFERROR(C29/$B57,0)</f>
        <v>0</v>
      </c>
      <c r="D71" s="56">
        <f>IFERROR(D29/$B57,0)</f>
        <v>0</v>
      </c>
      <c r="E71" s="56">
        <f>IFERROR(E29/$B57,0)</f>
        <v>73561.804590246509</v>
      </c>
      <c r="F71" s="56">
        <f t="shared" si="84"/>
        <v>73561.804590246509</v>
      </c>
      <c r="G71" s="64">
        <f>IFERROR(s_RadSpec!$I$29*G29,".")*$B$71</f>
        <v>0</v>
      </c>
      <c r="H71" s="64">
        <f>IFERROR(s_RadSpec!$G$29*H29,".")*$B$71</f>
        <v>0</v>
      </c>
      <c r="I71" s="64">
        <f>IFERROR(s_RadSpec!$F$29*I29,".")*$B$71</f>
        <v>7.5521529562049344E-7</v>
      </c>
      <c r="J71" s="73">
        <f t="shared" si="85"/>
        <v>0</v>
      </c>
      <c r="K71" s="73">
        <f t="shared" si="85"/>
        <v>0</v>
      </c>
      <c r="L71" s="73">
        <f t="shared" si="85"/>
        <v>7.5521529562049344E-7</v>
      </c>
      <c r="M71" s="73">
        <f t="shared" si="86"/>
        <v>7.5521529562049344E-7</v>
      </c>
      <c r="N71" s="56">
        <f>IFERROR(N29/$B57,0)</f>
        <v>0</v>
      </c>
      <c r="O71" s="56">
        <f>IFERROR(O29/$B57,0)</f>
        <v>0</v>
      </c>
      <c r="P71" s="56">
        <f>IFERROR(P29/$B57,0)</f>
        <v>73561.804590246509</v>
      </c>
      <c r="Q71" s="56">
        <f t="shared" si="87"/>
        <v>73561.804590246509</v>
      </c>
      <c r="R71" s="64">
        <f>IFERROR(s_RadSpec!$I$29*R29,".")*$B$71</f>
        <v>0</v>
      </c>
      <c r="S71" s="64">
        <f>IFERROR(s_RadSpec!$G$29*S29,".")*$B$71</f>
        <v>0</v>
      </c>
      <c r="T71" s="64">
        <f>IFERROR(s_RadSpec!$F$29*T29,".")*$B$71</f>
        <v>7.5521529562049344E-7</v>
      </c>
      <c r="U71" s="73">
        <f t="shared" si="88"/>
        <v>0</v>
      </c>
      <c r="V71" s="73">
        <f t="shared" si="88"/>
        <v>0</v>
      </c>
      <c r="W71" s="73">
        <f t="shared" si="88"/>
        <v>7.5521529562049344E-7</v>
      </c>
      <c r="X71" s="73">
        <f t="shared" si="89"/>
        <v>7.5521529562049344E-7</v>
      </c>
      <c r="Y71" s="56">
        <f t="shared" ref="Y71:AO71" si="101">IFERROR(Y29/$B57,0)</f>
        <v>73561.804590246509</v>
      </c>
      <c r="Z71" s="56">
        <f t="shared" si="101"/>
        <v>793273.29425677238</v>
      </c>
      <c r="AA71" s="56">
        <f t="shared" si="101"/>
        <v>197274.43909221812</v>
      </c>
      <c r="AB71" s="56">
        <f t="shared" si="101"/>
        <v>104840.95833524654</v>
      </c>
      <c r="AC71" s="56">
        <f t="shared" si="101"/>
        <v>1471485.8093845013</v>
      </c>
      <c r="AD71" s="64">
        <f>IFERROR(s_RadSpec!$F$29*AD29,".")*$B$71</f>
        <v>7.5521529562049344E-7</v>
      </c>
      <c r="AE71" s="64">
        <f>IFERROR(s_RadSpec!$M$29*AE29,".")*$B$71</f>
        <v>7.0032610957929906E-8</v>
      </c>
      <c r="AF71" s="64">
        <f>IFERROR(s_RadSpec!$N$29*AF29,".")*$B$71</f>
        <v>2.8161276369935684E-7</v>
      </c>
      <c r="AG71" s="64">
        <f>IFERROR(s_RadSpec!$O$29*AG29,".")*$B$71</f>
        <v>5.2989786512970985E-7</v>
      </c>
      <c r="AH71" s="64">
        <f>IFERROR(s_RadSpec!$K$29*AH29,".")*$B$71</f>
        <v>3.775435661403879E-8</v>
      </c>
      <c r="AI71" s="73">
        <f t="shared" si="91"/>
        <v>7.5521529562049344E-7</v>
      </c>
      <c r="AJ71" s="73">
        <f t="shared" si="91"/>
        <v>7.0032610957929906E-8</v>
      </c>
      <c r="AK71" s="73">
        <f t="shared" si="91"/>
        <v>2.8161276369935684E-7</v>
      </c>
      <c r="AL71" s="73">
        <f t="shared" si="91"/>
        <v>5.2989786512970985E-7</v>
      </c>
      <c r="AM71" s="73">
        <f t="shared" si="91"/>
        <v>3.775435661403879E-8</v>
      </c>
      <c r="AN71" s="56">
        <f t="shared" si="101"/>
        <v>0</v>
      </c>
      <c r="AO71" s="56">
        <f t="shared" si="101"/>
        <v>4493782.8087133151</v>
      </c>
      <c r="AP71" s="56">
        <f t="shared" si="92"/>
        <v>4493782.8087133151</v>
      </c>
      <c r="AQ71" s="64">
        <f>IFERROR(s_RadSpec!$G$29*AQ29,".")*$B$71</f>
        <v>0</v>
      </c>
      <c r="AR71" s="64">
        <f>IFERROR(s_RadSpec!$J$29*AR29,".")*$B$71</f>
        <v>1.2362635749168928E-8</v>
      </c>
      <c r="AS71" s="73">
        <f t="shared" si="93"/>
        <v>0</v>
      </c>
      <c r="AT71" s="73">
        <f t="shared" si="93"/>
        <v>1.2362635749168928E-8</v>
      </c>
      <c r="AU71" s="73">
        <f t="shared" si="94"/>
        <v>1.2362635749168928E-8</v>
      </c>
    </row>
    <row r="72" spans="1:47" x14ac:dyDescent="0.25">
      <c r="A72" s="55" t="s">
        <v>314</v>
      </c>
      <c r="B72" s="60">
        <v>1</v>
      </c>
      <c r="C72" s="56">
        <f>IFERROR(C16/$B58,0)</f>
        <v>404.44484888929333</v>
      </c>
      <c r="D72" s="56">
        <f>IFERROR(D16/$B58,0)</f>
        <v>68.338696325813345</v>
      </c>
      <c r="E72" s="56">
        <f>IFERROR(E16/$B58,0)</f>
        <v>3782882982.1826382</v>
      </c>
      <c r="F72" s="56">
        <f t="shared" si="84"/>
        <v>58.46064982881979</v>
      </c>
      <c r="G72" s="64">
        <f>IFERROR(s_RadSpec!$I$16*G16,".")*$B$72</f>
        <v>1.37361126375E-4</v>
      </c>
      <c r="H72" s="64">
        <f>IFERROR(s_RadSpec!$G$16*H16,".")*$B$72</f>
        <v>8.129361984772804E-4</v>
      </c>
      <c r="I72" s="64">
        <f>IFERROR(s_RadSpec!$F$16*I16,".")*$B$72</f>
        <v>1.4685889111998389E-11</v>
      </c>
      <c r="J72" s="73">
        <f t="shared" si="85"/>
        <v>1.37361126375E-4</v>
      </c>
      <c r="K72" s="73">
        <f t="shared" si="85"/>
        <v>8.129361984772804E-4</v>
      </c>
      <c r="L72" s="73">
        <f t="shared" si="85"/>
        <v>1.4685889111998389E-11</v>
      </c>
      <c r="M72" s="73">
        <f t="shared" si="86"/>
        <v>9.5029733953816951E-4</v>
      </c>
      <c r="N72" s="56">
        <f>IFERROR(N16/$B58,0)</f>
        <v>404.44484888929333</v>
      </c>
      <c r="O72" s="56">
        <f>IFERROR(O16/$B58,0)</f>
        <v>429.80917393729254</v>
      </c>
      <c r="P72" s="56">
        <f>IFERROR(P16/$B58,0)</f>
        <v>3782882982.1826382</v>
      </c>
      <c r="Q72" s="56">
        <f t="shared" si="87"/>
        <v>208.37070253506613</v>
      </c>
      <c r="R72" s="64">
        <f>IFERROR(s_RadSpec!$I$16*R16,".")*$B$72</f>
        <v>1.37361126375E-4</v>
      </c>
      <c r="S72" s="64">
        <f>IFERROR(s_RadSpec!$G$16*S16,".")*$B$72</f>
        <v>1.292550354174275E-4</v>
      </c>
      <c r="T72" s="64">
        <f>IFERROR(s_RadSpec!$F$16*T16,".")*$B$72</f>
        <v>1.4685889111998389E-11</v>
      </c>
      <c r="U72" s="73">
        <f t="shared" si="88"/>
        <v>1.37361126375E-4</v>
      </c>
      <c r="V72" s="73">
        <f t="shared" si="88"/>
        <v>1.292550354174275E-4</v>
      </c>
      <c r="W72" s="73">
        <f t="shared" si="88"/>
        <v>1.4685889111998389E-11</v>
      </c>
      <c r="X72" s="73">
        <f t="shared" si="89"/>
        <v>2.6661617647831662E-4</v>
      </c>
      <c r="Y72" s="56">
        <f t="shared" ref="Y72:AO72" si="102">IFERROR(Y16/$B58,0)</f>
        <v>3782882982.1826382</v>
      </c>
      <c r="Z72" s="56">
        <f t="shared" si="102"/>
        <v>10485569476.077385</v>
      </c>
      <c r="AA72" s="56">
        <f t="shared" si="102"/>
        <v>4092409105.8074307</v>
      </c>
      <c r="AB72" s="56">
        <f t="shared" si="102"/>
        <v>4068208035.9730072</v>
      </c>
      <c r="AC72" s="56">
        <f t="shared" si="102"/>
        <v>136097394987.2617</v>
      </c>
      <c r="AD72" s="64">
        <f>IFERROR(s_RadSpec!$F$16*AD16,".")*$B$72</f>
        <v>1.4685889111998389E-11</v>
      </c>
      <c r="AE72" s="64">
        <f>IFERROR(s_RadSpec!$M$16*AE16,".")*$B$72</f>
        <v>5.2982339325248495E-12</v>
      </c>
      <c r="AF72" s="64">
        <f>IFERROR(s_RadSpec!$N$16*AF16,".")*$B$72</f>
        <v>1.3575133512718298E-11</v>
      </c>
      <c r="AG72" s="64">
        <f>IFERROR(s_RadSpec!$O$16*AG16,".")*$B$72</f>
        <v>1.36558896469297E-11</v>
      </c>
      <c r="AH72" s="64">
        <f>IFERROR(s_RadSpec!$K$16*AH16,".")*$B$72</f>
        <v>4.0820031864092459E-13</v>
      </c>
      <c r="AI72" s="73">
        <f t="shared" si="91"/>
        <v>1.4685889111998389E-11</v>
      </c>
      <c r="AJ72" s="73">
        <f t="shared" si="91"/>
        <v>5.2982339325248495E-12</v>
      </c>
      <c r="AK72" s="73">
        <f t="shared" si="91"/>
        <v>1.3575133512718298E-11</v>
      </c>
      <c r="AL72" s="73">
        <f t="shared" si="91"/>
        <v>1.36558896469297E-11</v>
      </c>
      <c r="AM72" s="73">
        <f t="shared" si="91"/>
        <v>4.0820031864092459E-13</v>
      </c>
      <c r="AN72" s="56">
        <f t="shared" si="102"/>
        <v>0.1344001344001344</v>
      </c>
      <c r="AO72" s="56">
        <f t="shared" si="102"/>
        <v>2968296.3001672802</v>
      </c>
      <c r="AP72" s="56">
        <f t="shared" si="92"/>
        <v>0.13440012831469228</v>
      </c>
      <c r="AQ72" s="64">
        <f>IFERROR(s_RadSpec!$G$16*AQ16,".")*$B$72</f>
        <v>0.41335524140624996</v>
      </c>
      <c r="AR72" s="64">
        <f>IFERROR(s_RadSpec!$J$16*AR16,".")*$B$72</f>
        <v>1.8716123453332189E-8</v>
      </c>
      <c r="AS72" s="73">
        <f t="shared" si="93"/>
        <v>0.3385727252671914</v>
      </c>
      <c r="AT72" s="73">
        <f t="shared" si="93"/>
        <v>1.8716123453332189E-8</v>
      </c>
      <c r="AU72" s="73">
        <f t="shared" si="94"/>
        <v>0.33857273764654583</v>
      </c>
    </row>
    <row r="73" spans="1:47" x14ac:dyDescent="0.25">
      <c r="A73" s="55" t="s">
        <v>315</v>
      </c>
      <c r="B73" s="60">
        <v>1</v>
      </c>
      <c r="C73" s="56">
        <f>IFERROR(C7/$B59,0)</f>
        <v>64871.352000064864</v>
      </c>
      <c r="D73" s="56">
        <f>IFERROR(D7/$B59,0)</f>
        <v>2383.5203840466611</v>
      </c>
      <c r="E73" s="56">
        <f>IFERROR(E7/$B59,0)</f>
        <v>243385.85234948245</v>
      </c>
      <c r="F73" s="56">
        <f t="shared" si="84"/>
        <v>2277.534321738468</v>
      </c>
      <c r="G73" s="64">
        <f>IFERROR(s_RadSpec!$I$7*G7,".")*$B$73</f>
        <v>8.5638726937499996E-7</v>
      </c>
      <c r="H73" s="64">
        <f>IFERROR(s_RadSpec!$G$7*H7,".")*$B$73</f>
        <v>2.3307960935362585E-5</v>
      </c>
      <c r="I73" s="64">
        <f>IFERROR(s_RadSpec!$F$7*I7,".")*$B$73</f>
        <v>2.282589536890069E-7</v>
      </c>
      <c r="J73" s="73">
        <f t="shared" si="85"/>
        <v>8.5638726937499996E-7</v>
      </c>
      <c r="K73" s="73">
        <f t="shared" si="85"/>
        <v>2.3307960935362585E-5</v>
      </c>
      <c r="L73" s="73">
        <f t="shared" si="85"/>
        <v>2.282589536890069E-7</v>
      </c>
      <c r="M73" s="73">
        <f t="shared" si="86"/>
        <v>2.4392607158426589E-5</v>
      </c>
      <c r="N73" s="56">
        <f>IFERROR(N7/$B59,0)</f>
        <v>64871.352000064864</v>
      </c>
      <c r="O73" s="56">
        <f>IFERROR(O7/$B59,0)</f>
        <v>14990.905334886058</v>
      </c>
      <c r="P73" s="56">
        <f>IFERROR(P7/$B59,0)</f>
        <v>243385.85234948245</v>
      </c>
      <c r="Q73" s="56">
        <f t="shared" si="87"/>
        <v>11596.765726453272</v>
      </c>
      <c r="R73" s="64">
        <f>IFERROR(s_RadSpec!$I$7*R7,".")*$B$73</f>
        <v>8.5638726937499996E-7</v>
      </c>
      <c r="S73" s="64">
        <f>IFERROR(s_RadSpec!$G$7*S7,".")*$B$73</f>
        <v>3.7059136028772919E-6</v>
      </c>
      <c r="T73" s="64">
        <f>IFERROR(s_RadSpec!$F$7*T7,".")*$B$73</f>
        <v>2.282589536890069E-7</v>
      </c>
      <c r="U73" s="73">
        <f t="shared" si="88"/>
        <v>8.5638726937499996E-7</v>
      </c>
      <c r="V73" s="73">
        <f t="shared" si="88"/>
        <v>3.7059136028772919E-6</v>
      </c>
      <c r="W73" s="73">
        <f t="shared" si="88"/>
        <v>2.282589536890069E-7</v>
      </c>
      <c r="X73" s="73">
        <f t="shared" si="89"/>
        <v>4.7905598259412982E-6</v>
      </c>
      <c r="Y73" s="56">
        <f t="shared" ref="Y73:AO73" si="103">IFERROR(Y7/$B59,0)</f>
        <v>243385.85234948245</v>
      </c>
      <c r="Z73" s="56">
        <f t="shared" si="103"/>
        <v>1122378.5469965809</v>
      </c>
      <c r="AA73" s="56">
        <f t="shared" si="103"/>
        <v>381989.38780732075</v>
      </c>
      <c r="AB73" s="56">
        <f t="shared" si="103"/>
        <v>268891.97038063756</v>
      </c>
      <c r="AC73" s="56">
        <f t="shared" si="103"/>
        <v>380241.29434263927</v>
      </c>
      <c r="AD73" s="64">
        <f>IFERROR(s_RadSpec!$F$7*AD7,".")*$B$73</f>
        <v>2.282589536890069E-7</v>
      </c>
      <c r="AE73" s="64">
        <f>IFERROR(s_RadSpec!$M$7*AE7,".")*$B$73</f>
        <v>4.9497560469827149E-8</v>
      </c>
      <c r="AF73" s="64">
        <f>IFERROR(s_RadSpec!$N$7*AF7,".")*$B$73</f>
        <v>1.4543597747281528E-7</v>
      </c>
      <c r="AG73" s="64">
        <f>IFERROR(s_RadSpec!$O$7*AG7,".")*$B$73</f>
        <v>2.0660713639517592E-7</v>
      </c>
      <c r="AH73" s="64">
        <f>IFERROR(s_RadSpec!$K$7*AH7,".")*$B$73</f>
        <v>1.4610459417892367E-7</v>
      </c>
      <c r="AI73" s="73">
        <f t="shared" si="91"/>
        <v>2.282589536890069E-7</v>
      </c>
      <c r="AJ73" s="73">
        <f t="shared" si="91"/>
        <v>4.9497560469827149E-8</v>
      </c>
      <c r="AK73" s="73">
        <f t="shared" si="91"/>
        <v>1.4543597747281528E-7</v>
      </c>
      <c r="AL73" s="73">
        <f t="shared" si="91"/>
        <v>2.0660713639517592E-7</v>
      </c>
      <c r="AM73" s="73">
        <f t="shared" si="91"/>
        <v>1.4610459417892367E-7</v>
      </c>
      <c r="AN73" s="56">
        <f t="shared" si="103"/>
        <v>4.6876144437120049</v>
      </c>
      <c r="AO73" s="56">
        <f t="shared" si="103"/>
        <v>2208202.7663496095</v>
      </c>
      <c r="AP73" s="56">
        <f t="shared" si="92"/>
        <v>4.6876044927768543</v>
      </c>
      <c r="AQ73" s="64">
        <f>IFERROR(s_RadSpec!$G$7*AQ7,".")*$B$73</f>
        <v>1.1851443984375E-2</v>
      </c>
      <c r="AR73" s="64">
        <f>IFERROR(s_RadSpec!$J$7*AR7,".")*$B$73</f>
        <v>2.5158468618277396E-8</v>
      </c>
      <c r="AS73" s="73">
        <f t="shared" si="93"/>
        <v>1.1781492237892155E-2</v>
      </c>
      <c r="AT73" s="73">
        <f t="shared" si="93"/>
        <v>2.5158468618277396E-8</v>
      </c>
      <c r="AU73" s="73">
        <f t="shared" si="94"/>
        <v>1.1781517099956118E-2</v>
      </c>
    </row>
    <row r="74" spans="1:47" x14ac:dyDescent="0.25">
      <c r="A74" s="55" t="s">
        <v>316</v>
      </c>
      <c r="B74" s="62">
        <v>1.9000000000000001E-8</v>
      </c>
      <c r="C74" s="56">
        <f>IFERROR(C12/$B60,0)</f>
        <v>0</v>
      </c>
      <c r="D74" s="56">
        <f>IFERROR(D12/$B60,0)</f>
        <v>0</v>
      </c>
      <c r="E74" s="56">
        <f>IFERROR(E12/$B60,0)</f>
        <v>56914382023.586525</v>
      </c>
      <c r="F74" s="56">
        <f t="shared" si="84"/>
        <v>56914382023.586525</v>
      </c>
      <c r="G74" s="64">
        <f>IFERROR(s_RadSpec!$I$12*G12,".")*$B$74</f>
        <v>0</v>
      </c>
      <c r="H74" s="64">
        <f>IFERROR(s_RadSpec!$G$12*H12,".")*$B$74</f>
        <v>0</v>
      </c>
      <c r="I74" s="64">
        <f>IFERROR(s_RadSpec!$F$12*I12,".")*$B$74</f>
        <v>9.7611531610721591E-13</v>
      </c>
      <c r="J74" s="73">
        <f t="shared" si="85"/>
        <v>0</v>
      </c>
      <c r="K74" s="73">
        <f t="shared" si="85"/>
        <v>0</v>
      </c>
      <c r="L74" s="73">
        <f t="shared" si="85"/>
        <v>9.7611531610721591E-13</v>
      </c>
      <c r="M74" s="73">
        <f t="shared" si="86"/>
        <v>9.7611531610721591E-13</v>
      </c>
      <c r="N74" s="56">
        <f>IFERROR(N12/$B60,0)</f>
        <v>0</v>
      </c>
      <c r="O74" s="56">
        <f>IFERROR(O12/$B60,0)</f>
        <v>0</v>
      </c>
      <c r="P74" s="56">
        <f>IFERROR(P12/$B60,0)</f>
        <v>56914382023.586525</v>
      </c>
      <c r="Q74" s="56">
        <f t="shared" si="87"/>
        <v>56914382023.586525</v>
      </c>
      <c r="R74" s="64">
        <f>IFERROR(s_RadSpec!$I$12*R12,".")*$B$74</f>
        <v>0</v>
      </c>
      <c r="S74" s="64">
        <f>IFERROR(s_RadSpec!$G$12*S12,".")*$B$74</f>
        <v>0</v>
      </c>
      <c r="T74" s="64">
        <f>IFERROR(s_RadSpec!$F$12*T12,".")*$B$74</f>
        <v>9.7611531610721591E-13</v>
      </c>
      <c r="U74" s="73">
        <f t="shared" si="88"/>
        <v>0</v>
      </c>
      <c r="V74" s="73">
        <f t="shared" si="88"/>
        <v>0</v>
      </c>
      <c r="W74" s="73">
        <f t="shared" si="88"/>
        <v>9.7611531610721591E-13</v>
      </c>
      <c r="X74" s="73">
        <f t="shared" si="89"/>
        <v>9.7611531610721591E-13</v>
      </c>
      <c r="Y74" s="56">
        <f t="shared" ref="Y74:AO74" si="104">IFERROR(Y12/$B60,0)</f>
        <v>56914382023.586525</v>
      </c>
      <c r="Z74" s="56">
        <f t="shared" si="104"/>
        <v>449327523208.37469</v>
      </c>
      <c r="AA74" s="56">
        <f t="shared" si="104"/>
        <v>116811876089.47636</v>
      </c>
      <c r="AB74" s="56">
        <f t="shared" si="104"/>
        <v>69947010960.56958</v>
      </c>
      <c r="AC74" s="56">
        <f t="shared" si="104"/>
        <v>762521152413.09375</v>
      </c>
      <c r="AD74" s="64">
        <f>IFERROR(s_RadSpec!$F$12*AD12,".")*$B$74</f>
        <v>9.7611531610721591E-13</v>
      </c>
      <c r="AE74" s="64">
        <f>IFERROR(s_RadSpec!$M$12*AE12,".")*$B$74</f>
        <v>1.2364032277238552E-13</v>
      </c>
      <c r="AF74" s="64">
        <f>IFERROR(s_RadSpec!$N$12*AF12,".")*$B$74</f>
        <v>4.7559376546136096E-13</v>
      </c>
      <c r="AG74" s="64">
        <f>IFERROR(s_RadSpec!$O$12*AG12,".")*$B$74</f>
        <v>7.9424408901929147E-13</v>
      </c>
      <c r="AH74" s="64">
        <f>IFERROR(s_RadSpec!$K$12*AH12,".")*$B$74</f>
        <v>7.2856995277034908E-14</v>
      </c>
      <c r="AI74" s="73">
        <f t="shared" si="91"/>
        <v>9.7611531610721591E-13</v>
      </c>
      <c r="AJ74" s="73">
        <f t="shared" si="91"/>
        <v>1.2364032277238552E-13</v>
      </c>
      <c r="AK74" s="73">
        <f t="shared" si="91"/>
        <v>4.7559376546136096E-13</v>
      </c>
      <c r="AL74" s="73">
        <f t="shared" si="91"/>
        <v>7.9424408901929147E-13</v>
      </c>
      <c r="AM74" s="73">
        <f t="shared" si="91"/>
        <v>7.2856995277034908E-14</v>
      </c>
      <c r="AN74" s="56">
        <f t="shared" si="104"/>
        <v>0</v>
      </c>
      <c r="AO74" s="56">
        <f t="shared" si="104"/>
        <v>1238781242298.9143</v>
      </c>
      <c r="AP74" s="56">
        <f t="shared" si="92"/>
        <v>1238781242298.9143</v>
      </c>
      <c r="AQ74" s="64">
        <f>IFERROR(s_RadSpec!$G$12*AQ12,".")*$B$74</f>
        <v>0</v>
      </c>
      <c r="AR74" s="64">
        <f>IFERROR(s_RadSpec!$J$12*AR12,".")*$B$74</f>
        <v>4.4846497592183214E-14</v>
      </c>
      <c r="AS74" s="73">
        <f t="shared" si="93"/>
        <v>0</v>
      </c>
      <c r="AT74" s="73">
        <f t="shared" si="93"/>
        <v>4.4846497592183214E-14</v>
      </c>
      <c r="AU74" s="73">
        <f t="shared" si="94"/>
        <v>4.4846497592183214E-14</v>
      </c>
    </row>
    <row r="75" spans="1:47" x14ac:dyDescent="0.25">
      <c r="A75" s="55" t="s">
        <v>317</v>
      </c>
      <c r="B75" s="60">
        <v>1</v>
      </c>
      <c r="C75" s="56">
        <f>IFERROR(C18/$B61,0)</f>
        <v>168.8661482475915</v>
      </c>
      <c r="D75" s="56">
        <f>IFERROR(D18/$B61,0)</f>
        <v>74.789032458606968</v>
      </c>
      <c r="E75" s="56">
        <f>IFERROR(E18/$B61,0)</f>
        <v>5828048.538898522</v>
      </c>
      <c r="F75" s="56">
        <f t="shared" si="84"/>
        <v>51.832361969566911</v>
      </c>
      <c r="G75" s="64">
        <f>IFERROR(s_RadSpec!$I$18*G18,".")*$B$75</f>
        <v>3.2898837675000001E-4</v>
      </c>
      <c r="H75" s="64">
        <f>IFERROR(s_RadSpec!$G$18*H18,".")*$B$75</f>
        <v>7.4282282005383199E-4</v>
      </c>
      <c r="I75" s="64">
        <f>IFERROR(s_RadSpec!$F$18*I18,".")*$B$75</f>
        <v>9.5323502591314508E-9</v>
      </c>
      <c r="J75" s="73">
        <f t="shared" si="85"/>
        <v>3.2898837675000001E-4</v>
      </c>
      <c r="K75" s="73">
        <f t="shared" si="85"/>
        <v>7.4282282005383199E-4</v>
      </c>
      <c r="L75" s="73">
        <f t="shared" si="85"/>
        <v>9.5323502591314508E-9</v>
      </c>
      <c r="M75" s="73">
        <f t="shared" si="86"/>
        <v>1.0718207291540913E-3</v>
      </c>
      <c r="N75" s="56">
        <f>IFERROR(N18/$B61,0)</f>
        <v>168.8661482475915</v>
      </c>
      <c r="O75" s="56">
        <f>IFERROR(O18/$B61,0)</f>
        <v>470.37789698749623</v>
      </c>
      <c r="P75" s="56">
        <f>IFERROR(P18/$B61,0)</f>
        <v>5828048.538898522</v>
      </c>
      <c r="Q75" s="56">
        <f t="shared" si="87"/>
        <v>124.25490827459231</v>
      </c>
      <c r="R75" s="64">
        <f>IFERROR(s_RadSpec!$I$18*R18,".")*$B$75</f>
        <v>3.2898837675000001E-4</v>
      </c>
      <c r="S75" s="64">
        <f>IFERROR(s_RadSpec!$G$18*S18,".")*$B$75</f>
        <v>1.1810716522991044E-4</v>
      </c>
      <c r="T75" s="64">
        <f>IFERROR(s_RadSpec!$F$18*T18,".")*$B$75</f>
        <v>9.5323502591314508E-9</v>
      </c>
      <c r="U75" s="73">
        <f t="shared" si="88"/>
        <v>3.2898837675000001E-4</v>
      </c>
      <c r="V75" s="73">
        <f t="shared" si="88"/>
        <v>1.1810716522991044E-4</v>
      </c>
      <c r="W75" s="73">
        <f t="shared" si="88"/>
        <v>9.5323502591314508E-9</v>
      </c>
      <c r="X75" s="73">
        <f t="shared" si="89"/>
        <v>4.4710507433016957E-4</v>
      </c>
      <c r="Y75" s="56">
        <f t="shared" ref="Y75:AO75" si="105">IFERROR(Y18/$B61,0)</f>
        <v>5828048.538898522</v>
      </c>
      <c r="Z75" s="56">
        <f t="shared" si="105"/>
        <v>58081397.668057106</v>
      </c>
      <c r="AA75" s="56">
        <f t="shared" si="105"/>
        <v>14325673.355007019</v>
      </c>
      <c r="AB75" s="56">
        <f t="shared" si="105"/>
        <v>7618618.3241430791</v>
      </c>
      <c r="AC75" s="56">
        <f t="shared" si="105"/>
        <v>101563647.11104116</v>
      </c>
      <c r="AD75" s="64">
        <f>IFERROR(s_RadSpec!$F$18*AD18,".")*$B$75</f>
        <v>9.5323502591314508E-9</v>
      </c>
      <c r="AE75" s="64">
        <f>IFERROR(s_RadSpec!$M$18*AE18,".")*$B$75</f>
        <v>9.5650246430886855E-10</v>
      </c>
      <c r="AF75" s="64">
        <f>IFERROR(s_RadSpec!$N$18*AF18,".")*$B$75</f>
        <v>3.8780027034877732E-9</v>
      </c>
      <c r="AG75" s="64">
        <f>IFERROR(s_RadSpec!$O$18*AG18,".")*$B$75</f>
        <v>7.2920046176809433E-9</v>
      </c>
      <c r="AH75" s="64">
        <f>IFERROR(s_RadSpec!$K$18*AH18,".")*$B$75</f>
        <v>5.4699689879451487E-10</v>
      </c>
      <c r="AI75" s="73">
        <f t="shared" si="91"/>
        <v>9.5323502591314508E-9</v>
      </c>
      <c r="AJ75" s="73">
        <f t="shared" si="91"/>
        <v>9.5650246430886855E-10</v>
      </c>
      <c r="AK75" s="73">
        <f t="shared" si="91"/>
        <v>3.8780027034877732E-9</v>
      </c>
      <c r="AL75" s="73">
        <f t="shared" si="91"/>
        <v>7.2920046176809433E-9</v>
      </c>
      <c r="AM75" s="73">
        <f t="shared" si="91"/>
        <v>5.4699689879451487E-10</v>
      </c>
      <c r="AN75" s="56">
        <f t="shared" si="105"/>
        <v>0.14708586137157567</v>
      </c>
      <c r="AO75" s="56">
        <f t="shared" si="105"/>
        <v>279417836.07719922</v>
      </c>
      <c r="AP75" s="56">
        <f t="shared" si="92"/>
        <v>0.14708586129414952</v>
      </c>
      <c r="AQ75" s="64">
        <f>IFERROR(s_RadSpec!$G$18*AQ18,".")*$B$75</f>
        <v>0.37770455624999999</v>
      </c>
      <c r="AR75" s="64">
        <f>IFERROR(s_RadSpec!$J$18*AR18,".")*$B$75</f>
        <v>1.9882410078020545E-10</v>
      </c>
      <c r="AS75" s="73">
        <f t="shared" si="93"/>
        <v>0.31456702235659262</v>
      </c>
      <c r="AT75" s="73">
        <f t="shared" si="93"/>
        <v>1.9882410078020545E-10</v>
      </c>
      <c r="AU75" s="73">
        <f t="shared" si="94"/>
        <v>0.31456702249287327</v>
      </c>
    </row>
    <row r="76" spans="1:47" x14ac:dyDescent="0.25">
      <c r="A76" s="55" t="s">
        <v>318</v>
      </c>
      <c r="B76" s="60">
        <v>1.339E-6</v>
      </c>
      <c r="C76" s="56">
        <f>IFERROR(C27/$B62,0)</f>
        <v>0</v>
      </c>
      <c r="D76" s="56">
        <f>IFERROR(D27/$B62,0)</f>
        <v>0</v>
      </c>
      <c r="E76" s="56">
        <f>IFERROR(E27/$B62,0)</f>
        <v>52719161473.460098</v>
      </c>
      <c r="F76" s="56">
        <f t="shared" si="84"/>
        <v>52719161473.460091</v>
      </c>
      <c r="G76" s="64">
        <f>IFERROR(s_RadSpec!$I$27*G27,".")*$B$76</f>
        <v>0</v>
      </c>
      <c r="H76" s="64">
        <f>IFERROR(s_RadSpec!$G$27*H27,".")*$B$76</f>
        <v>0</v>
      </c>
      <c r="I76" s="64">
        <f>IFERROR(s_RadSpec!$F$27*I27,".")*$B$76</f>
        <v>1.0537914194247477E-12</v>
      </c>
      <c r="J76" s="73">
        <f t="shared" si="85"/>
        <v>0</v>
      </c>
      <c r="K76" s="73">
        <f t="shared" si="85"/>
        <v>0</v>
      </c>
      <c r="L76" s="73">
        <f t="shared" si="85"/>
        <v>1.0537914194247477E-12</v>
      </c>
      <c r="M76" s="73">
        <f t="shared" si="86"/>
        <v>1.0537914194247477E-12</v>
      </c>
      <c r="N76" s="56">
        <f>IFERROR(N27/$B62,0)</f>
        <v>0</v>
      </c>
      <c r="O76" s="56">
        <f>IFERROR(O27/$B62,0)</f>
        <v>0</v>
      </c>
      <c r="P76" s="56">
        <f>IFERROR(P27/$B62,0)</f>
        <v>52719161473.460098</v>
      </c>
      <c r="Q76" s="56">
        <f t="shared" si="87"/>
        <v>52719161473.460091</v>
      </c>
      <c r="R76" s="64">
        <f>IFERROR(s_RadSpec!$I$27*R27,".")*$B$76</f>
        <v>0</v>
      </c>
      <c r="S76" s="64">
        <f>IFERROR(s_RadSpec!$G$27*S27,".")*$B$76</f>
        <v>0</v>
      </c>
      <c r="T76" s="64">
        <f>IFERROR(s_RadSpec!$F$27*T27,".")*$B$76</f>
        <v>1.0537914194247477E-12</v>
      </c>
      <c r="U76" s="73">
        <f t="shared" si="88"/>
        <v>0</v>
      </c>
      <c r="V76" s="73">
        <f t="shared" si="88"/>
        <v>0</v>
      </c>
      <c r="W76" s="73">
        <f t="shared" si="88"/>
        <v>1.0537914194247477E-12</v>
      </c>
      <c r="X76" s="73">
        <f t="shared" si="89"/>
        <v>1.0537914194247477E-12</v>
      </c>
      <c r="Y76" s="56">
        <f t="shared" ref="Y76:AO76" si="106">IFERROR(Y27/$B62,0)</f>
        <v>52719161473.460098</v>
      </c>
      <c r="Z76" s="56">
        <f t="shared" si="106"/>
        <v>460493333313.25012</v>
      </c>
      <c r="AA76" s="56">
        <f t="shared" si="106"/>
        <v>132784709851.72945</v>
      </c>
      <c r="AB76" s="56">
        <f t="shared" si="106"/>
        <v>72658473953.024612</v>
      </c>
      <c r="AC76" s="56">
        <f t="shared" si="106"/>
        <v>348525496821.82135</v>
      </c>
      <c r="AD76" s="64">
        <f>IFERROR(s_RadSpec!$F$27*AD27,".")*$B$76</f>
        <v>1.0537914194247477E-12</v>
      </c>
      <c r="AE76" s="64">
        <f>IFERROR(s_RadSpec!$M$27*AE27,".")*$B$76</f>
        <v>1.2064235458151304E-13</v>
      </c>
      <c r="AF76" s="64">
        <f>IFERROR(s_RadSpec!$N$27*AF27,".")*$B$76</f>
        <v>4.1838401471098605E-13</v>
      </c>
      <c r="AG76" s="64">
        <f>IFERROR(s_RadSpec!$O$27*AG27,".")*$B$76</f>
        <v>7.6460455302044455E-13</v>
      </c>
      <c r="AH76" s="64">
        <f>IFERROR(s_RadSpec!$K$27*AH27,".")*$B$76</f>
        <v>1.5940010273739512E-13</v>
      </c>
      <c r="AI76" s="73">
        <f t="shared" si="91"/>
        <v>1.0537914194247477E-12</v>
      </c>
      <c r="AJ76" s="73">
        <f t="shared" si="91"/>
        <v>1.2064235458151304E-13</v>
      </c>
      <c r="AK76" s="73">
        <f t="shared" si="91"/>
        <v>4.1838401471098605E-13</v>
      </c>
      <c r="AL76" s="73">
        <f t="shared" si="91"/>
        <v>7.6460455302044455E-13</v>
      </c>
      <c r="AM76" s="73">
        <f t="shared" si="91"/>
        <v>1.5940010273739512E-13</v>
      </c>
      <c r="AN76" s="56">
        <f t="shared" si="106"/>
        <v>0</v>
      </c>
      <c r="AO76" s="56">
        <f t="shared" si="106"/>
        <v>928027176261.48499</v>
      </c>
      <c r="AP76" s="56">
        <f t="shared" si="92"/>
        <v>928027176261.48499</v>
      </c>
      <c r="AQ76" s="64">
        <f>IFERROR(s_RadSpec!$G$27*AQ27,".")*$B$76</f>
        <v>0</v>
      </c>
      <c r="AR76" s="64">
        <f>IFERROR(s_RadSpec!$J$27*AR27,".")*$B$76</f>
        <v>5.9863548634212173E-14</v>
      </c>
      <c r="AS76" s="73">
        <f t="shared" si="93"/>
        <v>0</v>
      </c>
      <c r="AT76" s="73">
        <f t="shared" si="93"/>
        <v>5.9863548634212173E-14</v>
      </c>
      <c r="AU76" s="73">
        <f t="shared" si="94"/>
        <v>5.9863548634212173E-14</v>
      </c>
    </row>
  </sheetData>
  <sheetProtection algorithmName="SHA-512" hashValue="LCtndY+7kO5uvE36PEvkRKxVx3eYOgaLKT36L+w40uM3Ks/UVfnnhWa7BGmO/tTMViKSpEwL9QpRr1Mvhc+H9w==" saltValue="pwms9zJnNJJ4+Rd5nvwWxg==" spinCount="100000" sheet="1" objects="1" scenarios="1" formatColumns="0" formatRows="0" autoFilter="0"/>
  <autoFilter ref="A1:AU76" xr:uid="{C9F26CDA-4FFC-4E00-BAEB-7125B63A60D5}"/>
  <pageMargins left="0.7" right="0.7" top="0.75" bottom="0.75" header="0.3" footer="0.3"/>
  <pageSetup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dimension ref="A1:X63"/>
  <sheetViews>
    <sheetView zoomScale="80" zoomScaleNormal="80" workbookViewId="0">
      <pane ySplit="1" topLeftCell="A2" activePane="bottomLeft" state="frozen"/>
      <selection pane="bottomLeft" activeCell="A2" sqref="A2"/>
    </sheetView>
  </sheetViews>
  <sheetFormatPr defaultColWidth="12.42578125" defaultRowHeight="15" x14ac:dyDescent="0.25"/>
  <cols>
    <col min="1" max="1" width="10" style="82" customWidth="1"/>
    <col min="2" max="2" width="12.42578125" style="82"/>
    <col min="3" max="3" width="14.85546875" style="82" bestFit="1" customWidth="1"/>
    <col min="4" max="4" width="12.140625" style="82" customWidth="1"/>
    <col min="5" max="5" width="12.42578125" style="82"/>
    <col min="6" max="6" width="15" style="82" bestFit="1" customWidth="1"/>
    <col min="7" max="7" width="12.28515625" style="82" customWidth="1"/>
    <col min="8" max="8" width="12.42578125" style="82"/>
    <col min="9" max="9" width="15" style="82" bestFit="1" customWidth="1"/>
    <col min="10" max="10" width="10.42578125" style="82" customWidth="1"/>
    <col min="11" max="11" width="12.42578125" style="82"/>
    <col min="12" max="12" width="15" style="82" bestFit="1" customWidth="1"/>
    <col min="13" max="13" width="12.140625" style="82" customWidth="1"/>
    <col min="14" max="14" width="12.42578125" style="82"/>
    <col min="15" max="15" width="15" style="82" bestFit="1" customWidth="1"/>
    <col min="16" max="16" width="11.42578125" style="82" customWidth="1"/>
    <col min="17" max="17" width="12.42578125" style="82"/>
    <col min="18" max="18" width="20.5703125" style="82" bestFit="1" customWidth="1"/>
    <col min="19" max="20" width="12.42578125" style="82"/>
    <col min="21" max="21" width="20.5703125" style="82" bestFit="1" customWidth="1"/>
    <col min="22" max="23" width="12.42578125" style="82"/>
    <col min="24" max="24" width="26.5703125" style="82" bestFit="1" customWidth="1"/>
    <col min="25" max="16384" width="12.42578125" style="82"/>
  </cols>
  <sheetData>
    <row r="1" spans="1:24" ht="18.75" x14ac:dyDescent="0.3">
      <c r="A1" s="101" t="s">
        <v>52</v>
      </c>
      <c r="B1" s="101"/>
      <c r="C1" s="101"/>
      <c r="D1" s="102" t="s">
        <v>342</v>
      </c>
      <c r="E1" s="102"/>
      <c r="F1" s="102"/>
      <c r="G1" s="103" t="s">
        <v>343</v>
      </c>
      <c r="H1" s="103"/>
      <c r="I1" s="103"/>
      <c r="J1" s="104" t="s">
        <v>344</v>
      </c>
      <c r="K1" s="104"/>
      <c r="L1" s="104"/>
      <c r="M1" s="105" t="s">
        <v>345</v>
      </c>
      <c r="N1" s="105"/>
      <c r="O1" s="105"/>
      <c r="P1" s="106" t="s">
        <v>346</v>
      </c>
      <c r="Q1" s="106"/>
      <c r="R1" s="106"/>
      <c r="S1" s="99" t="s">
        <v>347</v>
      </c>
      <c r="T1" s="99"/>
      <c r="U1" s="99"/>
      <c r="V1" s="100" t="s">
        <v>348</v>
      </c>
      <c r="W1" s="100"/>
      <c r="X1" s="100"/>
    </row>
    <row r="2" spans="1:24" ht="18.75" x14ac:dyDescent="0.35">
      <c r="A2" s="82" t="s">
        <v>273</v>
      </c>
      <c r="B2" s="40">
        <v>9.9999999999999995E-7</v>
      </c>
      <c r="C2" s="82" t="s">
        <v>349</v>
      </c>
      <c r="D2" s="82" t="s">
        <v>256</v>
      </c>
      <c r="E2" s="41">
        <v>20</v>
      </c>
      <c r="F2" s="3" t="s">
        <v>53</v>
      </c>
      <c r="G2" s="82" t="s">
        <v>255</v>
      </c>
      <c r="H2" s="41">
        <v>20</v>
      </c>
      <c r="I2" s="3" t="s">
        <v>53</v>
      </c>
      <c r="J2" s="82" t="s">
        <v>254</v>
      </c>
      <c r="K2" s="41">
        <v>20</v>
      </c>
      <c r="L2" s="3" t="s">
        <v>53</v>
      </c>
      <c r="M2" s="82" t="s">
        <v>257</v>
      </c>
      <c r="N2" s="41">
        <v>1</v>
      </c>
      <c r="O2" s="3" t="s">
        <v>53</v>
      </c>
      <c r="P2" s="82" t="s">
        <v>174</v>
      </c>
      <c r="Q2" s="92">
        <f>s_Q_C_wind*((3600)/(Q12*(1-s_V)*((s_Um/s_Ut)^3)*s_F_x))</f>
        <v>310235478.05778408</v>
      </c>
      <c r="R2" s="82" t="s">
        <v>95</v>
      </c>
      <c r="S2" s="82" t="s">
        <v>184</v>
      </c>
      <c r="T2" s="92">
        <f>s_Q_C_sc*(1/s_F_D)*((s_T_t*s_A_R)/(((2.6*((s_s/12)^0.8)*((s_W/3)^0.4))/((s_M_dry/0.2)^0.3))*((365-s_p_days)/365)*281.9*s_Σ_VKT))</f>
        <v>508471.93442795402</v>
      </c>
      <c r="U2" s="82" t="s">
        <v>95</v>
      </c>
      <c r="V2" s="82" t="s">
        <v>207</v>
      </c>
      <c r="W2" s="92">
        <f>s_Q_C__sc*(1/s_F_D)*(1/s_J__T)</f>
        <v>3197981.7271437394</v>
      </c>
      <c r="X2" s="82" t="s">
        <v>95</v>
      </c>
    </row>
    <row r="3" spans="1:24" ht="18" x14ac:dyDescent="0.35">
      <c r="A3" s="84" t="s">
        <v>287</v>
      </c>
      <c r="B3" s="42">
        <v>55555</v>
      </c>
      <c r="C3" s="3" t="s">
        <v>350</v>
      </c>
      <c r="D3" s="82" t="s">
        <v>260</v>
      </c>
      <c r="E3" s="91">
        <f>s_ED_ind</f>
        <v>20</v>
      </c>
      <c r="F3" s="3" t="s">
        <v>53</v>
      </c>
      <c r="G3" s="82" t="s">
        <v>259</v>
      </c>
      <c r="H3" s="91">
        <f>s_ED_out</f>
        <v>20</v>
      </c>
      <c r="I3" s="3" t="s">
        <v>53</v>
      </c>
      <c r="J3" s="82" t="s">
        <v>258</v>
      </c>
      <c r="K3" s="91">
        <f>s_ED_com</f>
        <v>20</v>
      </c>
      <c r="L3" s="3" t="s">
        <v>53</v>
      </c>
      <c r="M3" s="82" t="s">
        <v>261</v>
      </c>
      <c r="N3" s="91" t="e">
        <f>ED_cw</f>
        <v>#NAME?</v>
      </c>
      <c r="O3" s="3" t="s">
        <v>53</v>
      </c>
      <c r="P3" s="85" t="s">
        <v>175</v>
      </c>
      <c r="Q3" s="41">
        <v>5</v>
      </c>
      <c r="R3" s="82" t="s">
        <v>97</v>
      </c>
      <c r="S3" s="82" t="s">
        <v>185</v>
      </c>
      <c r="T3" s="96">
        <f>s_A_sc*EXP((((LN(s_Ac))-s_B_sc)^2)/s_C_sc)</f>
        <v>16.403103329458006</v>
      </c>
      <c r="U3" s="82" t="s">
        <v>351</v>
      </c>
      <c r="V3" s="82" t="s">
        <v>208</v>
      </c>
      <c r="W3" s="96">
        <f>s_A__sc*EXP((((LN(s_Ac))-s_B__sc)^2)/s_C__sc)</f>
        <v>9.4355742285493491</v>
      </c>
      <c r="X3" s="82" t="s">
        <v>351</v>
      </c>
    </row>
    <row r="4" spans="1:24" ht="18.75" x14ac:dyDescent="0.35">
      <c r="A4" s="84" t="s">
        <v>171</v>
      </c>
      <c r="B4" s="43">
        <v>0.5</v>
      </c>
      <c r="C4" s="82" t="s">
        <v>352</v>
      </c>
      <c r="D4" s="84" t="s">
        <v>247</v>
      </c>
      <c r="E4" s="42">
        <v>30</v>
      </c>
      <c r="F4" s="84" t="s">
        <v>59</v>
      </c>
      <c r="G4" s="84" t="s">
        <v>248</v>
      </c>
      <c r="H4" s="42">
        <v>30</v>
      </c>
      <c r="I4" s="84" t="s">
        <v>59</v>
      </c>
      <c r="J4" s="84" t="s">
        <v>285</v>
      </c>
      <c r="K4" s="42">
        <v>30</v>
      </c>
      <c r="L4" s="84" t="s">
        <v>59</v>
      </c>
      <c r="M4" s="84" t="s">
        <v>249</v>
      </c>
      <c r="N4" s="42">
        <v>30</v>
      </c>
      <c r="O4" s="84" t="s">
        <v>59</v>
      </c>
      <c r="P4" s="85" t="s">
        <v>176</v>
      </c>
      <c r="Q4" s="41">
        <v>11.32</v>
      </c>
      <c r="R4" s="82" t="s">
        <v>97</v>
      </c>
      <c r="S4" s="82" t="s">
        <v>186</v>
      </c>
      <c r="T4" s="96">
        <f>s_ED_con*s_EF_cw*s_ET_cw_o*3600</f>
        <v>1350000</v>
      </c>
      <c r="U4" s="83" t="s">
        <v>103</v>
      </c>
      <c r="V4" s="82" t="s">
        <v>209</v>
      </c>
      <c r="W4" s="96">
        <f>(s_M_pc_wind+s_M_excav+s_M_doz+s_M_grade+s_M_till)/(s_A_surf*s_T_t)</f>
        <v>1.5822450086592103E-5</v>
      </c>
      <c r="X4" s="82" t="s">
        <v>353</v>
      </c>
    </row>
    <row r="5" spans="1:24" ht="18" x14ac:dyDescent="0.25">
      <c r="A5" s="86" t="s">
        <v>172</v>
      </c>
      <c r="B5" s="42">
        <v>2</v>
      </c>
      <c r="C5" s="82" t="s">
        <v>354</v>
      </c>
      <c r="D5" s="84" t="s">
        <v>251</v>
      </c>
      <c r="E5" s="42">
        <v>25</v>
      </c>
      <c r="F5" s="84" t="s">
        <v>54</v>
      </c>
      <c r="G5" s="84" t="s">
        <v>252</v>
      </c>
      <c r="H5" s="42">
        <v>50</v>
      </c>
      <c r="I5" s="84" t="s">
        <v>54</v>
      </c>
      <c r="J5" s="84" t="s">
        <v>250</v>
      </c>
      <c r="K5" s="42">
        <v>50</v>
      </c>
      <c r="L5" s="84" t="s">
        <v>54</v>
      </c>
      <c r="M5" s="84" t="s">
        <v>253</v>
      </c>
      <c r="N5" s="42">
        <v>55</v>
      </c>
      <c r="O5" s="84" t="s">
        <v>54</v>
      </c>
      <c r="P5" s="87" t="s">
        <v>177</v>
      </c>
      <c r="Q5" s="44">
        <v>0.28499999999999998</v>
      </c>
      <c r="R5" s="83" t="s">
        <v>60</v>
      </c>
      <c r="S5" s="82" t="s">
        <v>187</v>
      </c>
      <c r="T5" s="96">
        <f>s_L_R*s_W_R*T24</f>
        <v>650.35544785183583</v>
      </c>
      <c r="U5" s="83" t="s">
        <v>105</v>
      </c>
      <c r="V5" s="82" t="s">
        <v>210</v>
      </c>
      <c r="W5" s="96">
        <f>0.036*(1-s_V)*((s_Um/s_Ut)^3)*s_F_x*s_ED_con*s_A_surf*8760</f>
        <v>117536.20049101896</v>
      </c>
      <c r="X5" s="83" t="s">
        <v>128</v>
      </c>
    </row>
    <row r="6" spans="1:24" ht="18" x14ac:dyDescent="0.25">
      <c r="A6" s="86" t="s">
        <v>173</v>
      </c>
      <c r="B6" s="42">
        <v>0.4</v>
      </c>
      <c r="C6" s="82" t="s">
        <v>354</v>
      </c>
      <c r="D6" s="84" t="s">
        <v>237</v>
      </c>
      <c r="E6" s="42">
        <v>55</v>
      </c>
      <c r="F6" s="84" t="s">
        <v>55</v>
      </c>
      <c r="G6" s="84" t="s">
        <v>238</v>
      </c>
      <c r="H6" s="42">
        <v>55</v>
      </c>
      <c r="I6" s="84" t="s">
        <v>55</v>
      </c>
      <c r="J6" s="84" t="s">
        <v>236</v>
      </c>
      <c r="K6" s="42">
        <v>55</v>
      </c>
      <c r="L6" s="84" t="s">
        <v>55</v>
      </c>
      <c r="M6" s="84" t="s">
        <v>194</v>
      </c>
      <c r="N6" s="98">
        <f>s_DW_cw*s_EW_cw</f>
        <v>75</v>
      </c>
      <c r="O6" s="84" t="s">
        <v>55</v>
      </c>
      <c r="P6" s="87" t="s">
        <v>178</v>
      </c>
      <c r="Q6" s="44">
        <v>0.25</v>
      </c>
      <c r="R6" s="82" t="s">
        <v>354</v>
      </c>
      <c r="S6" s="82" t="s">
        <v>188</v>
      </c>
      <c r="T6" s="96">
        <f>((s_N_cars*T26)+(s_N_trucks*T27))/(s_N_cars+s_N_trucks)</f>
        <v>8</v>
      </c>
      <c r="U6" s="83" t="s">
        <v>107</v>
      </c>
      <c r="V6" s="82" t="s">
        <v>211</v>
      </c>
      <c r="W6" s="96">
        <f>(0.35*0.0016*((s_Um/2.2)^1.3)/((s_M_m_excav/2)^1.4))*s_ρ_soil*s_A_excav*s_d_excav*s_N_A_dump*1000</f>
        <v>282139.27938829322</v>
      </c>
      <c r="X6" s="83" t="s">
        <v>128</v>
      </c>
    </row>
    <row r="7" spans="1:24" ht="18" x14ac:dyDescent="0.35">
      <c r="C7" s="82" t="s">
        <v>354</v>
      </c>
      <c r="D7" s="84" t="s">
        <v>241</v>
      </c>
      <c r="E7" s="42">
        <v>0</v>
      </c>
      <c r="F7" s="84" t="s">
        <v>355</v>
      </c>
      <c r="G7" s="84" t="s">
        <v>243</v>
      </c>
      <c r="H7" s="42">
        <v>5</v>
      </c>
      <c r="I7" s="84" t="s">
        <v>355</v>
      </c>
      <c r="J7" s="84" t="s">
        <v>239</v>
      </c>
      <c r="K7" s="42">
        <v>2</v>
      </c>
      <c r="L7" s="84" t="s">
        <v>355</v>
      </c>
      <c r="M7" s="84" t="s">
        <v>200</v>
      </c>
      <c r="N7" s="42">
        <v>3</v>
      </c>
      <c r="O7" s="84" t="s">
        <v>79</v>
      </c>
      <c r="P7" s="82" t="s">
        <v>179</v>
      </c>
      <c r="Q7" s="96">
        <f>s_A_wind*EXP((((LN(s_As))-s_B_wind)^2)/s_C_wind)</f>
        <v>57.143694778447667</v>
      </c>
      <c r="R7" s="82" t="s">
        <v>351</v>
      </c>
      <c r="S7" s="82" t="s">
        <v>189</v>
      </c>
      <c r="T7" s="96">
        <f>(s_N_cars+s_N_trucks)*s_distance*s_EW_cw*s_DW_cw</f>
        <v>320.05695269028917</v>
      </c>
      <c r="U7" s="83" t="s">
        <v>109</v>
      </c>
      <c r="V7" s="82" t="s">
        <v>212</v>
      </c>
      <c r="W7" s="96">
        <f>0.75*((0.45*(s_s_doz^1.5))/(s_M_m_doz^1.4))*(s_Σ_VKT_doz/s_S_doz_speed)*1000</f>
        <v>1604.3679661535591</v>
      </c>
      <c r="X7" s="83" t="s">
        <v>128</v>
      </c>
    </row>
    <row r="8" spans="1:24" x14ac:dyDescent="0.25">
      <c r="D8" s="84" t="s">
        <v>242</v>
      </c>
      <c r="E8" s="42">
        <v>5</v>
      </c>
      <c r="F8" s="84" t="s">
        <v>356</v>
      </c>
      <c r="G8" s="84" t="s">
        <v>244</v>
      </c>
      <c r="H8" s="42">
        <v>0</v>
      </c>
      <c r="I8" s="84" t="s">
        <v>356</v>
      </c>
      <c r="J8" s="84" t="s">
        <v>240</v>
      </c>
      <c r="K8" s="42">
        <v>3</v>
      </c>
      <c r="L8" s="84" t="s">
        <v>356</v>
      </c>
      <c r="M8" s="84" t="s">
        <v>199</v>
      </c>
      <c r="N8" s="42">
        <v>25</v>
      </c>
      <c r="O8" s="84" t="s">
        <v>81</v>
      </c>
      <c r="P8" s="87" t="s">
        <v>180</v>
      </c>
      <c r="Q8" s="44">
        <v>5</v>
      </c>
      <c r="R8" s="83" t="s">
        <v>102</v>
      </c>
      <c r="S8" s="82" t="s">
        <v>190</v>
      </c>
      <c r="T8" s="97">
        <f>0.1852+(5.3537/s_t_c)+(-9.6318/(s_t_c)^2)</f>
        <v>0.18647414445578231</v>
      </c>
      <c r="U8" s="83" t="s">
        <v>60</v>
      </c>
      <c r="V8" s="82" t="s">
        <v>213</v>
      </c>
      <c r="W8" s="96">
        <f>0.6*0.0056*(s_S_grade^2)*s_Σ_VKT_grade*1000</f>
        <v>1699.7399999999998</v>
      </c>
      <c r="X8" s="83" t="s">
        <v>128</v>
      </c>
    </row>
    <row r="9" spans="1:24" ht="18" x14ac:dyDescent="0.35">
      <c r="M9" s="84" t="s">
        <v>245</v>
      </c>
      <c r="N9" s="42">
        <v>5</v>
      </c>
      <c r="O9" s="84" t="s">
        <v>355</v>
      </c>
      <c r="P9" s="82" t="s">
        <v>181</v>
      </c>
      <c r="Q9" s="46">
        <v>15.0235</v>
      </c>
      <c r="R9" s="83"/>
      <c r="S9" s="82" t="s">
        <v>191</v>
      </c>
      <c r="T9" s="96">
        <f>s_ED_con*s_EW_cw*T22*T23</f>
        <v>4200</v>
      </c>
      <c r="U9" s="83" t="s">
        <v>112</v>
      </c>
      <c r="V9" s="82" t="s">
        <v>214</v>
      </c>
      <c r="W9" s="96">
        <f>1.1*(s_s_till^0.6)*s_A_till*4047*(1/10000)*1000*s_N_A_till</f>
        <v>29231.284567160626</v>
      </c>
      <c r="X9" s="83" t="s">
        <v>128</v>
      </c>
    </row>
    <row r="10" spans="1:24" ht="18" x14ac:dyDescent="0.35">
      <c r="M10" s="84" t="s">
        <v>246</v>
      </c>
      <c r="N10" s="42">
        <v>0</v>
      </c>
      <c r="O10" s="84" t="s">
        <v>356</v>
      </c>
      <c r="P10" s="82" t="s">
        <v>182</v>
      </c>
      <c r="Q10" s="46">
        <v>18.252600000000001</v>
      </c>
      <c r="R10" s="83"/>
      <c r="S10" s="82" t="s">
        <v>192</v>
      </c>
      <c r="T10" s="96">
        <f>SQRT(s_Ac*43560.17)</f>
        <v>466.69138625005706</v>
      </c>
      <c r="U10" s="83" t="s">
        <v>114</v>
      </c>
      <c r="V10" s="82" t="s">
        <v>215</v>
      </c>
      <c r="W10" s="96">
        <f>s_Ac*4046.86</f>
        <v>20234.3</v>
      </c>
      <c r="X10" s="83" t="s">
        <v>105</v>
      </c>
    </row>
    <row r="11" spans="1:24" ht="18" x14ac:dyDescent="0.35">
      <c r="P11" s="82" t="s">
        <v>183</v>
      </c>
      <c r="Q11" s="46">
        <v>207.33869999999999</v>
      </c>
      <c r="R11" s="83"/>
      <c r="S11" s="82" t="s">
        <v>193</v>
      </c>
      <c r="T11" s="96">
        <f>s_L_R*0.0003048</f>
        <v>0.14224753452901739</v>
      </c>
      <c r="U11" s="83" t="s">
        <v>116</v>
      </c>
      <c r="V11" s="82" t="s">
        <v>216</v>
      </c>
      <c r="W11" s="96">
        <f>s_Ac_doz*4047*(1/s_B_doz)*(1/1000)*s_N_A_doz</f>
        <v>20.234999999999999</v>
      </c>
      <c r="X11" s="83" t="s">
        <v>109</v>
      </c>
    </row>
    <row r="12" spans="1:24" x14ac:dyDescent="0.25">
      <c r="P12" s="83"/>
      <c r="Q12" s="44">
        <v>3.5999999999999997E-2</v>
      </c>
      <c r="R12" s="82" t="s">
        <v>357</v>
      </c>
      <c r="S12" s="82" t="s">
        <v>195</v>
      </c>
      <c r="T12" s="44">
        <v>15</v>
      </c>
      <c r="U12" s="83" t="s">
        <v>114</v>
      </c>
      <c r="V12" s="82" t="s">
        <v>217</v>
      </c>
      <c r="W12" s="96">
        <f>s_Ac_grade*4047*(1/s_B_grade)*(1/1000)*s_N_A_grade</f>
        <v>20.234999999999999</v>
      </c>
      <c r="X12" s="83" t="s">
        <v>109</v>
      </c>
    </row>
    <row r="13" spans="1:24" x14ac:dyDescent="0.25">
      <c r="S13" s="82" t="s">
        <v>196</v>
      </c>
      <c r="T13" s="44">
        <v>20</v>
      </c>
      <c r="U13" s="82" t="s">
        <v>358</v>
      </c>
      <c r="V13" s="87" t="s">
        <v>218</v>
      </c>
      <c r="W13" s="44">
        <v>5</v>
      </c>
      <c r="X13" s="83" t="s">
        <v>137</v>
      </c>
    </row>
    <row r="14" spans="1:24" x14ac:dyDescent="0.25">
      <c r="S14" s="82" t="s">
        <v>197</v>
      </c>
      <c r="T14" s="44">
        <v>10</v>
      </c>
      <c r="U14" s="82" t="s">
        <v>359</v>
      </c>
      <c r="V14" s="87" t="s">
        <v>219</v>
      </c>
      <c r="W14" s="44">
        <v>5000</v>
      </c>
      <c r="X14" s="83" t="s">
        <v>105</v>
      </c>
    </row>
    <row r="15" spans="1:24" x14ac:dyDescent="0.25">
      <c r="S15" s="82" t="s">
        <v>198</v>
      </c>
      <c r="T15" s="44">
        <v>5</v>
      </c>
      <c r="U15" s="83" t="s">
        <v>102</v>
      </c>
      <c r="V15" s="87" t="s">
        <v>220</v>
      </c>
      <c r="W15" s="44">
        <v>5</v>
      </c>
      <c r="X15" s="83" t="s">
        <v>82</v>
      </c>
    </row>
    <row r="16" spans="1:24" x14ac:dyDescent="0.25">
      <c r="S16" s="82" t="s">
        <v>201</v>
      </c>
      <c r="T16" s="44">
        <v>0.15</v>
      </c>
      <c r="U16" s="83" t="s">
        <v>121</v>
      </c>
      <c r="V16" s="87" t="s">
        <v>221</v>
      </c>
      <c r="W16" s="44">
        <v>5</v>
      </c>
      <c r="X16" s="82" t="s">
        <v>360</v>
      </c>
    </row>
    <row r="17" spans="4:24" ht="18" x14ac:dyDescent="0.35">
      <c r="S17" s="82" t="s">
        <v>202</v>
      </c>
      <c r="T17" s="44">
        <v>70</v>
      </c>
      <c r="U17" s="83" t="s">
        <v>55</v>
      </c>
      <c r="V17" s="87" t="s">
        <v>222</v>
      </c>
      <c r="W17" s="44">
        <v>5</v>
      </c>
      <c r="X17" s="83" t="s">
        <v>121</v>
      </c>
    </row>
    <row r="18" spans="4:24" x14ac:dyDescent="0.25">
      <c r="S18" s="82" t="s">
        <v>203</v>
      </c>
      <c r="T18" s="44">
        <v>5</v>
      </c>
      <c r="U18" s="83" t="s">
        <v>121</v>
      </c>
      <c r="V18" s="87" t="s">
        <v>223</v>
      </c>
      <c r="W18" s="44">
        <v>5</v>
      </c>
      <c r="X18" s="83" t="s">
        <v>121</v>
      </c>
    </row>
    <row r="19" spans="4:24" ht="18" x14ac:dyDescent="0.35">
      <c r="S19" s="82" t="s">
        <v>204</v>
      </c>
      <c r="T19" s="46">
        <v>12.9351</v>
      </c>
      <c r="U19" s="83"/>
      <c r="V19" s="87" t="s">
        <v>224</v>
      </c>
      <c r="W19" s="44">
        <v>5</v>
      </c>
      <c r="X19" s="83" t="s">
        <v>121</v>
      </c>
    </row>
    <row r="20" spans="4:24" ht="18" x14ac:dyDescent="0.35">
      <c r="S20" s="82" t="s">
        <v>205</v>
      </c>
      <c r="T20" s="46">
        <v>5.7382999999999997</v>
      </c>
      <c r="U20" s="83"/>
      <c r="V20" s="87" t="s">
        <v>225</v>
      </c>
      <c r="W20" s="44">
        <v>5</v>
      </c>
      <c r="X20" s="83" t="s">
        <v>144</v>
      </c>
    </row>
    <row r="21" spans="4:24" ht="18" x14ac:dyDescent="0.35">
      <c r="S21" s="82" t="s">
        <v>206</v>
      </c>
      <c r="T21" s="46">
        <v>71.771100000000004</v>
      </c>
      <c r="U21" s="83"/>
      <c r="V21" s="87" t="s">
        <v>226</v>
      </c>
      <c r="W21" s="44">
        <v>5</v>
      </c>
      <c r="X21" s="83" t="s">
        <v>144</v>
      </c>
    </row>
    <row r="22" spans="4:24" x14ac:dyDescent="0.25">
      <c r="S22" s="83"/>
      <c r="T22" s="44">
        <v>7</v>
      </c>
      <c r="U22" s="83" t="s">
        <v>79</v>
      </c>
      <c r="V22" s="87" t="s">
        <v>227</v>
      </c>
      <c r="W22" s="44">
        <v>5</v>
      </c>
      <c r="X22" s="83" t="s">
        <v>121</v>
      </c>
    </row>
    <row r="23" spans="4:24" x14ac:dyDescent="0.25">
      <c r="S23" s="83"/>
      <c r="T23" s="44">
        <v>24</v>
      </c>
      <c r="U23" s="83" t="s">
        <v>56</v>
      </c>
      <c r="V23" s="87" t="s">
        <v>228</v>
      </c>
      <c r="W23" s="44">
        <v>5</v>
      </c>
      <c r="X23" s="83" t="s">
        <v>102</v>
      </c>
    </row>
    <row r="24" spans="4:24" x14ac:dyDescent="0.25">
      <c r="S24" s="83"/>
      <c r="T24" s="44">
        <v>9.2902999999999999E-2</v>
      </c>
      <c r="U24" s="83" t="s">
        <v>123</v>
      </c>
      <c r="V24" s="87" t="s">
        <v>229</v>
      </c>
      <c r="W24" s="44">
        <v>5</v>
      </c>
      <c r="X24" s="82" t="s">
        <v>361</v>
      </c>
    </row>
    <row r="25" spans="4:24" x14ac:dyDescent="0.25">
      <c r="S25" s="83"/>
      <c r="T25" s="44">
        <v>365</v>
      </c>
      <c r="U25" s="83" t="s">
        <v>55</v>
      </c>
      <c r="V25" s="87" t="s">
        <v>230</v>
      </c>
      <c r="W25" s="44">
        <v>5</v>
      </c>
      <c r="X25" s="83" t="s">
        <v>102</v>
      </c>
    </row>
    <row r="26" spans="4:24" x14ac:dyDescent="0.25">
      <c r="S26" s="83"/>
      <c r="T26" s="44">
        <v>2</v>
      </c>
      <c r="U26" s="83" t="s">
        <v>124</v>
      </c>
      <c r="V26" s="87" t="s">
        <v>231</v>
      </c>
      <c r="W26" s="44">
        <v>5</v>
      </c>
      <c r="X26" s="83" t="s">
        <v>102</v>
      </c>
    </row>
    <row r="27" spans="4:24" x14ac:dyDescent="0.25">
      <c r="S27" s="83"/>
      <c r="T27" s="44">
        <v>20</v>
      </c>
      <c r="U27" s="83" t="s">
        <v>125</v>
      </c>
      <c r="V27" s="87" t="s">
        <v>266</v>
      </c>
      <c r="W27" s="44">
        <v>5</v>
      </c>
      <c r="X27" s="83" t="s">
        <v>82</v>
      </c>
    </row>
    <row r="28" spans="4:24" x14ac:dyDescent="0.25">
      <c r="V28" s="87" t="s">
        <v>267</v>
      </c>
      <c r="W28" s="44">
        <v>5</v>
      </c>
      <c r="X28" s="83" t="s">
        <v>82</v>
      </c>
    </row>
    <row r="29" spans="4:24" x14ac:dyDescent="0.25">
      <c r="V29" s="87" t="s">
        <v>232</v>
      </c>
      <c r="W29" s="44">
        <v>5</v>
      </c>
      <c r="X29" s="82" t="s">
        <v>362</v>
      </c>
    </row>
    <row r="30" spans="4:24" x14ac:dyDescent="0.25">
      <c r="V30" s="87" t="s">
        <v>265</v>
      </c>
      <c r="W30" s="41">
        <v>5</v>
      </c>
      <c r="X30" s="82" t="s">
        <v>363</v>
      </c>
    </row>
    <row r="31" spans="4:24" ht="18" x14ac:dyDescent="0.35">
      <c r="V31" s="82" t="s">
        <v>233</v>
      </c>
      <c r="W31" s="46">
        <v>2.4538000000000002</v>
      </c>
      <c r="X31" s="83"/>
    </row>
    <row r="32" spans="4:24" ht="18" x14ac:dyDescent="0.35">
      <c r="D32" s="84"/>
      <c r="E32" s="42"/>
      <c r="V32" s="82" t="s">
        <v>234</v>
      </c>
      <c r="W32" s="46">
        <v>17.565999999999999</v>
      </c>
    </row>
    <row r="33" spans="4:23" ht="18" x14ac:dyDescent="0.35">
      <c r="F33" s="84"/>
      <c r="V33" s="82" t="s">
        <v>235</v>
      </c>
      <c r="W33" s="46">
        <v>189.04259999999999</v>
      </c>
    </row>
    <row r="41" spans="4:23" x14ac:dyDescent="0.25">
      <c r="D41" s="84"/>
      <c r="E41" s="42"/>
      <c r="F41" s="84"/>
    </row>
    <row r="61" spans="4:6" x14ac:dyDescent="0.25">
      <c r="D61" s="84"/>
      <c r="E61" s="42"/>
      <c r="F61" s="95"/>
    </row>
    <row r="62" spans="4:6" x14ac:dyDescent="0.25">
      <c r="D62" s="84"/>
      <c r="E62" s="42"/>
      <c r="F62" s="95"/>
    </row>
    <row r="63" spans="4:6" x14ac:dyDescent="0.25">
      <c r="D63" s="84"/>
      <c r="E63" s="42"/>
      <c r="F63" s="95"/>
    </row>
  </sheetData>
  <sheetProtection algorithmName="SHA-512" hashValue="iXmVL/RejXRz3uydPWkaexRCPfuc6zpxE4PDJYi6oICdJbN6Dyag1xGLmUnsKNCD4bAQVIiIcKSw0Ayp3smfSw==" saltValue="ScEYKJEyZOGplxkkG3xG1w==" spinCount="100000" sheet="1" formatColumns="0" formatRows="0" autoFilter="0"/>
  <mergeCells count="8">
    <mergeCell ref="P1:R1"/>
    <mergeCell ref="S1:U1"/>
    <mergeCell ref="V1:X1"/>
    <mergeCell ref="A1:C1"/>
    <mergeCell ref="D1:F1"/>
    <mergeCell ref="G1:I1"/>
    <mergeCell ref="J1:L1"/>
    <mergeCell ref="M1:O1"/>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5"/>
  <dimension ref="A1:AK30"/>
  <sheetViews>
    <sheetView zoomScale="90" zoomScaleNormal="90" workbookViewId="0">
      <pane xSplit="2" ySplit="1" topLeftCell="C2" activePane="bottomRight" state="frozen"/>
      <selection pane="topRight" activeCell="C1" sqref="C1"/>
      <selection pane="bottomLeft" activeCell="A2" sqref="A2"/>
      <selection pane="bottomRight" activeCell="C2" sqref="C2"/>
    </sheetView>
  </sheetViews>
  <sheetFormatPr defaultColWidth="9.140625" defaultRowHeight="15" x14ac:dyDescent="0.25"/>
  <cols>
    <col min="1" max="1" width="15.42578125" style="50" bestFit="1" customWidth="1"/>
    <col min="2" max="2" width="11.5703125" style="50" bestFit="1" customWidth="1"/>
    <col min="3" max="3" width="10.28515625" style="50" bestFit="1" customWidth="1"/>
    <col min="4" max="4" width="9" style="3" bestFit="1" customWidth="1"/>
    <col min="5" max="8" width="9" style="4" bestFit="1" customWidth="1"/>
    <col min="9" max="9" width="9.85546875" style="4" bestFit="1" customWidth="1"/>
    <col min="10" max="10" width="11" style="4" bestFit="1" customWidth="1"/>
    <col min="11" max="11" width="9.7109375" style="4" bestFit="1" customWidth="1"/>
    <col min="12" max="14" width="10.7109375" style="4" bestFit="1" customWidth="1"/>
    <col min="15" max="15" width="11.85546875" style="4" bestFit="1" customWidth="1"/>
    <col min="16" max="16" width="9.7109375" style="4" customWidth="1"/>
    <col min="17" max="17" width="9.7109375" style="4" bestFit="1" customWidth="1"/>
    <col min="18" max="19" width="10.7109375" style="4" bestFit="1" customWidth="1"/>
    <col min="20" max="20" width="11.85546875" style="4" bestFit="1" customWidth="1"/>
    <col min="21" max="21" width="9.85546875" style="4" bestFit="1" customWidth="1"/>
    <col min="22" max="22" width="9.7109375" style="4" bestFit="1" customWidth="1"/>
    <col min="23" max="24" width="10.7109375" style="4" bestFit="1" customWidth="1"/>
    <col min="25" max="25" width="11.85546875" style="4" bestFit="1" customWidth="1"/>
    <col min="26" max="26" width="10.42578125" style="4" customWidth="1"/>
    <col min="27" max="27" width="10.28515625" style="4" customWidth="1"/>
    <col min="28" max="29" width="11.28515625" style="4" customWidth="1"/>
    <col min="30" max="30" width="12.42578125" style="4" bestFit="1" customWidth="1"/>
    <col min="31" max="31" width="12.5703125" style="4" bestFit="1" customWidth="1"/>
    <col min="32" max="32" width="10.5703125" style="4" bestFit="1" customWidth="1"/>
    <col min="33" max="33" width="9" style="4" bestFit="1" customWidth="1"/>
    <col min="34" max="34" width="11.85546875" style="4" bestFit="1" customWidth="1"/>
    <col min="35" max="35" width="11.28515625" style="4" bestFit="1" customWidth="1"/>
    <col min="36" max="36" width="7.42578125" style="4" bestFit="1" customWidth="1"/>
    <col min="37" max="37" width="8.5703125" style="3" bestFit="1" customWidth="1"/>
    <col min="38" max="16384" width="9.140625" style="3"/>
  </cols>
  <sheetData>
    <row r="1" spans="1:37" s="80" customFormat="1" x14ac:dyDescent="0.25">
      <c r="A1" s="47" t="s">
        <v>51</v>
      </c>
      <c r="B1" s="47" t="s">
        <v>274</v>
      </c>
      <c r="C1" s="75" t="s">
        <v>278</v>
      </c>
      <c r="D1" s="76" t="s">
        <v>0</v>
      </c>
      <c r="E1" s="76" t="s">
        <v>1</v>
      </c>
      <c r="F1" s="76" t="s">
        <v>2</v>
      </c>
      <c r="G1" s="76" t="s">
        <v>3</v>
      </c>
      <c r="H1" s="76" t="s">
        <v>4</v>
      </c>
      <c r="I1" s="76" t="s">
        <v>5</v>
      </c>
      <c r="J1" s="76" t="s">
        <v>6</v>
      </c>
      <c r="K1" s="76" t="s">
        <v>7</v>
      </c>
      <c r="L1" s="76" t="s">
        <v>8</v>
      </c>
      <c r="M1" s="76" t="s">
        <v>9</v>
      </c>
      <c r="N1" s="76" t="s">
        <v>10</v>
      </c>
      <c r="O1" s="76" t="s">
        <v>11</v>
      </c>
      <c r="P1" s="93" t="s">
        <v>41</v>
      </c>
      <c r="Q1" s="93" t="s">
        <v>42</v>
      </c>
      <c r="R1" s="93" t="s">
        <v>43</v>
      </c>
      <c r="S1" s="93" t="s">
        <v>44</v>
      </c>
      <c r="T1" s="93" t="s">
        <v>45</v>
      </c>
      <c r="U1" s="93" t="s">
        <v>46</v>
      </c>
      <c r="V1" s="93" t="s">
        <v>47</v>
      </c>
      <c r="W1" s="93" t="s">
        <v>48</v>
      </c>
      <c r="X1" s="93" t="s">
        <v>49</v>
      </c>
      <c r="Y1" s="93" t="s">
        <v>50</v>
      </c>
      <c r="Z1" s="77" t="s">
        <v>279</v>
      </c>
      <c r="AA1" s="77" t="s">
        <v>280</v>
      </c>
      <c r="AB1" s="77" t="s">
        <v>281</v>
      </c>
      <c r="AC1" s="77" t="s">
        <v>282</v>
      </c>
      <c r="AD1" s="77" t="s">
        <v>283</v>
      </c>
      <c r="AE1" s="78" t="s">
        <v>269</v>
      </c>
      <c r="AF1" s="78" t="s">
        <v>270</v>
      </c>
      <c r="AG1" s="79" t="s">
        <v>86</v>
      </c>
      <c r="AH1" s="79" t="s">
        <v>271</v>
      </c>
      <c r="AI1" s="79" t="s">
        <v>272</v>
      </c>
      <c r="AJ1" s="80" t="s">
        <v>276</v>
      </c>
      <c r="AK1" s="80" t="s">
        <v>277</v>
      </c>
    </row>
    <row r="2" spans="1:37" x14ac:dyDescent="0.25">
      <c r="A2" s="49" t="s">
        <v>12</v>
      </c>
      <c r="B2" s="50" t="s">
        <v>289</v>
      </c>
      <c r="D2" s="4">
        <v>5</v>
      </c>
      <c r="E2" s="4">
        <v>5</v>
      </c>
      <c r="F2" s="4">
        <v>5</v>
      </c>
      <c r="G2" s="4">
        <v>5</v>
      </c>
      <c r="H2" s="4">
        <v>5</v>
      </c>
      <c r="I2" s="4">
        <v>5</v>
      </c>
      <c r="J2" s="4">
        <v>5</v>
      </c>
      <c r="K2" s="4">
        <v>5</v>
      </c>
      <c r="L2" s="4">
        <v>5</v>
      </c>
      <c r="M2" s="4">
        <v>5</v>
      </c>
      <c r="N2" s="4">
        <v>5</v>
      </c>
      <c r="O2" s="4">
        <v>5</v>
      </c>
      <c r="P2" s="7">
        <v>0.98115942028985503</v>
      </c>
      <c r="Q2" s="7">
        <v>0.94192634560906496</v>
      </c>
      <c r="R2" s="7">
        <v>0.931707317073171</v>
      </c>
      <c r="S2" s="7">
        <v>0.91452991452991494</v>
      </c>
      <c r="T2" s="7">
        <v>0.91685393258426995</v>
      </c>
      <c r="U2" s="7">
        <v>1.1999999999999999E-3</v>
      </c>
      <c r="V2" s="7">
        <v>0.02</v>
      </c>
      <c r="W2" s="7">
        <v>0.01</v>
      </c>
      <c r="X2" s="7">
        <v>1.4999999999999999E-2</v>
      </c>
      <c r="Y2" s="7">
        <v>1.7999999999999999E-2</v>
      </c>
      <c r="Z2" s="81">
        <f t="shared" ref="Z2:AD17" si="0">0.4*U2</f>
        <v>4.7999999999999996E-4</v>
      </c>
      <c r="AA2" s="81">
        <f t="shared" si="0"/>
        <v>8.0000000000000002E-3</v>
      </c>
      <c r="AB2" s="81">
        <f t="shared" si="0"/>
        <v>4.0000000000000001E-3</v>
      </c>
      <c r="AC2" s="81">
        <f t="shared" si="0"/>
        <v>6.0000000000000001E-3</v>
      </c>
      <c r="AD2" s="81">
        <f t="shared" si="0"/>
        <v>7.1999999999999998E-3</v>
      </c>
      <c r="AE2" s="4">
        <v>5</v>
      </c>
      <c r="AF2" s="48">
        <v>225</v>
      </c>
      <c r="AG2" s="4">
        <v>5</v>
      </c>
      <c r="AH2" s="48">
        <v>5.0000000000000001E-4</v>
      </c>
      <c r="AI2" s="4">
        <v>5</v>
      </c>
      <c r="AJ2" s="3">
        <v>5</v>
      </c>
      <c r="AK2" s="50">
        <v>225</v>
      </c>
    </row>
    <row r="3" spans="1:37" x14ac:dyDescent="0.25">
      <c r="A3" s="51" t="s">
        <v>13</v>
      </c>
      <c r="B3" s="50" t="s">
        <v>275</v>
      </c>
      <c r="D3" s="4">
        <v>5</v>
      </c>
      <c r="E3" s="4">
        <v>5</v>
      </c>
      <c r="F3" s="4">
        <v>5</v>
      </c>
      <c r="G3" s="4">
        <v>5</v>
      </c>
      <c r="H3" s="4">
        <v>5</v>
      </c>
      <c r="I3" s="4">
        <v>5</v>
      </c>
      <c r="J3" s="4">
        <v>5</v>
      </c>
      <c r="K3" s="4">
        <v>5</v>
      </c>
      <c r="L3" s="4">
        <v>5</v>
      </c>
      <c r="M3" s="4">
        <v>5</v>
      </c>
      <c r="N3" s="4">
        <v>5</v>
      </c>
      <c r="O3" s="4">
        <v>5</v>
      </c>
      <c r="P3" s="7">
        <v>0.98581560283687897</v>
      </c>
      <c r="Q3" s="7">
        <v>0.95726495726495697</v>
      </c>
      <c r="R3" s="7">
        <v>0.93096234309623405</v>
      </c>
      <c r="S3" s="7">
        <v>0.90049751243781095</v>
      </c>
      <c r="T3" s="7">
        <v>0.87357630979498901</v>
      </c>
      <c r="U3" s="7">
        <v>6.7000000000000002E-5</v>
      </c>
      <c r="V3" s="7">
        <v>1.4999999999999999E-4</v>
      </c>
      <c r="W3" s="7">
        <v>1.1E-4</v>
      </c>
      <c r="X3" s="7">
        <v>1.4999999999999999E-4</v>
      </c>
      <c r="Y3" s="7">
        <v>1.4999999999999999E-4</v>
      </c>
      <c r="Z3" s="81">
        <f t="shared" si="0"/>
        <v>2.6800000000000001E-5</v>
      </c>
      <c r="AA3" s="81">
        <f t="shared" si="0"/>
        <v>5.9999999999999995E-5</v>
      </c>
      <c r="AB3" s="81">
        <f t="shared" si="0"/>
        <v>4.4000000000000006E-5</v>
      </c>
      <c r="AC3" s="81">
        <f t="shared" si="0"/>
        <v>5.9999999999999995E-5</v>
      </c>
      <c r="AD3" s="81">
        <f t="shared" si="0"/>
        <v>5.9999999999999995E-5</v>
      </c>
      <c r="AE3" s="4">
        <v>5</v>
      </c>
      <c r="AF3" s="48">
        <v>241</v>
      </c>
      <c r="AG3" s="4">
        <v>5</v>
      </c>
      <c r="AH3" s="48">
        <v>5.0000000000000001E-4</v>
      </c>
      <c r="AI3" s="4">
        <v>5</v>
      </c>
      <c r="AJ3" s="3">
        <v>5</v>
      </c>
      <c r="AK3" s="50">
        <v>241</v>
      </c>
    </row>
    <row r="4" spans="1:37" x14ac:dyDescent="0.25">
      <c r="A4" s="49" t="s">
        <v>14</v>
      </c>
      <c r="B4" s="50" t="s">
        <v>289</v>
      </c>
      <c r="D4" s="4">
        <v>5</v>
      </c>
      <c r="E4" s="4">
        <v>5</v>
      </c>
      <c r="F4" s="4">
        <v>5</v>
      </c>
      <c r="G4" s="4">
        <v>5</v>
      </c>
      <c r="H4" s="4">
        <v>5</v>
      </c>
      <c r="I4" s="4">
        <v>5</v>
      </c>
      <c r="J4" s="4">
        <v>5</v>
      </c>
      <c r="K4" s="4">
        <v>5</v>
      </c>
      <c r="L4" s="4">
        <v>5</v>
      </c>
      <c r="M4" s="4">
        <v>5</v>
      </c>
      <c r="N4" s="4">
        <v>5</v>
      </c>
      <c r="O4" s="4">
        <v>5</v>
      </c>
      <c r="P4" s="7">
        <v>0.914201183431953</v>
      </c>
      <c r="Q4" s="7">
        <v>0.85714285714285698</v>
      </c>
      <c r="R4" s="7">
        <v>0.90909090909090895</v>
      </c>
      <c r="S4" s="7">
        <v>0.91269841269841301</v>
      </c>
      <c r="T4" s="7">
        <v>0.89869753979739497</v>
      </c>
      <c r="U4" s="7">
        <v>1.4E-2</v>
      </c>
      <c r="V4" s="7">
        <v>4.4999999999999998E-2</v>
      </c>
      <c r="W4" s="7">
        <v>2.5999999999999999E-2</v>
      </c>
      <c r="X4" s="7">
        <v>3.5999999999999997E-2</v>
      </c>
      <c r="Y4" s="7">
        <v>4.2000000000000003E-2</v>
      </c>
      <c r="Z4" s="81">
        <f t="shared" si="0"/>
        <v>5.6000000000000008E-3</v>
      </c>
      <c r="AA4" s="81">
        <f t="shared" si="0"/>
        <v>1.7999999999999999E-2</v>
      </c>
      <c r="AB4" s="81">
        <f t="shared" si="0"/>
        <v>1.04E-2</v>
      </c>
      <c r="AC4" s="81">
        <f t="shared" si="0"/>
        <v>1.44E-2</v>
      </c>
      <c r="AD4" s="81">
        <f t="shared" si="0"/>
        <v>1.6800000000000002E-2</v>
      </c>
      <c r="AE4" s="4">
        <v>5</v>
      </c>
      <c r="AF4" s="48">
        <v>217</v>
      </c>
      <c r="AG4" s="4">
        <v>5</v>
      </c>
      <c r="AH4" s="48"/>
      <c r="AI4" s="4">
        <v>5</v>
      </c>
      <c r="AJ4" s="3">
        <v>5</v>
      </c>
      <c r="AK4" s="50">
        <v>217</v>
      </c>
    </row>
    <row r="5" spans="1:37" x14ac:dyDescent="0.25">
      <c r="A5" s="49" t="s">
        <v>15</v>
      </c>
      <c r="B5" s="50" t="s">
        <v>289</v>
      </c>
      <c r="D5" s="4">
        <v>5</v>
      </c>
      <c r="E5" s="4">
        <v>5</v>
      </c>
      <c r="F5" s="4">
        <v>5</v>
      </c>
      <c r="G5" s="4">
        <v>5</v>
      </c>
      <c r="H5" s="4">
        <v>5</v>
      </c>
      <c r="I5" s="4">
        <v>5</v>
      </c>
      <c r="J5" s="4">
        <v>5</v>
      </c>
      <c r="K5" s="4">
        <v>5</v>
      </c>
      <c r="L5" s="4">
        <v>5</v>
      </c>
      <c r="M5" s="4">
        <v>5</v>
      </c>
      <c r="N5" s="4">
        <v>5</v>
      </c>
      <c r="O5" s="4">
        <v>5</v>
      </c>
      <c r="P5" s="7">
        <v>0.9</v>
      </c>
      <c r="Q5" s="7">
        <v>0.9</v>
      </c>
      <c r="R5" s="7">
        <v>0.9</v>
      </c>
      <c r="S5" s="7">
        <v>0.9</v>
      </c>
      <c r="T5" s="7">
        <v>0.9</v>
      </c>
      <c r="U5" s="7">
        <v>0</v>
      </c>
      <c r="V5" s="7">
        <v>0</v>
      </c>
      <c r="W5" s="7">
        <v>0</v>
      </c>
      <c r="X5" s="7">
        <v>0</v>
      </c>
      <c r="Y5" s="7">
        <v>0</v>
      </c>
      <c r="Z5" s="81">
        <f t="shared" si="0"/>
        <v>0</v>
      </c>
      <c r="AA5" s="81">
        <f t="shared" si="0"/>
        <v>0</v>
      </c>
      <c r="AB5" s="81">
        <f t="shared" si="0"/>
        <v>0</v>
      </c>
      <c r="AC5" s="81">
        <f t="shared" si="0"/>
        <v>0</v>
      </c>
      <c r="AD5" s="81">
        <f t="shared" si="0"/>
        <v>0</v>
      </c>
      <c r="AE5" s="4">
        <v>5</v>
      </c>
      <c r="AF5" s="48">
        <v>218</v>
      </c>
      <c r="AG5" s="4">
        <v>5</v>
      </c>
      <c r="AH5" s="48"/>
      <c r="AI5" s="4">
        <v>5</v>
      </c>
      <c r="AJ5" s="3">
        <v>5</v>
      </c>
      <c r="AK5" s="50">
        <v>218</v>
      </c>
    </row>
    <row r="6" spans="1:37" x14ac:dyDescent="0.25">
      <c r="A6" s="49" t="s">
        <v>16</v>
      </c>
      <c r="B6" s="50" t="s">
        <v>289</v>
      </c>
      <c r="D6" s="4">
        <v>5</v>
      </c>
      <c r="E6" s="4">
        <v>5</v>
      </c>
      <c r="F6" s="4">
        <v>5</v>
      </c>
      <c r="G6" s="4">
        <v>5</v>
      </c>
      <c r="H6" s="4">
        <v>5</v>
      </c>
      <c r="I6" s="4">
        <v>5</v>
      </c>
      <c r="J6" s="4">
        <v>5</v>
      </c>
      <c r="K6" s="4">
        <v>5</v>
      </c>
      <c r="L6" s="4">
        <v>5</v>
      </c>
      <c r="M6" s="4">
        <v>5</v>
      </c>
      <c r="N6" s="4">
        <v>5</v>
      </c>
      <c r="O6" s="4">
        <v>5</v>
      </c>
      <c r="P6" s="7">
        <v>0.88636363636363602</v>
      </c>
      <c r="Q6" s="7">
        <v>0.91519434628975305</v>
      </c>
      <c r="R6" s="7">
        <v>0.93487394957983205</v>
      </c>
      <c r="S6" s="7">
        <v>0.91752577319587603</v>
      </c>
      <c r="T6" s="7">
        <v>0.95541401273885396</v>
      </c>
      <c r="U6" s="7">
        <v>2.7E-2</v>
      </c>
      <c r="V6" s="7">
        <v>8.2000000000000003E-2</v>
      </c>
      <c r="W6" s="7">
        <v>4.2999999999999997E-2</v>
      </c>
      <c r="X6" s="7">
        <v>6.2E-2</v>
      </c>
      <c r="Y6" s="7">
        <v>7.1999999999999995E-2</v>
      </c>
      <c r="Z6" s="81">
        <f t="shared" si="0"/>
        <v>1.0800000000000001E-2</v>
      </c>
      <c r="AA6" s="81">
        <f t="shared" si="0"/>
        <v>3.2800000000000003E-2</v>
      </c>
      <c r="AB6" s="81">
        <f t="shared" si="0"/>
        <v>1.72E-2</v>
      </c>
      <c r="AC6" s="81">
        <f t="shared" si="0"/>
        <v>2.4800000000000003E-2</v>
      </c>
      <c r="AD6" s="81">
        <f t="shared" si="0"/>
        <v>2.8799999999999999E-2</v>
      </c>
      <c r="AE6" s="4">
        <v>5</v>
      </c>
      <c r="AF6" s="48">
        <v>137</v>
      </c>
      <c r="AG6" s="4">
        <v>5</v>
      </c>
      <c r="AH6" s="48"/>
      <c r="AI6" s="4">
        <v>5</v>
      </c>
      <c r="AJ6" s="3">
        <v>5</v>
      </c>
      <c r="AK6" s="50">
        <v>137</v>
      </c>
    </row>
    <row r="7" spans="1:37" x14ac:dyDescent="0.25">
      <c r="A7" s="49" t="s">
        <v>17</v>
      </c>
      <c r="B7" s="50" t="s">
        <v>289</v>
      </c>
      <c r="D7" s="4">
        <v>5</v>
      </c>
      <c r="E7" s="4">
        <v>5</v>
      </c>
      <c r="F7" s="4">
        <v>5</v>
      </c>
      <c r="G7" s="4">
        <v>5</v>
      </c>
      <c r="H7" s="4">
        <v>5</v>
      </c>
      <c r="I7" s="4">
        <v>5</v>
      </c>
      <c r="J7" s="4">
        <v>5</v>
      </c>
      <c r="K7" s="4">
        <v>5</v>
      </c>
      <c r="L7" s="4">
        <v>5</v>
      </c>
      <c r="M7" s="4">
        <v>5</v>
      </c>
      <c r="N7" s="4">
        <v>5</v>
      </c>
      <c r="O7" s="4">
        <v>5</v>
      </c>
      <c r="P7" s="7">
        <v>0.90997566909975702</v>
      </c>
      <c r="Q7" s="7">
        <v>0.867088607594937</v>
      </c>
      <c r="R7" s="7">
        <v>0.90839694656488501</v>
      </c>
      <c r="S7" s="7">
        <v>0.92993630573248398</v>
      </c>
      <c r="T7" s="7">
        <v>0.87429854096520798</v>
      </c>
      <c r="U7" s="7">
        <v>1.4E-2</v>
      </c>
      <c r="V7" s="7">
        <v>0.04</v>
      </c>
      <c r="W7" s="7">
        <v>2.4E-2</v>
      </c>
      <c r="X7" s="7">
        <v>3.2000000000000001E-2</v>
      </c>
      <c r="Y7" s="7">
        <v>3.6999999999999998E-2</v>
      </c>
      <c r="Z7" s="81">
        <f t="shared" si="0"/>
        <v>5.6000000000000008E-3</v>
      </c>
      <c r="AA7" s="81">
        <f t="shared" si="0"/>
        <v>1.6E-2</v>
      </c>
      <c r="AB7" s="81">
        <f t="shared" si="0"/>
        <v>9.6000000000000009E-3</v>
      </c>
      <c r="AC7" s="81">
        <f t="shared" si="0"/>
        <v>1.2800000000000001E-2</v>
      </c>
      <c r="AD7" s="81">
        <f t="shared" si="0"/>
        <v>1.4800000000000001E-2</v>
      </c>
      <c r="AE7" s="4">
        <v>5</v>
      </c>
      <c r="AF7" s="48">
        <v>210</v>
      </c>
      <c r="AG7" s="4">
        <v>5</v>
      </c>
      <c r="AH7" s="48">
        <v>0.05</v>
      </c>
      <c r="AI7" s="4">
        <v>5</v>
      </c>
      <c r="AJ7" s="3">
        <v>5</v>
      </c>
      <c r="AK7" s="50">
        <v>210</v>
      </c>
    </row>
    <row r="8" spans="1:37" x14ac:dyDescent="0.25">
      <c r="A8" s="49" t="s">
        <v>18</v>
      </c>
      <c r="B8" s="50" t="s">
        <v>289</v>
      </c>
      <c r="D8" s="4">
        <v>5</v>
      </c>
      <c r="E8" s="4">
        <v>5</v>
      </c>
      <c r="F8" s="4">
        <v>5</v>
      </c>
      <c r="G8" s="4">
        <v>5</v>
      </c>
      <c r="H8" s="4">
        <v>5</v>
      </c>
      <c r="I8" s="4">
        <v>5</v>
      </c>
      <c r="J8" s="4">
        <v>5</v>
      </c>
      <c r="K8" s="4">
        <v>5</v>
      </c>
      <c r="L8" s="4">
        <v>5</v>
      </c>
      <c r="M8" s="4">
        <v>5</v>
      </c>
      <c r="N8" s="4">
        <v>5</v>
      </c>
      <c r="O8" s="4">
        <v>5</v>
      </c>
      <c r="P8" s="7">
        <v>0.88690476190476197</v>
      </c>
      <c r="Q8" s="7">
        <v>0.97311827956989205</v>
      </c>
      <c r="R8" s="7">
        <v>0.93904761904761902</v>
      </c>
      <c r="S8" s="7">
        <v>0.93809523809523798</v>
      </c>
      <c r="T8" s="7">
        <v>0.89295774647887305</v>
      </c>
      <c r="U8" s="7">
        <v>0.02</v>
      </c>
      <c r="V8" s="7">
        <v>6.2E-2</v>
      </c>
      <c r="W8" s="7">
        <v>3.5000000000000003E-2</v>
      </c>
      <c r="X8" s="7">
        <v>4.8000000000000001E-2</v>
      </c>
      <c r="Y8" s="7">
        <v>5.5E-2</v>
      </c>
      <c r="Z8" s="81">
        <f t="shared" si="0"/>
        <v>8.0000000000000002E-3</v>
      </c>
      <c r="AA8" s="81">
        <f t="shared" si="0"/>
        <v>2.4800000000000003E-2</v>
      </c>
      <c r="AB8" s="81">
        <f t="shared" si="0"/>
        <v>1.4000000000000002E-2</v>
      </c>
      <c r="AC8" s="81">
        <f t="shared" si="0"/>
        <v>1.9200000000000002E-2</v>
      </c>
      <c r="AD8" s="81">
        <f t="shared" si="0"/>
        <v>2.2000000000000002E-2</v>
      </c>
      <c r="AE8" s="4">
        <v>5</v>
      </c>
      <c r="AF8" s="48">
        <v>213</v>
      </c>
      <c r="AG8" s="4">
        <v>5</v>
      </c>
      <c r="AH8" s="48">
        <v>0.05</v>
      </c>
      <c r="AI8" s="4">
        <v>5</v>
      </c>
      <c r="AJ8" s="3">
        <v>5</v>
      </c>
      <c r="AK8" s="50">
        <v>213</v>
      </c>
    </row>
    <row r="9" spans="1:37" x14ac:dyDescent="0.25">
      <c r="A9" s="49" t="s">
        <v>19</v>
      </c>
      <c r="B9" s="50" t="s">
        <v>289</v>
      </c>
      <c r="D9" s="4">
        <v>5</v>
      </c>
      <c r="E9" s="4">
        <v>5</v>
      </c>
      <c r="F9" s="4">
        <v>5</v>
      </c>
      <c r="G9" s="4">
        <v>5</v>
      </c>
      <c r="H9" s="4">
        <v>5</v>
      </c>
      <c r="I9" s="4">
        <v>5</v>
      </c>
      <c r="J9" s="4">
        <v>5</v>
      </c>
      <c r="K9" s="4">
        <v>5</v>
      </c>
      <c r="L9" s="4">
        <v>5</v>
      </c>
      <c r="M9" s="4">
        <v>5</v>
      </c>
      <c r="N9" s="4">
        <v>5</v>
      </c>
      <c r="O9" s="4">
        <v>5</v>
      </c>
      <c r="P9" s="7">
        <v>0.86585365853658502</v>
      </c>
      <c r="Q9" s="7">
        <v>0.94236311239193105</v>
      </c>
      <c r="R9" s="7">
        <v>0.934579439252336</v>
      </c>
      <c r="S9" s="7">
        <v>0.94453004622496095</v>
      </c>
      <c r="T9" s="7">
        <v>0.9375</v>
      </c>
      <c r="U9" s="7">
        <v>3.9E-2</v>
      </c>
      <c r="V9" s="7">
        <v>0.13</v>
      </c>
      <c r="W9" s="7">
        <v>6.4000000000000001E-2</v>
      </c>
      <c r="X9" s="7">
        <v>0.09</v>
      </c>
      <c r="Y9" s="7">
        <v>0.11</v>
      </c>
      <c r="Z9" s="81">
        <f t="shared" si="0"/>
        <v>1.5600000000000001E-2</v>
      </c>
      <c r="AA9" s="81">
        <f t="shared" si="0"/>
        <v>5.2000000000000005E-2</v>
      </c>
      <c r="AB9" s="81">
        <f t="shared" si="0"/>
        <v>2.5600000000000001E-2</v>
      </c>
      <c r="AC9" s="81">
        <f t="shared" si="0"/>
        <v>3.5999999999999997E-2</v>
      </c>
      <c r="AD9" s="81">
        <f t="shared" si="0"/>
        <v>4.4000000000000004E-2</v>
      </c>
      <c r="AE9" s="4">
        <v>5</v>
      </c>
      <c r="AF9" s="48">
        <v>214</v>
      </c>
      <c r="AG9" s="4">
        <v>5</v>
      </c>
      <c r="AH9" s="48">
        <v>0.05</v>
      </c>
      <c r="AI9" s="4">
        <v>5</v>
      </c>
      <c r="AJ9" s="3">
        <v>5</v>
      </c>
      <c r="AK9" s="50">
        <v>214</v>
      </c>
    </row>
    <row r="10" spans="1:37" x14ac:dyDescent="0.25">
      <c r="A10" s="51" t="s">
        <v>20</v>
      </c>
      <c r="B10" s="50" t="s">
        <v>275</v>
      </c>
      <c r="D10" s="4">
        <v>5</v>
      </c>
      <c r="E10" s="4">
        <v>5</v>
      </c>
      <c r="F10" s="4">
        <v>5</v>
      </c>
      <c r="G10" s="4">
        <v>5</v>
      </c>
      <c r="H10" s="4">
        <v>5</v>
      </c>
      <c r="I10" s="4">
        <v>5</v>
      </c>
      <c r="J10" s="4">
        <v>5</v>
      </c>
      <c r="K10" s="4">
        <v>5</v>
      </c>
      <c r="L10" s="4">
        <v>5</v>
      </c>
      <c r="M10" s="4">
        <v>5</v>
      </c>
      <c r="N10" s="4">
        <v>5</v>
      </c>
      <c r="O10" s="4">
        <v>5</v>
      </c>
      <c r="P10" s="7">
        <v>0.90521327014218</v>
      </c>
      <c r="Q10" s="7">
        <v>0.85365853658536595</v>
      </c>
      <c r="R10" s="7">
        <v>0.91304347826086996</v>
      </c>
      <c r="S10" s="7">
        <v>0.92797118847538995</v>
      </c>
      <c r="T10" s="7">
        <v>0.87368421052631595</v>
      </c>
      <c r="U10" s="7">
        <v>2.7E-2</v>
      </c>
      <c r="V10" s="7">
        <v>7.4999999999999997E-2</v>
      </c>
      <c r="W10" s="7">
        <v>4.4999999999999998E-2</v>
      </c>
      <c r="X10" s="7">
        <v>6.2E-2</v>
      </c>
      <c r="Y10" s="7">
        <v>7.1999999999999995E-2</v>
      </c>
      <c r="Z10" s="81">
        <f t="shared" si="0"/>
        <v>1.0800000000000001E-2</v>
      </c>
      <c r="AA10" s="81">
        <f t="shared" si="0"/>
        <v>0.03</v>
      </c>
      <c r="AB10" s="81">
        <f t="shared" si="0"/>
        <v>1.7999999999999999E-2</v>
      </c>
      <c r="AC10" s="81">
        <f t="shared" si="0"/>
        <v>2.4800000000000003E-2</v>
      </c>
      <c r="AD10" s="81">
        <f t="shared" si="0"/>
        <v>2.8799999999999999E-2</v>
      </c>
      <c r="AE10" s="4">
        <v>5</v>
      </c>
      <c r="AF10" s="48">
        <v>137</v>
      </c>
      <c r="AG10" s="4">
        <v>5</v>
      </c>
      <c r="AH10" s="48">
        <v>1</v>
      </c>
      <c r="AI10" s="4">
        <v>5</v>
      </c>
      <c r="AJ10" s="3">
        <v>5</v>
      </c>
      <c r="AK10" s="50">
        <v>137</v>
      </c>
    </row>
    <row r="11" spans="1:37" x14ac:dyDescent="0.25">
      <c r="A11" s="49" t="s">
        <v>21</v>
      </c>
      <c r="B11" s="50" t="s">
        <v>289</v>
      </c>
      <c r="D11" s="4">
        <v>5</v>
      </c>
      <c r="E11" s="4">
        <v>5</v>
      </c>
      <c r="F11" s="4">
        <v>5</v>
      </c>
      <c r="G11" s="4">
        <v>5</v>
      </c>
      <c r="H11" s="4">
        <v>5</v>
      </c>
      <c r="I11" s="4">
        <v>5</v>
      </c>
      <c r="J11" s="4">
        <v>5</v>
      </c>
      <c r="K11" s="4">
        <v>5</v>
      </c>
      <c r="L11" s="4">
        <v>5</v>
      </c>
      <c r="M11" s="4">
        <v>5</v>
      </c>
      <c r="N11" s="4">
        <v>5</v>
      </c>
      <c r="O11" s="4">
        <v>5</v>
      </c>
      <c r="P11" s="7">
        <v>0.92753623188405798</v>
      </c>
      <c r="Q11" s="7">
        <v>0.82352941176470595</v>
      </c>
      <c r="R11" s="7">
        <v>0.890625</v>
      </c>
      <c r="S11" s="7">
        <v>0.908496732026144</v>
      </c>
      <c r="T11" s="7">
        <v>0.88038277511961704</v>
      </c>
      <c r="U11" s="7">
        <v>9.7999999999999997E-3</v>
      </c>
      <c r="V11" s="7">
        <v>2.5999999999999999E-2</v>
      </c>
      <c r="W11" s="7">
        <v>1.9E-2</v>
      </c>
      <c r="X11" s="7">
        <v>2.4E-2</v>
      </c>
      <c r="Y11" s="7">
        <v>2.5999999999999999E-2</v>
      </c>
      <c r="Z11" s="81">
        <f t="shared" si="0"/>
        <v>3.9199999999999999E-3</v>
      </c>
      <c r="AA11" s="81">
        <f t="shared" si="0"/>
        <v>1.04E-2</v>
      </c>
      <c r="AB11" s="81">
        <f t="shared" si="0"/>
        <v>7.6E-3</v>
      </c>
      <c r="AC11" s="81">
        <f t="shared" si="0"/>
        <v>9.6000000000000009E-3</v>
      </c>
      <c r="AD11" s="81">
        <f t="shared" si="0"/>
        <v>1.04E-2</v>
      </c>
      <c r="AE11" s="4">
        <v>5</v>
      </c>
      <c r="AF11" s="48">
        <v>221</v>
      </c>
      <c r="AG11" s="4">
        <v>5</v>
      </c>
      <c r="AH11" s="48"/>
      <c r="AI11" s="4">
        <v>5</v>
      </c>
      <c r="AJ11" s="3">
        <v>5</v>
      </c>
      <c r="AK11" s="50">
        <v>221</v>
      </c>
    </row>
    <row r="12" spans="1:37" x14ac:dyDescent="0.25">
      <c r="A12" s="49" t="s">
        <v>22</v>
      </c>
      <c r="B12" s="50" t="s">
        <v>289</v>
      </c>
      <c r="D12" s="4">
        <v>5</v>
      </c>
      <c r="E12" s="4">
        <v>5</v>
      </c>
      <c r="F12" s="4">
        <v>5</v>
      </c>
      <c r="G12" s="4">
        <v>5</v>
      </c>
      <c r="H12" s="4">
        <v>5</v>
      </c>
      <c r="I12" s="4">
        <v>5</v>
      </c>
      <c r="J12" s="4">
        <v>5</v>
      </c>
      <c r="K12" s="4">
        <v>5</v>
      </c>
      <c r="L12" s="4">
        <v>5</v>
      </c>
      <c r="M12" s="4">
        <v>5</v>
      </c>
      <c r="N12" s="4">
        <v>5</v>
      </c>
      <c r="O12" s="4">
        <v>5</v>
      </c>
      <c r="P12" s="7">
        <v>0.90184049079754602</v>
      </c>
      <c r="Q12" s="7">
        <v>0.89376053962900504</v>
      </c>
      <c r="R12" s="7">
        <v>0.92254901960784297</v>
      </c>
      <c r="S12" s="7">
        <v>0.92845528455284598</v>
      </c>
      <c r="T12" s="7">
        <v>0.88405797101449302</v>
      </c>
      <c r="U12" s="7">
        <v>1.6E-2</v>
      </c>
      <c r="V12" s="7">
        <v>0.05</v>
      </c>
      <c r="W12" s="7">
        <v>2.7E-2</v>
      </c>
      <c r="X12" s="7">
        <v>3.6999999999999998E-2</v>
      </c>
      <c r="Y12" s="7">
        <v>4.3999999999999997E-2</v>
      </c>
      <c r="Z12" s="81">
        <f t="shared" si="0"/>
        <v>6.4000000000000003E-3</v>
      </c>
      <c r="AA12" s="81">
        <f t="shared" si="0"/>
        <v>2.0000000000000004E-2</v>
      </c>
      <c r="AB12" s="81">
        <f t="shared" si="0"/>
        <v>1.0800000000000001E-2</v>
      </c>
      <c r="AC12" s="81">
        <f t="shared" si="0"/>
        <v>1.4800000000000001E-2</v>
      </c>
      <c r="AD12" s="81">
        <f t="shared" si="0"/>
        <v>1.7600000000000001E-2</v>
      </c>
      <c r="AE12" s="4">
        <v>5</v>
      </c>
      <c r="AF12" s="48">
        <v>206</v>
      </c>
      <c r="AG12" s="4">
        <v>5</v>
      </c>
      <c r="AH12" s="48"/>
      <c r="AI12" s="4">
        <v>5</v>
      </c>
      <c r="AJ12" s="3">
        <v>5</v>
      </c>
      <c r="AK12" s="50">
        <v>206</v>
      </c>
    </row>
    <row r="13" spans="1:37" x14ac:dyDescent="0.25">
      <c r="A13" s="49" t="s">
        <v>23</v>
      </c>
      <c r="B13" s="50" t="s">
        <v>289</v>
      </c>
      <c r="D13" s="4">
        <v>5</v>
      </c>
      <c r="E13" s="4">
        <v>5</v>
      </c>
      <c r="F13" s="4">
        <v>5</v>
      </c>
      <c r="G13" s="4">
        <v>5</v>
      </c>
      <c r="H13" s="4">
        <v>5</v>
      </c>
      <c r="I13" s="4">
        <v>5</v>
      </c>
      <c r="J13" s="4">
        <v>5</v>
      </c>
      <c r="K13" s="4">
        <v>5</v>
      </c>
      <c r="L13" s="4">
        <v>5</v>
      </c>
      <c r="M13" s="4">
        <v>5</v>
      </c>
      <c r="N13" s="4">
        <v>5</v>
      </c>
      <c r="O13" s="4">
        <v>5</v>
      </c>
      <c r="P13" s="7">
        <v>0.98969072164948502</v>
      </c>
      <c r="Q13" s="7">
        <v>0.98540145985401395</v>
      </c>
      <c r="R13" s="7">
        <v>0.95212765957446799</v>
      </c>
      <c r="S13" s="7">
        <v>0.93488372093023298</v>
      </c>
      <c r="T13" s="7">
        <v>0.93722466960352402</v>
      </c>
      <c r="U13" s="7">
        <v>2.7999999999999998E-4</v>
      </c>
      <c r="V13" s="7">
        <v>5.8999999999999999E-3</v>
      </c>
      <c r="W13" s="7">
        <v>2.8E-3</v>
      </c>
      <c r="X13" s="7">
        <v>4.7999999999999996E-3</v>
      </c>
      <c r="Y13" s="7">
        <v>5.7999999999999996E-3</v>
      </c>
      <c r="Z13" s="81">
        <f t="shared" si="0"/>
        <v>1.12E-4</v>
      </c>
      <c r="AA13" s="81">
        <f t="shared" si="0"/>
        <v>2.3600000000000001E-3</v>
      </c>
      <c r="AB13" s="81">
        <f t="shared" si="0"/>
        <v>1.1200000000000001E-3</v>
      </c>
      <c r="AC13" s="81">
        <f t="shared" si="0"/>
        <v>1.9199999999999998E-3</v>
      </c>
      <c r="AD13" s="81">
        <f t="shared" si="0"/>
        <v>2.32E-3</v>
      </c>
      <c r="AE13" s="4">
        <v>5</v>
      </c>
      <c r="AF13" s="48">
        <v>237</v>
      </c>
      <c r="AG13" s="4">
        <v>5</v>
      </c>
      <c r="AH13" s="48">
        <v>5.0000000000000001E-4</v>
      </c>
      <c r="AI13" s="4">
        <v>5</v>
      </c>
      <c r="AJ13" s="3">
        <v>5</v>
      </c>
      <c r="AK13" s="50">
        <v>237</v>
      </c>
    </row>
    <row r="14" spans="1:37" x14ac:dyDescent="0.25">
      <c r="A14" s="49" t="s">
        <v>24</v>
      </c>
      <c r="B14" s="50" t="s">
        <v>289</v>
      </c>
      <c r="D14" s="4">
        <v>5</v>
      </c>
      <c r="E14" s="4">
        <v>5</v>
      </c>
      <c r="F14" s="4">
        <v>5</v>
      </c>
      <c r="G14" s="4">
        <v>5</v>
      </c>
      <c r="H14" s="4">
        <v>5</v>
      </c>
      <c r="I14" s="4">
        <v>5</v>
      </c>
      <c r="J14" s="4">
        <v>5</v>
      </c>
      <c r="K14" s="4">
        <v>5</v>
      </c>
      <c r="L14" s="4">
        <v>5</v>
      </c>
      <c r="M14" s="4">
        <v>5</v>
      </c>
      <c r="N14" s="4">
        <v>5</v>
      </c>
      <c r="O14" s="4">
        <v>5</v>
      </c>
      <c r="P14" s="7">
        <v>0.93203883495145601</v>
      </c>
      <c r="Q14" s="7">
        <v>0.922115384615385</v>
      </c>
      <c r="R14" s="7">
        <v>0.92718446601941695</v>
      </c>
      <c r="S14" s="7">
        <v>0.93043478260869505</v>
      </c>
      <c r="T14" s="7">
        <v>0.88959999999999995</v>
      </c>
      <c r="U14" s="7">
        <v>8.2000000000000007E-3</v>
      </c>
      <c r="V14" s="7">
        <v>4.2000000000000003E-2</v>
      </c>
      <c r="W14" s="7">
        <v>2.3E-2</v>
      </c>
      <c r="X14" s="7">
        <v>3.1E-2</v>
      </c>
      <c r="Y14" s="7">
        <v>3.6999999999999998E-2</v>
      </c>
      <c r="Z14" s="81">
        <f t="shared" si="0"/>
        <v>3.2800000000000004E-3</v>
      </c>
      <c r="AA14" s="81">
        <f t="shared" si="0"/>
        <v>1.6800000000000002E-2</v>
      </c>
      <c r="AB14" s="81">
        <f t="shared" si="0"/>
        <v>9.1999999999999998E-3</v>
      </c>
      <c r="AC14" s="81">
        <f t="shared" si="0"/>
        <v>1.2400000000000001E-2</v>
      </c>
      <c r="AD14" s="81">
        <f t="shared" si="0"/>
        <v>1.4800000000000001E-2</v>
      </c>
      <c r="AE14" s="4">
        <v>5</v>
      </c>
      <c r="AF14" s="48">
        <v>233</v>
      </c>
      <c r="AG14" s="4">
        <v>5</v>
      </c>
      <c r="AH14" s="48">
        <v>5.0000000000000001E-4</v>
      </c>
      <c r="AI14" s="4">
        <v>5</v>
      </c>
      <c r="AJ14" s="3">
        <v>5</v>
      </c>
      <c r="AK14" s="50">
        <v>233</v>
      </c>
    </row>
    <row r="15" spans="1:37" x14ac:dyDescent="0.25">
      <c r="A15" s="49" t="s">
        <v>25</v>
      </c>
      <c r="B15" s="50" t="s">
        <v>289</v>
      </c>
      <c r="D15" s="4">
        <v>5</v>
      </c>
      <c r="E15" s="4">
        <v>5</v>
      </c>
      <c r="F15" s="4">
        <v>5</v>
      </c>
      <c r="G15" s="4">
        <v>5</v>
      </c>
      <c r="H15" s="4">
        <v>5</v>
      </c>
      <c r="I15" s="4">
        <v>5</v>
      </c>
      <c r="J15" s="4">
        <v>5</v>
      </c>
      <c r="K15" s="4">
        <v>5</v>
      </c>
      <c r="L15" s="4">
        <v>5</v>
      </c>
      <c r="M15" s="4">
        <v>5</v>
      </c>
      <c r="N15" s="4">
        <v>5</v>
      </c>
      <c r="O15" s="4">
        <v>5</v>
      </c>
      <c r="P15" s="7">
        <v>0.9</v>
      </c>
      <c r="Q15" s="7">
        <v>0.9</v>
      </c>
      <c r="R15" s="7">
        <v>0.9</v>
      </c>
      <c r="S15" s="7">
        <v>0.9</v>
      </c>
      <c r="T15" s="7">
        <v>0.9</v>
      </c>
      <c r="U15" s="7">
        <v>0</v>
      </c>
      <c r="V15" s="7">
        <v>0</v>
      </c>
      <c r="W15" s="7">
        <v>0</v>
      </c>
      <c r="X15" s="7">
        <v>0</v>
      </c>
      <c r="Y15" s="7">
        <v>0</v>
      </c>
      <c r="Z15" s="81">
        <f t="shared" si="0"/>
        <v>0</v>
      </c>
      <c r="AA15" s="81">
        <f t="shared" si="0"/>
        <v>0</v>
      </c>
      <c r="AB15" s="81">
        <f t="shared" si="0"/>
        <v>0</v>
      </c>
      <c r="AC15" s="81">
        <f t="shared" si="0"/>
        <v>0</v>
      </c>
      <c r="AD15" s="81">
        <f t="shared" si="0"/>
        <v>0</v>
      </c>
      <c r="AE15" s="4">
        <v>5</v>
      </c>
      <c r="AF15" s="48">
        <v>209</v>
      </c>
      <c r="AG15" s="4">
        <v>5</v>
      </c>
      <c r="AH15" s="48">
        <v>0.2</v>
      </c>
      <c r="AI15" s="4">
        <v>5</v>
      </c>
      <c r="AJ15" s="3">
        <v>5</v>
      </c>
      <c r="AK15" s="50">
        <v>209</v>
      </c>
    </row>
    <row r="16" spans="1:37" x14ac:dyDescent="0.25">
      <c r="A16" s="49" t="s">
        <v>26</v>
      </c>
      <c r="B16" s="50" t="s">
        <v>289</v>
      </c>
      <c r="D16" s="4">
        <v>5</v>
      </c>
      <c r="E16" s="4">
        <v>5</v>
      </c>
      <c r="F16" s="4">
        <v>5</v>
      </c>
      <c r="G16" s="4">
        <v>5</v>
      </c>
      <c r="H16" s="4">
        <v>5</v>
      </c>
      <c r="I16" s="4">
        <v>5</v>
      </c>
      <c r="J16" s="4">
        <v>5</v>
      </c>
      <c r="K16" s="4">
        <v>5</v>
      </c>
      <c r="L16" s="4">
        <v>5</v>
      </c>
      <c r="M16" s="4">
        <v>5</v>
      </c>
      <c r="N16" s="4">
        <v>5</v>
      </c>
      <c r="O16" s="4">
        <v>5</v>
      </c>
      <c r="P16" s="7">
        <v>1</v>
      </c>
      <c r="Q16" s="7">
        <v>0.94642857142857095</v>
      </c>
      <c r="R16" s="7">
        <v>0.97425742574257401</v>
      </c>
      <c r="S16" s="7">
        <v>0.94932432432432401</v>
      </c>
      <c r="T16" s="7">
        <v>0.94444444444444398</v>
      </c>
      <c r="U16" s="7">
        <v>9.9999999999999995E-8</v>
      </c>
      <c r="V16" s="7">
        <v>4.4000000000000002E-6</v>
      </c>
      <c r="W16" s="7">
        <v>2.3999999999999999E-6</v>
      </c>
      <c r="X16" s="7">
        <v>4.0999999999999997E-6</v>
      </c>
      <c r="Y16" s="7">
        <v>4.0999999999999997E-6</v>
      </c>
      <c r="Z16" s="81">
        <f t="shared" si="0"/>
        <v>4.0000000000000001E-8</v>
      </c>
      <c r="AA16" s="81">
        <f t="shared" si="0"/>
        <v>1.7600000000000001E-6</v>
      </c>
      <c r="AB16" s="81">
        <f t="shared" si="0"/>
        <v>9.5999999999999991E-7</v>
      </c>
      <c r="AC16" s="81">
        <f t="shared" si="0"/>
        <v>1.64E-6</v>
      </c>
      <c r="AD16" s="81">
        <f t="shared" si="0"/>
        <v>1.64E-6</v>
      </c>
      <c r="AE16" s="4">
        <v>5</v>
      </c>
      <c r="AF16" s="48">
        <v>210</v>
      </c>
      <c r="AG16" s="4">
        <v>5</v>
      </c>
      <c r="AH16" s="48">
        <v>0.2</v>
      </c>
      <c r="AI16" s="4">
        <v>5</v>
      </c>
      <c r="AJ16" s="3">
        <v>5</v>
      </c>
      <c r="AK16" s="50">
        <v>210</v>
      </c>
    </row>
    <row r="17" spans="1:37" x14ac:dyDescent="0.25">
      <c r="A17" s="49" t="s">
        <v>27</v>
      </c>
      <c r="B17" s="50" t="s">
        <v>289</v>
      </c>
      <c r="D17" s="4">
        <v>5</v>
      </c>
      <c r="E17" s="4">
        <v>5</v>
      </c>
      <c r="F17" s="4">
        <v>5</v>
      </c>
      <c r="G17" s="4">
        <v>5</v>
      </c>
      <c r="H17" s="4">
        <v>5</v>
      </c>
      <c r="I17" s="4">
        <v>5</v>
      </c>
      <c r="J17" s="4">
        <v>5</v>
      </c>
      <c r="K17" s="4">
        <v>5</v>
      </c>
      <c r="L17" s="4">
        <v>5</v>
      </c>
      <c r="M17" s="4">
        <v>5</v>
      </c>
      <c r="N17" s="4">
        <v>5</v>
      </c>
      <c r="O17" s="4">
        <v>5</v>
      </c>
      <c r="P17" s="7">
        <v>0.901685393258427</v>
      </c>
      <c r="Q17" s="7">
        <v>0.92436974789916004</v>
      </c>
      <c r="R17" s="7">
        <v>0.92558139534883699</v>
      </c>
      <c r="S17" s="7">
        <v>0.9296875</v>
      </c>
      <c r="T17" s="7">
        <v>0.87916666666666698</v>
      </c>
      <c r="U17" s="7">
        <v>1.4999999999999999E-2</v>
      </c>
      <c r="V17" s="7">
        <v>4.9000000000000002E-2</v>
      </c>
      <c r="W17" s="7">
        <v>2.8000000000000001E-2</v>
      </c>
      <c r="X17" s="7">
        <v>3.6999999999999998E-2</v>
      </c>
      <c r="Y17" s="7">
        <v>4.3999999999999997E-2</v>
      </c>
      <c r="Z17" s="81">
        <f t="shared" si="0"/>
        <v>6.0000000000000001E-3</v>
      </c>
      <c r="AA17" s="81">
        <f t="shared" si="0"/>
        <v>1.9600000000000003E-2</v>
      </c>
      <c r="AB17" s="81">
        <f t="shared" si="0"/>
        <v>1.1200000000000002E-2</v>
      </c>
      <c r="AC17" s="81">
        <f t="shared" si="0"/>
        <v>1.4800000000000001E-2</v>
      </c>
      <c r="AD17" s="81">
        <f t="shared" si="0"/>
        <v>1.7600000000000001E-2</v>
      </c>
      <c r="AE17" s="4">
        <v>5</v>
      </c>
      <c r="AF17" s="48">
        <v>214</v>
      </c>
      <c r="AG17" s="4">
        <v>5</v>
      </c>
      <c r="AH17" s="48">
        <v>0.2</v>
      </c>
      <c r="AI17" s="4">
        <v>5</v>
      </c>
      <c r="AJ17" s="3">
        <v>5</v>
      </c>
      <c r="AK17" s="50">
        <v>214</v>
      </c>
    </row>
    <row r="18" spans="1:37" x14ac:dyDescent="0.25">
      <c r="A18" s="49" t="s">
        <v>28</v>
      </c>
      <c r="B18" s="50" t="s">
        <v>289</v>
      </c>
      <c r="D18" s="4">
        <v>5</v>
      </c>
      <c r="E18" s="4">
        <v>5</v>
      </c>
      <c r="F18" s="4">
        <v>5</v>
      </c>
      <c r="G18" s="4">
        <v>5</v>
      </c>
      <c r="H18" s="4">
        <v>5</v>
      </c>
      <c r="I18" s="4">
        <v>5</v>
      </c>
      <c r="J18" s="4">
        <v>5</v>
      </c>
      <c r="K18" s="4">
        <v>5</v>
      </c>
      <c r="L18" s="4">
        <v>5</v>
      </c>
      <c r="M18" s="4">
        <v>5</v>
      </c>
      <c r="N18" s="4">
        <v>5</v>
      </c>
      <c r="O18" s="4">
        <v>5</v>
      </c>
      <c r="P18" s="7">
        <v>0.88135593220339004</v>
      </c>
      <c r="Q18" s="7">
        <v>0.93612334801762098</v>
      </c>
      <c r="R18" s="7">
        <v>0.93633952254641895</v>
      </c>
      <c r="S18" s="7">
        <v>0.93013100436681195</v>
      </c>
      <c r="T18" s="7">
        <v>0.94466403162055301</v>
      </c>
      <c r="U18" s="7">
        <v>0.03</v>
      </c>
      <c r="V18" s="7">
        <v>9.5000000000000001E-2</v>
      </c>
      <c r="W18" s="7">
        <v>4.8000000000000001E-2</v>
      </c>
      <c r="X18" s="7">
        <v>6.9000000000000006E-2</v>
      </c>
      <c r="Y18" s="7">
        <v>8.2000000000000003E-2</v>
      </c>
      <c r="Z18" s="81">
        <f t="shared" ref="Z18:AD30" si="1">0.4*U18</f>
        <v>1.2E-2</v>
      </c>
      <c r="AA18" s="81">
        <f t="shared" si="1"/>
        <v>3.8000000000000006E-2</v>
      </c>
      <c r="AB18" s="81">
        <f t="shared" si="1"/>
        <v>1.9200000000000002E-2</v>
      </c>
      <c r="AC18" s="81">
        <f t="shared" si="1"/>
        <v>2.7600000000000003E-2</v>
      </c>
      <c r="AD18" s="81">
        <f t="shared" si="1"/>
        <v>3.2800000000000003E-2</v>
      </c>
      <c r="AE18" s="4">
        <v>5</v>
      </c>
      <c r="AF18" s="48">
        <v>210</v>
      </c>
      <c r="AG18" s="4">
        <v>5</v>
      </c>
      <c r="AH18" s="48"/>
      <c r="AI18" s="4">
        <v>5</v>
      </c>
      <c r="AJ18" s="3">
        <v>5</v>
      </c>
      <c r="AK18" s="50">
        <v>210</v>
      </c>
    </row>
    <row r="19" spans="1:37" x14ac:dyDescent="0.25">
      <c r="A19" s="49" t="s">
        <v>29</v>
      </c>
      <c r="B19" s="50" t="s">
        <v>289</v>
      </c>
      <c r="D19" s="4">
        <v>5</v>
      </c>
      <c r="E19" s="4">
        <v>5</v>
      </c>
      <c r="F19" s="4">
        <v>5</v>
      </c>
      <c r="G19" s="4">
        <v>5</v>
      </c>
      <c r="H19" s="4">
        <v>5</v>
      </c>
      <c r="I19" s="4">
        <v>5</v>
      </c>
      <c r="J19" s="4">
        <v>5</v>
      </c>
      <c r="K19" s="4">
        <v>5</v>
      </c>
      <c r="L19" s="4">
        <v>5</v>
      </c>
      <c r="M19" s="4">
        <v>5</v>
      </c>
      <c r="N19" s="4">
        <v>5</v>
      </c>
      <c r="O19" s="4">
        <v>5</v>
      </c>
      <c r="P19" s="7">
        <v>0.87991266375545796</v>
      </c>
      <c r="Q19" s="7">
        <v>0.93714285714285706</v>
      </c>
      <c r="R19" s="7">
        <v>0.93493150684931503</v>
      </c>
      <c r="S19" s="7">
        <v>0.93220338983050799</v>
      </c>
      <c r="T19" s="7">
        <v>0.94871794871794901</v>
      </c>
      <c r="U19" s="7">
        <v>2.9000000000000001E-2</v>
      </c>
      <c r="V19" s="7">
        <v>9.2999999999999999E-2</v>
      </c>
      <c r="W19" s="7">
        <v>4.7E-2</v>
      </c>
      <c r="X19" s="7">
        <v>6.8000000000000005E-2</v>
      </c>
      <c r="Y19" s="7">
        <v>0.08</v>
      </c>
      <c r="Z19" s="81">
        <f t="shared" si="1"/>
        <v>1.1600000000000001E-2</v>
      </c>
      <c r="AA19" s="81">
        <f t="shared" si="1"/>
        <v>3.7200000000000004E-2</v>
      </c>
      <c r="AB19" s="81">
        <f t="shared" si="1"/>
        <v>1.8800000000000001E-2</v>
      </c>
      <c r="AC19" s="81">
        <f t="shared" si="1"/>
        <v>2.7200000000000002E-2</v>
      </c>
      <c r="AD19" s="81">
        <f t="shared" si="1"/>
        <v>3.2000000000000001E-2</v>
      </c>
      <c r="AE19" s="4">
        <v>5</v>
      </c>
      <c r="AF19" s="48">
        <v>213</v>
      </c>
      <c r="AG19" s="4">
        <v>5</v>
      </c>
      <c r="AH19" s="48"/>
      <c r="AI19" s="4">
        <v>5</v>
      </c>
      <c r="AJ19" s="3">
        <v>5</v>
      </c>
      <c r="AK19" s="50">
        <v>213</v>
      </c>
    </row>
    <row r="20" spans="1:37" x14ac:dyDescent="0.25">
      <c r="A20" s="49" t="s">
        <v>30</v>
      </c>
      <c r="B20" s="50" t="s">
        <v>289</v>
      </c>
      <c r="D20" s="4">
        <v>5</v>
      </c>
      <c r="E20" s="4">
        <v>5</v>
      </c>
      <c r="F20" s="4">
        <v>5</v>
      </c>
      <c r="G20" s="4">
        <v>5</v>
      </c>
      <c r="H20" s="4">
        <v>5</v>
      </c>
      <c r="I20" s="4">
        <v>5</v>
      </c>
      <c r="J20" s="4">
        <v>5</v>
      </c>
      <c r="K20" s="4">
        <v>5</v>
      </c>
      <c r="L20" s="4">
        <v>5</v>
      </c>
      <c r="M20" s="4">
        <v>5</v>
      </c>
      <c r="N20" s="4">
        <v>5</v>
      </c>
      <c r="O20" s="4">
        <v>5</v>
      </c>
      <c r="P20" s="7">
        <v>0.87920792079207899</v>
      </c>
      <c r="Q20" s="7">
        <v>0.93298969072164994</v>
      </c>
      <c r="R20" s="7">
        <v>0.93633540372670798</v>
      </c>
      <c r="S20" s="7">
        <v>0.930946291560102</v>
      </c>
      <c r="T20" s="7">
        <v>0.94444444444444398</v>
      </c>
      <c r="U20" s="7">
        <v>0.03</v>
      </c>
      <c r="V20" s="7">
        <v>9.5000000000000001E-2</v>
      </c>
      <c r="W20" s="7">
        <v>4.8000000000000001E-2</v>
      </c>
      <c r="X20" s="7">
        <v>6.9000000000000006E-2</v>
      </c>
      <c r="Y20" s="7">
        <v>8.1000000000000003E-2</v>
      </c>
      <c r="Z20" s="81">
        <f t="shared" si="1"/>
        <v>1.2E-2</v>
      </c>
      <c r="AA20" s="81">
        <f t="shared" si="1"/>
        <v>3.8000000000000006E-2</v>
      </c>
      <c r="AB20" s="81">
        <f t="shared" si="1"/>
        <v>1.9200000000000002E-2</v>
      </c>
      <c r="AC20" s="81">
        <f t="shared" si="1"/>
        <v>2.7600000000000003E-2</v>
      </c>
      <c r="AD20" s="81">
        <f t="shared" si="1"/>
        <v>3.2400000000000005E-2</v>
      </c>
      <c r="AE20" s="4">
        <v>5</v>
      </c>
      <c r="AF20" s="48">
        <v>214</v>
      </c>
      <c r="AG20" s="4">
        <v>5</v>
      </c>
      <c r="AH20" s="48"/>
      <c r="AI20" s="4">
        <v>5</v>
      </c>
      <c r="AJ20" s="3">
        <v>5</v>
      </c>
      <c r="AK20" s="50">
        <v>214</v>
      </c>
    </row>
    <row r="21" spans="1:37" x14ac:dyDescent="0.25">
      <c r="A21" s="49" t="s">
        <v>31</v>
      </c>
      <c r="B21" s="50" t="s">
        <v>289</v>
      </c>
      <c r="D21" s="4">
        <v>5</v>
      </c>
      <c r="E21" s="4">
        <v>5</v>
      </c>
      <c r="F21" s="4">
        <v>5</v>
      </c>
      <c r="G21" s="4">
        <v>5</v>
      </c>
      <c r="H21" s="4">
        <v>5</v>
      </c>
      <c r="I21" s="4">
        <v>5</v>
      </c>
      <c r="J21" s="4">
        <v>5</v>
      </c>
      <c r="K21" s="4">
        <v>5</v>
      </c>
      <c r="L21" s="4">
        <v>5</v>
      </c>
      <c r="M21" s="4">
        <v>5</v>
      </c>
      <c r="N21" s="4">
        <v>5</v>
      </c>
      <c r="O21" s="4">
        <v>5</v>
      </c>
      <c r="P21" s="7">
        <v>0.9</v>
      </c>
      <c r="Q21" s="7">
        <v>0.9</v>
      </c>
      <c r="R21" s="7">
        <v>0.9</v>
      </c>
      <c r="S21" s="7">
        <v>0.9</v>
      </c>
      <c r="T21" s="7">
        <v>0.9</v>
      </c>
      <c r="U21" s="7">
        <v>0</v>
      </c>
      <c r="V21" s="7">
        <v>0</v>
      </c>
      <c r="W21" s="7">
        <v>0</v>
      </c>
      <c r="X21" s="7">
        <v>0</v>
      </c>
      <c r="Y21" s="7">
        <v>0</v>
      </c>
      <c r="Z21" s="81">
        <f t="shared" si="1"/>
        <v>0</v>
      </c>
      <c r="AA21" s="81">
        <f t="shared" si="1"/>
        <v>0</v>
      </c>
      <c r="AB21" s="81">
        <f t="shared" si="1"/>
        <v>0</v>
      </c>
      <c r="AC21" s="81">
        <f t="shared" si="1"/>
        <v>0</v>
      </c>
      <c r="AD21" s="81">
        <f t="shared" si="1"/>
        <v>0</v>
      </c>
      <c r="AE21" s="4">
        <v>5</v>
      </c>
      <c r="AF21" s="48">
        <v>218</v>
      </c>
      <c r="AG21" s="4">
        <v>5</v>
      </c>
      <c r="AH21" s="48"/>
      <c r="AI21" s="4">
        <v>5</v>
      </c>
      <c r="AJ21" s="3">
        <v>5</v>
      </c>
      <c r="AK21" s="50">
        <v>218</v>
      </c>
    </row>
    <row r="22" spans="1:37" x14ac:dyDescent="0.25">
      <c r="A22" s="49" t="s">
        <v>32</v>
      </c>
      <c r="B22" s="50" t="s">
        <v>289</v>
      </c>
      <c r="D22" s="4">
        <v>5</v>
      </c>
      <c r="E22" s="4">
        <v>5</v>
      </c>
      <c r="F22" s="4">
        <v>5</v>
      </c>
      <c r="G22" s="4">
        <v>5</v>
      </c>
      <c r="H22" s="4">
        <v>5</v>
      </c>
      <c r="I22" s="4">
        <v>5</v>
      </c>
      <c r="J22" s="4">
        <v>5</v>
      </c>
      <c r="K22" s="4">
        <v>5</v>
      </c>
      <c r="L22" s="4">
        <v>5</v>
      </c>
      <c r="M22" s="4">
        <v>5</v>
      </c>
      <c r="N22" s="4">
        <v>5</v>
      </c>
      <c r="O22" s="4">
        <v>5</v>
      </c>
      <c r="P22" s="7">
        <v>0.98748261474269805</v>
      </c>
      <c r="Q22" s="7">
        <v>0.86834733893557403</v>
      </c>
      <c r="R22" s="7">
        <v>0.98884758364312197</v>
      </c>
      <c r="S22" s="7">
        <v>0.95495495495495497</v>
      </c>
      <c r="T22" s="7">
        <v>0.95760598503740701</v>
      </c>
      <c r="U22" s="7">
        <v>4.1000000000000003E-9</v>
      </c>
      <c r="V22" s="7">
        <v>2.4E-8</v>
      </c>
      <c r="W22" s="7">
        <v>2.3000000000000001E-8</v>
      </c>
      <c r="X22" s="7">
        <v>3.1E-8</v>
      </c>
      <c r="Y22" s="7">
        <v>2.9999999999999997E-8</v>
      </c>
      <c r="Z22" s="81">
        <f t="shared" si="1"/>
        <v>1.6400000000000001E-9</v>
      </c>
      <c r="AA22" s="81">
        <f t="shared" si="1"/>
        <v>9.5999999999999999E-9</v>
      </c>
      <c r="AB22" s="81">
        <f t="shared" si="1"/>
        <v>9.2000000000000013E-9</v>
      </c>
      <c r="AC22" s="81">
        <f t="shared" si="1"/>
        <v>1.24E-8</v>
      </c>
      <c r="AD22" s="81">
        <f t="shared" si="1"/>
        <v>1.2E-8</v>
      </c>
      <c r="AE22" s="4">
        <v>5</v>
      </c>
      <c r="AF22" s="48">
        <v>225</v>
      </c>
      <c r="AG22" s="4">
        <v>5</v>
      </c>
      <c r="AH22" s="48">
        <v>0.2</v>
      </c>
      <c r="AI22" s="4">
        <v>5</v>
      </c>
      <c r="AJ22" s="3">
        <v>5</v>
      </c>
      <c r="AK22" s="50">
        <v>225</v>
      </c>
    </row>
    <row r="23" spans="1:37" x14ac:dyDescent="0.25">
      <c r="A23" s="51" t="s">
        <v>33</v>
      </c>
      <c r="B23" s="50" t="s">
        <v>275</v>
      </c>
      <c r="C23" s="50">
        <v>1</v>
      </c>
      <c r="D23" s="4">
        <v>5</v>
      </c>
      <c r="E23" s="4">
        <v>5</v>
      </c>
      <c r="F23" s="4">
        <v>5</v>
      </c>
      <c r="G23" s="4">
        <v>5</v>
      </c>
      <c r="H23" s="4">
        <v>5</v>
      </c>
      <c r="I23" s="4">
        <v>5</v>
      </c>
      <c r="J23" s="4">
        <v>5</v>
      </c>
      <c r="K23" s="4">
        <v>5</v>
      </c>
      <c r="L23" s="4">
        <v>5</v>
      </c>
      <c r="M23" s="4">
        <v>5</v>
      </c>
      <c r="N23" s="4">
        <v>5</v>
      </c>
      <c r="O23" s="4">
        <v>5</v>
      </c>
      <c r="P23" s="7">
        <v>0.927927927927928</v>
      </c>
      <c r="Q23" s="7">
        <v>0.82729805013927604</v>
      </c>
      <c r="R23" s="7">
        <v>0.88145896656534894</v>
      </c>
      <c r="S23" s="7">
        <v>0.89258312020460395</v>
      </c>
      <c r="T23" s="7">
        <v>0.88349514563106801</v>
      </c>
      <c r="U23" s="7">
        <v>3.5000000000000003E-2</v>
      </c>
      <c r="V23" s="7">
        <v>0.11</v>
      </c>
      <c r="W23" s="7">
        <v>5.8000000000000003E-2</v>
      </c>
      <c r="X23" s="7">
        <v>8.1000000000000003E-2</v>
      </c>
      <c r="Y23" s="7">
        <v>0.1</v>
      </c>
      <c r="Z23" s="81">
        <f t="shared" si="1"/>
        <v>1.4000000000000002E-2</v>
      </c>
      <c r="AA23" s="81">
        <f t="shared" si="1"/>
        <v>4.4000000000000004E-2</v>
      </c>
      <c r="AB23" s="81">
        <f t="shared" si="1"/>
        <v>2.3200000000000002E-2</v>
      </c>
      <c r="AC23" s="81">
        <f t="shared" si="1"/>
        <v>3.2400000000000005E-2</v>
      </c>
      <c r="AD23" s="81">
        <f t="shared" si="1"/>
        <v>4.0000000000000008E-2</v>
      </c>
      <c r="AE23" s="4">
        <v>5</v>
      </c>
      <c r="AF23" s="48">
        <v>226</v>
      </c>
      <c r="AG23" s="4">
        <v>5</v>
      </c>
      <c r="AH23" s="48">
        <v>0.2</v>
      </c>
      <c r="AI23" s="4">
        <v>5</v>
      </c>
      <c r="AJ23" s="3">
        <v>5</v>
      </c>
      <c r="AK23" s="50">
        <v>226</v>
      </c>
    </row>
    <row r="24" spans="1:37" x14ac:dyDescent="0.25">
      <c r="A24" s="49" t="s">
        <v>34</v>
      </c>
      <c r="B24" s="50" t="s">
        <v>289</v>
      </c>
      <c r="D24" s="4">
        <v>5</v>
      </c>
      <c r="E24" s="4">
        <v>5</v>
      </c>
      <c r="F24" s="4">
        <v>5</v>
      </c>
      <c r="G24" s="4">
        <v>5</v>
      </c>
      <c r="H24" s="4">
        <v>5</v>
      </c>
      <c r="I24" s="4">
        <v>5</v>
      </c>
      <c r="J24" s="4">
        <v>5</v>
      </c>
      <c r="K24" s="4">
        <v>5</v>
      </c>
      <c r="L24" s="4">
        <v>5</v>
      </c>
      <c r="M24" s="4">
        <v>5</v>
      </c>
      <c r="N24" s="4">
        <v>5</v>
      </c>
      <c r="O24" s="4">
        <v>5</v>
      </c>
      <c r="P24" s="7">
        <v>0.886075949367089</v>
      </c>
      <c r="Q24" s="7">
        <v>0.91340782122904995</v>
      </c>
      <c r="R24" s="7">
        <v>0.93388429752066104</v>
      </c>
      <c r="S24" s="7">
        <v>0.91913746630727799</v>
      </c>
      <c r="T24" s="7">
        <v>0.95499999999999996</v>
      </c>
      <c r="U24" s="7">
        <v>2.5999999999999999E-2</v>
      </c>
      <c r="V24" s="7">
        <v>7.5999999999999998E-2</v>
      </c>
      <c r="W24" s="7">
        <v>4.1000000000000002E-2</v>
      </c>
      <c r="X24" s="7">
        <v>5.8999999999999997E-2</v>
      </c>
      <c r="Y24" s="7">
        <v>6.8000000000000005E-2</v>
      </c>
      <c r="Z24" s="81">
        <f t="shared" si="1"/>
        <v>1.04E-2</v>
      </c>
      <c r="AA24" s="81">
        <f t="shared" si="1"/>
        <v>3.04E-2</v>
      </c>
      <c r="AB24" s="81">
        <f t="shared" si="1"/>
        <v>1.6400000000000001E-2</v>
      </c>
      <c r="AC24" s="81">
        <f t="shared" si="1"/>
        <v>2.3599999999999999E-2</v>
      </c>
      <c r="AD24" s="81">
        <f t="shared" si="1"/>
        <v>2.7200000000000002E-2</v>
      </c>
      <c r="AE24" s="4">
        <v>5</v>
      </c>
      <c r="AF24" s="48">
        <v>218</v>
      </c>
      <c r="AG24" s="4">
        <v>5</v>
      </c>
      <c r="AH24" s="48"/>
      <c r="AI24" s="4">
        <v>5</v>
      </c>
      <c r="AJ24" s="3">
        <v>5</v>
      </c>
      <c r="AK24" s="50">
        <v>218</v>
      </c>
    </row>
    <row r="25" spans="1:37" x14ac:dyDescent="0.25">
      <c r="A25" s="51" t="s">
        <v>35</v>
      </c>
      <c r="B25" s="50" t="s">
        <v>275</v>
      </c>
      <c r="C25" s="50">
        <v>1</v>
      </c>
      <c r="D25" s="4">
        <v>5</v>
      </c>
      <c r="E25" s="4">
        <v>5</v>
      </c>
      <c r="F25" s="4">
        <v>5</v>
      </c>
      <c r="G25" s="4">
        <v>5</v>
      </c>
      <c r="H25" s="4">
        <v>5</v>
      </c>
      <c r="I25" s="4">
        <v>5</v>
      </c>
      <c r="J25" s="4">
        <v>5</v>
      </c>
      <c r="K25" s="4">
        <v>5</v>
      </c>
      <c r="L25" s="4">
        <v>5</v>
      </c>
      <c r="M25" s="4">
        <v>5</v>
      </c>
      <c r="N25" s="4">
        <v>5</v>
      </c>
      <c r="O25" s="4">
        <v>5</v>
      </c>
      <c r="P25" s="7">
        <v>0.881287726358149</v>
      </c>
      <c r="Q25" s="7">
        <v>0.94318181818181801</v>
      </c>
      <c r="R25" s="7">
        <v>0.93949044585987296</v>
      </c>
      <c r="S25" s="7">
        <v>0.93193717277486898</v>
      </c>
      <c r="T25" s="7">
        <v>0.91981132075471705</v>
      </c>
      <c r="U25" s="7">
        <v>2.1999999999999999E-2</v>
      </c>
      <c r="V25" s="7">
        <v>6.6000000000000003E-2</v>
      </c>
      <c r="W25" s="7">
        <v>3.6999999999999998E-2</v>
      </c>
      <c r="X25" s="7">
        <v>5.1999999999999998E-2</v>
      </c>
      <c r="Y25" s="7">
        <v>5.8999999999999997E-2</v>
      </c>
      <c r="Z25" s="81">
        <f t="shared" si="1"/>
        <v>8.8000000000000005E-3</v>
      </c>
      <c r="AA25" s="81">
        <f t="shared" si="1"/>
        <v>2.6400000000000003E-2</v>
      </c>
      <c r="AB25" s="81">
        <f t="shared" si="1"/>
        <v>1.4800000000000001E-2</v>
      </c>
      <c r="AC25" s="81">
        <f t="shared" si="1"/>
        <v>2.0799999999999999E-2</v>
      </c>
      <c r="AD25" s="81">
        <f t="shared" si="1"/>
        <v>2.3599999999999999E-2</v>
      </c>
      <c r="AE25" s="4">
        <v>5</v>
      </c>
      <c r="AF25" s="48">
        <v>222</v>
      </c>
      <c r="AG25" s="4">
        <v>5</v>
      </c>
      <c r="AH25" s="48"/>
      <c r="AI25" s="4">
        <v>5</v>
      </c>
      <c r="AJ25" s="3">
        <v>5</v>
      </c>
      <c r="AK25" s="50">
        <v>222</v>
      </c>
    </row>
    <row r="26" spans="1:37" x14ac:dyDescent="0.25">
      <c r="A26" s="49" t="s">
        <v>36</v>
      </c>
      <c r="B26" s="50" t="s">
        <v>289</v>
      </c>
      <c r="D26" s="4">
        <v>5</v>
      </c>
      <c r="E26" s="4">
        <v>5</v>
      </c>
      <c r="F26" s="4">
        <v>5</v>
      </c>
      <c r="G26" s="4">
        <v>5</v>
      </c>
      <c r="H26" s="4">
        <v>5</v>
      </c>
      <c r="I26" s="4">
        <v>5</v>
      </c>
      <c r="J26" s="4">
        <v>5</v>
      </c>
      <c r="K26" s="4">
        <v>5</v>
      </c>
      <c r="L26" s="4">
        <v>5</v>
      </c>
      <c r="M26" s="4">
        <v>5</v>
      </c>
      <c r="N26" s="4">
        <v>5</v>
      </c>
      <c r="O26" s="4">
        <v>5</v>
      </c>
      <c r="P26" s="7">
        <v>0.97538461538461496</v>
      </c>
      <c r="Q26" s="7">
        <v>0.95145631067961201</v>
      </c>
      <c r="R26" s="7">
        <v>0.91964285714285698</v>
      </c>
      <c r="S26" s="7">
        <v>0.91074681238615696</v>
      </c>
      <c r="T26" s="7">
        <v>0.91954022988505801</v>
      </c>
      <c r="U26" s="7">
        <v>1.1000000000000001E-3</v>
      </c>
      <c r="V26" s="7">
        <v>1.2E-2</v>
      </c>
      <c r="W26" s="7">
        <v>6.7999999999999996E-3</v>
      </c>
      <c r="X26" s="7">
        <v>9.4999999999999998E-3</v>
      </c>
      <c r="Y26" s="7">
        <v>1.0999999999999999E-2</v>
      </c>
      <c r="Z26" s="81">
        <f t="shared" si="1"/>
        <v>4.4000000000000007E-4</v>
      </c>
      <c r="AA26" s="81">
        <f t="shared" si="1"/>
        <v>4.8000000000000004E-3</v>
      </c>
      <c r="AB26" s="81">
        <f t="shared" si="1"/>
        <v>2.7200000000000002E-3</v>
      </c>
      <c r="AC26" s="81">
        <f t="shared" si="1"/>
        <v>3.8E-3</v>
      </c>
      <c r="AD26" s="81">
        <f t="shared" si="1"/>
        <v>4.4000000000000003E-3</v>
      </c>
      <c r="AE26" s="4">
        <v>5</v>
      </c>
      <c r="AF26" s="48">
        <v>229</v>
      </c>
      <c r="AG26" s="4">
        <v>5</v>
      </c>
      <c r="AH26" s="48">
        <v>5.0000000000000001E-4</v>
      </c>
      <c r="AI26" s="4">
        <v>5</v>
      </c>
      <c r="AJ26" s="3">
        <v>5</v>
      </c>
      <c r="AK26" s="50">
        <v>229</v>
      </c>
    </row>
    <row r="27" spans="1:37" x14ac:dyDescent="0.25">
      <c r="A27" s="49" t="s">
        <v>37</v>
      </c>
      <c r="B27" s="50" t="s">
        <v>289</v>
      </c>
      <c r="D27" s="4">
        <v>5</v>
      </c>
      <c r="E27" s="4">
        <v>5</v>
      </c>
      <c r="F27" s="4">
        <v>5</v>
      </c>
      <c r="G27" s="4">
        <v>5</v>
      </c>
      <c r="H27" s="4">
        <v>5</v>
      </c>
      <c r="I27" s="4">
        <v>5</v>
      </c>
      <c r="J27" s="4">
        <v>5</v>
      </c>
      <c r="K27" s="4">
        <v>5</v>
      </c>
      <c r="L27" s="4">
        <v>5</v>
      </c>
      <c r="M27" s="4">
        <v>5</v>
      </c>
      <c r="N27" s="4">
        <v>5</v>
      </c>
      <c r="O27" s="4">
        <v>5</v>
      </c>
      <c r="P27" s="7">
        <v>0.94202898550724601</v>
      </c>
      <c r="Q27" s="7">
        <v>0.96767241379310298</v>
      </c>
      <c r="R27" s="7">
        <v>0.91346153846153799</v>
      </c>
      <c r="S27" s="7">
        <v>0.90301003344481601</v>
      </c>
      <c r="T27" s="7">
        <v>0.91029900332225899</v>
      </c>
      <c r="U27" s="7">
        <v>6.1999999999999998E-3</v>
      </c>
      <c r="V27" s="7">
        <v>5.6000000000000001E-2</v>
      </c>
      <c r="W27" s="7">
        <v>0.02</v>
      </c>
      <c r="X27" s="7">
        <v>3.3000000000000002E-2</v>
      </c>
      <c r="Y27" s="7">
        <v>4.4999999999999998E-2</v>
      </c>
      <c r="Z27" s="81">
        <f t="shared" si="1"/>
        <v>2.48E-3</v>
      </c>
      <c r="AA27" s="81">
        <f t="shared" si="1"/>
        <v>2.2400000000000003E-2</v>
      </c>
      <c r="AB27" s="81">
        <f t="shared" si="1"/>
        <v>8.0000000000000002E-3</v>
      </c>
      <c r="AC27" s="81">
        <f t="shared" si="1"/>
        <v>1.3200000000000002E-2</v>
      </c>
      <c r="AD27" s="81">
        <f t="shared" si="1"/>
        <v>1.7999999999999999E-2</v>
      </c>
      <c r="AE27" s="4">
        <v>5</v>
      </c>
      <c r="AF27" s="48">
        <v>206</v>
      </c>
      <c r="AG27" s="4">
        <v>5</v>
      </c>
      <c r="AH27" s="48"/>
      <c r="AI27" s="4">
        <v>5</v>
      </c>
      <c r="AJ27" s="3">
        <v>5</v>
      </c>
      <c r="AK27" s="50">
        <v>206</v>
      </c>
    </row>
    <row r="28" spans="1:37" x14ac:dyDescent="0.25">
      <c r="A28" s="49" t="s">
        <v>38</v>
      </c>
      <c r="B28" s="50" t="s">
        <v>289</v>
      </c>
      <c r="D28" s="4">
        <v>5</v>
      </c>
      <c r="E28" s="4">
        <v>5</v>
      </c>
      <c r="F28" s="4">
        <v>5</v>
      </c>
      <c r="G28" s="4">
        <v>5</v>
      </c>
      <c r="H28" s="4">
        <v>5</v>
      </c>
      <c r="I28" s="4">
        <v>5</v>
      </c>
      <c r="J28" s="4">
        <v>5</v>
      </c>
      <c r="K28" s="4">
        <v>5</v>
      </c>
      <c r="L28" s="4">
        <v>5</v>
      </c>
      <c r="M28" s="4">
        <v>5</v>
      </c>
      <c r="N28" s="4">
        <v>5</v>
      </c>
      <c r="O28" s="4">
        <v>5</v>
      </c>
      <c r="P28" s="7">
        <v>0.86776859504132198</v>
      </c>
      <c r="Q28" s="7">
        <v>0.94199999999999995</v>
      </c>
      <c r="R28" s="7">
        <v>0.93081761006289299</v>
      </c>
      <c r="S28" s="7">
        <v>0.94166666666666698</v>
      </c>
      <c r="T28" s="7">
        <v>0.91360294117647101</v>
      </c>
      <c r="U28" s="7">
        <v>3.5999999999999997E-2</v>
      </c>
      <c r="V28" s="7">
        <v>0.13</v>
      </c>
      <c r="W28" s="7">
        <v>5.8999999999999997E-2</v>
      </c>
      <c r="X28" s="7">
        <v>8.4000000000000005E-2</v>
      </c>
      <c r="Y28" s="7">
        <v>0.1</v>
      </c>
      <c r="Z28" s="81">
        <f t="shared" si="1"/>
        <v>1.44E-2</v>
      </c>
      <c r="AA28" s="81">
        <f t="shared" si="1"/>
        <v>5.2000000000000005E-2</v>
      </c>
      <c r="AB28" s="81">
        <f t="shared" si="1"/>
        <v>2.3599999999999999E-2</v>
      </c>
      <c r="AC28" s="81">
        <f t="shared" si="1"/>
        <v>3.3600000000000005E-2</v>
      </c>
      <c r="AD28" s="81">
        <f t="shared" si="1"/>
        <v>4.0000000000000008E-2</v>
      </c>
      <c r="AE28" s="4">
        <v>5</v>
      </c>
      <c r="AF28" s="48">
        <v>209</v>
      </c>
      <c r="AG28" s="4">
        <v>5</v>
      </c>
      <c r="AH28" s="48"/>
      <c r="AI28" s="4">
        <v>5</v>
      </c>
      <c r="AJ28" s="3">
        <v>5</v>
      </c>
      <c r="AK28" s="50">
        <v>209</v>
      </c>
    </row>
    <row r="29" spans="1:37" x14ac:dyDescent="0.25">
      <c r="A29" s="49" t="s">
        <v>39</v>
      </c>
      <c r="B29" s="50" t="s">
        <v>289</v>
      </c>
      <c r="D29" s="4">
        <v>5</v>
      </c>
      <c r="E29" s="4">
        <v>5</v>
      </c>
      <c r="F29" s="4">
        <v>5</v>
      </c>
      <c r="G29" s="4">
        <v>5</v>
      </c>
      <c r="H29" s="4">
        <v>5</v>
      </c>
      <c r="I29" s="4">
        <v>5</v>
      </c>
      <c r="J29" s="4">
        <v>5</v>
      </c>
      <c r="K29" s="4">
        <v>5</v>
      </c>
      <c r="L29" s="4">
        <v>5</v>
      </c>
      <c r="M29" s="4">
        <v>5</v>
      </c>
      <c r="N29" s="4">
        <v>5</v>
      </c>
      <c r="O29" s="4">
        <v>5</v>
      </c>
      <c r="P29" s="7">
        <v>0.87301587301587302</v>
      </c>
      <c r="Q29" s="7">
        <v>0.93846153846153801</v>
      </c>
      <c r="R29" s="7">
        <v>0.94059405940594099</v>
      </c>
      <c r="S29" s="7">
        <v>0.94308943089430897</v>
      </c>
      <c r="T29" s="7">
        <v>0.93390804597701205</v>
      </c>
      <c r="U29" s="7">
        <v>3.5999999999999997E-2</v>
      </c>
      <c r="V29" s="7">
        <v>0.12</v>
      </c>
      <c r="W29" s="7">
        <v>0.06</v>
      </c>
      <c r="X29" s="7">
        <v>8.4000000000000005E-2</v>
      </c>
      <c r="Y29" s="7">
        <v>0.1</v>
      </c>
      <c r="Z29" s="81">
        <f t="shared" si="1"/>
        <v>1.44E-2</v>
      </c>
      <c r="AA29" s="81">
        <f t="shared" si="1"/>
        <v>4.8000000000000001E-2</v>
      </c>
      <c r="AB29" s="81">
        <f t="shared" si="1"/>
        <v>2.4E-2</v>
      </c>
      <c r="AC29" s="81">
        <f t="shared" si="1"/>
        <v>3.3600000000000005E-2</v>
      </c>
      <c r="AD29" s="81">
        <f t="shared" si="1"/>
        <v>4.0000000000000008E-2</v>
      </c>
      <c r="AE29" s="4">
        <v>5</v>
      </c>
      <c r="AF29" s="48">
        <v>210</v>
      </c>
      <c r="AG29" s="4">
        <v>5</v>
      </c>
      <c r="AH29" s="48"/>
      <c r="AI29" s="4">
        <v>5</v>
      </c>
      <c r="AJ29" s="3">
        <v>5</v>
      </c>
      <c r="AK29" s="50">
        <v>210</v>
      </c>
    </row>
    <row r="30" spans="1:37" x14ac:dyDescent="0.25">
      <c r="A30" s="49" t="s">
        <v>40</v>
      </c>
      <c r="B30" s="50" t="s">
        <v>289</v>
      </c>
      <c r="D30" s="4">
        <v>5</v>
      </c>
      <c r="E30" s="4">
        <v>5</v>
      </c>
      <c r="F30" s="4">
        <v>5</v>
      </c>
      <c r="G30" s="4">
        <v>5</v>
      </c>
      <c r="H30" s="4">
        <v>5</v>
      </c>
      <c r="I30" s="4">
        <v>5</v>
      </c>
      <c r="J30" s="4">
        <v>5</v>
      </c>
      <c r="K30" s="4">
        <v>5</v>
      </c>
      <c r="L30" s="4">
        <v>5</v>
      </c>
      <c r="M30" s="4">
        <v>5</v>
      </c>
      <c r="N30" s="4">
        <v>5</v>
      </c>
      <c r="O30" s="4">
        <v>5</v>
      </c>
      <c r="P30" s="4">
        <v>1</v>
      </c>
      <c r="Q30" s="4">
        <v>1</v>
      </c>
      <c r="R30" s="4">
        <v>0.97979797979798</v>
      </c>
      <c r="S30" s="4">
        <v>0.97103448275862103</v>
      </c>
      <c r="T30" s="4">
        <v>0.96124031007751898</v>
      </c>
      <c r="U30" s="4">
        <v>1E-4</v>
      </c>
      <c r="V30" s="4">
        <v>1.2E-2</v>
      </c>
      <c r="W30" s="4">
        <v>2.5000000000000001E-3</v>
      </c>
      <c r="X30" s="4">
        <v>7.0000000000000001E-3</v>
      </c>
      <c r="Y30" s="4">
        <v>9.4999999999999998E-3</v>
      </c>
      <c r="Z30" s="81">
        <f t="shared" si="1"/>
        <v>4.0000000000000003E-5</v>
      </c>
      <c r="AA30" s="81">
        <f t="shared" si="1"/>
        <v>4.8000000000000004E-3</v>
      </c>
      <c r="AB30" s="81">
        <f t="shared" si="1"/>
        <v>1E-3</v>
      </c>
      <c r="AC30" s="81">
        <f t="shared" si="1"/>
        <v>2.8000000000000004E-3</v>
      </c>
      <c r="AD30" s="81">
        <f t="shared" si="1"/>
        <v>3.8E-3</v>
      </c>
      <c r="AE30" s="4">
        <v>5</v>
      </c>
      <c r="AF30" s="48">
        <v>233</v>
      </c>
      <c r="AG30" s="4">
        <v>5</v>
      </c>
      <c r="AH30" s="48">
        <v>0.02</v>
      </c>
      <c r="AI30" s="4">
        <v>5</v>
      </c>
      <c r="AJ30" s="3">
        <v>5</v>
      </c>
      <c r="AK30" s="50">
        <v>233</v>
      </c>
    </row>
  </sheetData>
  <sheetProtection algorithmName="SHA-512" hashValue="GNGn16FZ/29kefcTs18btrL2CP8c4ROz9Xe226l4hXp6ve49i7g8AC4VbA/0M/eMv8NMXwTKYD8xMI/59YMO+w==" saltValue="ELIW1rDgQ4lhxwdJYqubXw==" spinCount="100000" sheet="1" objects="1" scenarios="1" formatColumns="0" formatRows="0" autoFilter="0"/>
  <autoFilter ref="A1:AK30" xr:uid="{00000000-0009-0000-0000-000002000000}"/>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6">
    <tabColor theme="9" tint="-0.499984740745262"/>
  </sheetPr>
  <dimension ref="A1:AJ76"/>
  <sheetViews>
    <sheetView zoomScale="90" zoomScaleNormal="90" workbookViewId="0">
      <pane xSplit="2" ySplit="1" topLeftCell="C2" activePane="bottomRight" state="frozen"/>
      <selection pane="topRight" activeCell="C1" sqref="C1"/>
      <selection pane="bottomLeft" activeCell="A2" sqref="A2"/>
      <selection pane="bottomRight" activeCell="C2" sqref="C2"/>
    </sheetView>
  </sheetViews>
  <sheetFormatPr defaultColWidth="9.140625" defaultRowHeight="15" x14ac:dyDescent="0.25"/>
  <cols>
    <col min="1" max="1" width="15.42578125" style="3" customWidth="1"/>
    <col min="2" max="2" width="13.28515625" style="3" bestFit="1" customWidth="1"/>
    <col min="3" max="3" width="14.42578125" style="2" bestFit="1" customWidth="1"/>
    <col min="4" max="4" width="14.5703125" style="2" bestFit="1" customWidth="1"/>
    <col min="5" max="5" width="14.28515625" style="2" bestFit="1" customWidth="1"/>
    <col min="6" max="8" width="14.140625" style="2" bestFit="1" customWidth="1"/>
    <col min="9" max="9" width="14" style="2" bestFit="1" customWidth="1"/>
    <col min="10" max="11" width="14.5703125" style="2" bestFit="1" customWidth="1"/>
    <col min="12" max="12" width="14.42578125" style="2" bestFit="1" customWidth="1"/>
    <col min="13" max="13" width="14.28515625" style="2" bestFit="1" customWidth="1"/>
    <col min="14" max="14" width="13.5703125" style="2" bestFit="1" customWidth="1"/>
    <col min="15" max="16" width="15.42578125" style="2" bestFit="1" customWidth="1"/>
    <col min="17" max="17" width="16.42578125" style="2" bestFit="1" customWidth="1"/>
    <col min="18" max="18" width="13.85546875" style="2" bestFit="1" customWidth="1"/>
    <col min="19" max="19" width="13.140625" style="2" bestFit="1" customWidth="1"/>
    <col min="20" max="21" width="14.85546875" style="2" bestFit="1" customWidth="1"/>
    <col min="22" max="22" width="16" style="2" bestFit="1" customWidth="1"/>
    <col min="23" max="24" width="13.5703125" style="2" bestFit="1" customWidth="1"/>
    <col min="25" max="26" width="15.42578125" style="2" bestFit="1" customWidth="1"/>
    <col min="27" max="27" width="16.42578125" style="2" bestFit="1" customWidth="1"/>
    <col min="28" max="28" width="14.140625" style="2" bestFit="1" customWidth="1"/>
    <col min="29" max="29" width="13.85546875" style="2" bestFit="1" customWidth="1"/>
    <col min="30" max="30" width="14.140625" style="2" bestFit="1" customWidth="1"/>
    <col min="31" max="31" width="13.28515625" style="2" bestFit="1" customWidth="1"/>
    <col min="32" max="32" width="13.42578125" style="2" bestFit="1" customWidth="1"/>
    <col min="33" max="33" width="13.85546875" style="2" bestFit="1" customWidth="1"/>
    <col min="34" max="34" width="14" style="2" bestFit="1" customWidth="1"/>
    <col min="35" max="35" width="14.28515625" style="2" bestFit="1" customWidth="1"/>
    <col min="36" max="36" width="13.7109375" style="2" bestFit="1" customWidth="1"/>
    <col min="37" max="16384" width="9.140625" style="2"/>
  </cols>
  <sheetData>
    <row r="1" spans="1:36" x14ac:dyDescent="0.25">
      <c r="A1" s="47" t="s">
        <v>51</v>
      </c>
      <c r="B1" s="47" t="s">
        <v>274</v>
      </c>
      <c r="C1" s="48" t="s">
        <v>364</v>
      </c>
      <c r="D1" s="48" t="s">
        <v>365</v>
      </c>
      <c r="E1" s="48" t="s">
        <v>366</v>
      </c>
      <c r="F1" s="48" t="s">
        <v>367</v>
      </c>
      <c r="G1" s="65" t="s">
        <v>376</v>
      </c>
      <c r="H1" s="65" t="s">
        <v>377</v>
      </c>
      <c r="I1" s="65" t="s">
        <v>378</v>
      </c>
      <c r="J1" s="66" t="s">
        <v>379</v>
      </c>
      <c r="K1" s="66" t="s">
        <v>380</v>
      </c>
      <c r="L1" s="66" t="s">
        <v>381</v>
      </c>
      <c r="M1" s="66" t="s">
        <v>382</v>
      </c>
      <c r="N1" s="48" t="s">
        <v>368</v>
      </c>
      <c r="O1" s="50" t="s">
        <v>369</v>
      </c>
      <c r="P1" s="50" t="s">
        <v>370</v>
      </c>
      <c r="Q1" s="50" t="s">
        <v>371</v>
      </c>
      <c r="R1" s="50" t="s">
        <v>372</v>
      </c>
      <c r="S1" s="67" t="s">
        <v>394</v>
      </c>
      <c r="T1" s="67" t="s">
        <v>395</v>
      </c>
      <c r="U1" s="67" t="s">
        <v>396</v>
      </c>
      <c r="V1" s="67" t="s">
        <v>397</v>
      </c>
      <c r="W1" s="67" t="s">
        <v>398</v>
      </c>
      <c r="X1" s="68" t="s">
        <v>399</v>
      </c>
      <c r="Y1" s="68" t="s">
        <v>400</v>
      </c>
      <c r="Z1" s="68" t="s">
        <v>401</v>
      </c>
      <c r="AA1" s="68" t="s">
        <v>402</v>
      </c>
      <c r="AB1" s="68" t="s">
        <v>403</v>
      </c>
      <c r="AC1" s="50" t="s">
        <v>373</v>
      </c>
      <c r="AD1" s="50" t="s">
        <v>374</v>
      </c>
      <c r="AE1" s="50" t="s">
        <v>375</v>
      </c>
      <c r="AF1" s="67" t="s">
        <v>404</v>
      </c>
      <c r="AG1" s="67" t="s">
        <v>405</v>
      </c>
      <c r="AH1" s="68" t="s">
        <v>406</v>
      </c>
      <c r="AI1" s="68" t="s">
        <v>407</v>
      </c>
      <c r="AJ1" s="68" t="s">
        <v>408</v>
      </c>
    </row>
    <row r="2" spans="1:36" x14ac:dyDescent="0.25">
      <c r="A2" s="49" t="s">
        <v>12</v>
      </c>
      <c r="B2" s="50" t="s">
        <v>289</v>
      </c>
      <c r="C2" s="48">
        <f>IFERROR((s_TR/(up_RadSpec!I2*s_EF_iw*s_ED_ind*s_IRS_iw*(1/1000)))*1,".")</f>
        <v>7.2727272727272728E-9</v>
      </c>
      <c r="D2" s="48">
        <f>IFERROR(IF(A2="H-3",(s_TR/(up_RadSpec!G2*s_EF_iw*s_ED_ind*(s_ET_iw_o+s_ET_iw_i)*(1/24)*s_IRA_iw*(1/17)*1000))*1,(s_TR/(up_RadSpec!G2*s_EF_iw*s_ED_ind*(s_ET_iw_o+s_ET_iw_i)*(1/24)*s_IRA_iw*(1/s_PEF_wind)*1000))*1),".")</f>
        <v>9.0250320889537196E-6</v>
      </c>
      <c r="E2" s="48">
        <f>IFERROR((s_TR/(up_RadSpec!F2*s_EF_iw*(1/365)*s_ED_ind*up_RadSpec!Q2*(s_ET_iw_o+s_ET_iw_i)*(1/24)*up_RadSpec!AA2))*1,".")</f>
        <v>4.2273137388926875E-5</v>
      </c>
      <c r="F2" s="48">
        <f t="shared" ref="F2:F30" si="0">(IF(AND(ISNUMBER(C2),ISNUMBER(D2),ISNUMBER(E2)),1/((1/C2)+(1/D2)+(1/E2)),IF(AND(ISNUMBER(C2),ISNUMBER(D2),NOT(ISNUMBER(E2))), 1/((1/C2)+(1/D2)),IF(AND(ISNUMBER(C2),NOT(ISNUMBER(D2)),ISNUMBER(E2)),1/((1/C2)+(1/E2)),IF(AND(NOT(ISNUMBER(C2)),ISNUMBER(D2),ISNUMBER(E2)),1/((1/D2)+(1/E2)),IF(AND(ISNUMBER(C2),NOT(ISNUMBER(D2)),NOT(ISNUMBER(E2))),1/((1/C2)),IF(AND(NOT(ISNUMBER(C2)),NOT(ISNUMBER(D2)),ISNUMBER(E2)),1/((1/E2)),IF(AND(NOT(ISNUMBER(C2)),ISNUMBER(D2),NOT(ISNUMBER(E2))),1/((1/D2)),IF(AND(NOT(ISNUMBER(C2)),NOT(ISNUMBER(D2)),NOT(ISNUMBER(E2))),".")))))))))</f>
        <v>7.2656223598778103E-9</v>
      </c>
      <c r="G2" s="69">
        <f t="shared" ref="G2:G30" si="1">s_C*s_EF_iw*s_ED_ind*s_IRS_iw*(1/1000)*1</f>
        <v>1527762.5</v>
      </c>
      <c r="H2" s="69">
        <f t="shared" ref="H2:H30" si="2">s_C*s_EF_iw*s_ED_ind*(s_ET_iw_o+s_ET_iw_i)*(1/24)*s_IRA_iw*(1/s_PEF_wind)*1000*1</f>
        <v>1231.1313567072434</v>
      </c>
      <c r="I2" s="69">
        <f>s_C*s_EF_iw*(1/365)*s_ED_ind*(s_ET_iw_o+s_ET_iw_i)*(1/24)*up_RadSpec!AA2*up_RadSpec!Q2*1</f>
        <v>262.8383102435742</v>
      </c>
      <c r="J2" s="11"/>
      <c r="K2" s="11"/>
      <c r="L2" s="11"/>
      <c r="M2" s="11"/>
      <c r="N2" s="48">
        <f>IFERROR((s_TR/(up_RadSpec!F2*s_EF_iw*(1/365)*s_ED_ind*up_RadSpec!Q2*(s_ET_iw_o+s_ET_iw_i)*(1/24)*up_RadSpec!AA2))*1,".")</f>
        <v>4.2273137388926875E-5</v>
      </c>
      <c r="O2" s="48">
        <f>IFERROR((s_TR/(up_RadSpec!M2*s_EF_iw*(1/365)*s_ED_ind*up_RadSpec!R2*(s_ET_iw_o+s_ET_iw_i)*(1/24)*up_RadSpec!AB2))*1,".")</f>
        <v>8.5473584007615406E-5</v>
      </c>
      <c r="P2" s="48">
        <f>IFERROR((s_TR/(up_RadSpec!N2*s_EF_iw*(1/365)*s_ED_ind*up_RadSpec!S2*(s_ET_iw_o+s_ET_iw_i)*(1/24)*up_RadSpec!AC2))*1,".")</f>
        <v>5.8052676295666921E-5</v>
      </c>
      <c r="Q2" s="48">
        <f>IFERROR((s_TR/(up_RadSpec!O2*s_EF_iw*(1/365)*s_ED_ind*up_RadSpec!T2*(s_ET_iw_o+s_ET_iw_i)*(1/24)*up_RadSpec!AD2))*1,".")</f>
        <v>4.8254604872251918E-5</v>
      </c>
      <c r="R2" s="48">
        <f>IFERROR((s_TR/(up_RadSpec!K2*s_EF_iw*(1/365)*s_ED_ind*up_RadSpec!P2*(s_ET_iw_o+s_ET_iw_i)*(1/24)*up_RadSpec!Z2))*1,".")</f>
        <v>6.7637975023499409E-4</v>
      </c>
      <c r="S2" s="69">
        <f>s_C*s_EF_iw*(1/365)*s_ED_ind*(s_ET_iw_o+s_ET_iw_i)*(1/24)*up_RadSpec!AA2*up_RadSpec!Q2*1</f>
        <v>262.8383102435742</v>
      </c>
      <c r="T2" s="69">
        <f>s_C*s_EF_iw*(1/365)*s_ED_ind*(s_ET_iw_o+s_ET_iw_i)*(1/24)*up_RadSpec!AB2*up_RadSpec!R2*1</f>
        <v>129.9933789954338</v>
      </c>
      <c r="U2" s="69">
        <f>s_C*s_EF_iw*(1/365)*s_ED_ind*(s_ET_iw_o+s_ET_iw_i)*(1/24)*up_RadSpec!AC2*up_RadSpec!S2*1</f>
        <v>191.39513815712453</v>
      </c>
      <c r="V2" s="69">
        <f>s_C*s_EF_iw*(1/365)*s_ED_ind*(s_ET_iw_o+s_ET_iw_i)*(1/24)*up_RadSpec!AD2*up_RadSpec!T2*1</f>
        <v>230.25781745420966</v>
      </c>
      <c r="W2" s="69">
        <f>s_C*s_EF_iw*(1/365)*s_ED_ind*(s_ET_iw_o+s_ET_iw_i)*(1/24)*up_RadSpec!Z2*up_RadSpec!P2*1</f>
        <v>16.427162398252925</v>
      </c>
      <c r="X2" s="11"/>
      <c r="Y2" s="11"/>
      <c r="Z2" s="11"/>
      <c r="AA2" s="11"/>
      <c r="AB2" s="11"/>
      <c r="AC2" s="48">
        <f>IFERROR(s_TR/(up_RadSpec!G2*s_EF_iw*s_ED_ind*(s_ET_iw_o+s_ET_iw_i)*(1/24)*s_IRA_iw),".")</f>
        <v>2.9090909090909089E-11</v>
      </c>
      <c r="AD2" s="48">
        <f>IFERROR(s_TR/(up_RadSpec!J2*s_EF_iw*(1/365)*s_ED_ind*(s_ET_iw_o+s_ET_iw_i)*(1/24)*s_GSF_a),".")</f>
        <v>1.5927272727272726E-7</v>
      </c>
      <c r="AE2" s="48">
        <f t="shared" ref="AE2" si="3">IFERROR(IF(AND(ISNUMBER(AC2),ISNUMBER(AD2)),1/((1/AC2)+(1/AD2)),IF(AND(ISNUMBER(AC2),NOT(ISNUMBER(AD2))),1/((1/AC2)),IF(AND(NOT(ISNUMBER(AC2)),ISNUMBER(AD2)),1/((1/AD2)),IF(AND(NOT(ISNUMBER(AC2)),NOT(ISNUMBER(AD2))),".")))),".")</f>
        <v>2.9085596653164224E-11</v>
      </c>
      <c r="AF2" s="69">
        <f t="shared" ref="AF2:AF30" si="4">s_C*s_EF_iw*s_ED_ind*(s_ET_iw_o+s_ET_iw_i)*(1/24)*s_IRA_iw*1</f>
        <v>381940625</v>
      </c>
      <c r="AG2" s="69">
        <f t="shared" ref="AG2:AG30" si="5">s_C*s_EF_iw*(1/365)*s_ED_ind*(s_ET_iw_o+s_ET_iw_i)*(1/24)*s_GSF_a*1</f>
        <v>69760.844748858435</v>
      </c>
      <c r="AH2" s="11"/>
      <c r="AI2" s="11"/>
      <c r="AJ2" s="11"/>
    </row>
    <row r="3" spans="1:36" x14ac:dyDescent="0.25">
      <c r="A3" s="51" t="s">
        <v>13</v>
      </c>
      <c r="B3" s="50" t="s">
        <v>275</v>
      </c>
      <c r="C3" s="48">
        <f>IFERROR((s_TR/(up_RadSpec!I3*s_EF_iw*s_ED_ind*s_IRS_iw*(1/1000)))*1,".")</f>
        <v>7.2727272727272728E-9</v>
      </c>
      <c r="D3" s="48">
        <f>IFERROR(IF(A3="H-3",(s_TR/(up_RadSpec!G3*s_EF_iw*s_ED_ind*(s_ET_iw_o+s_ET_iw_i)*(1/24)*s_IRA_iw*(1/17)*1000))*1,(s_TR/(up_RadSpec!G3*s_EF_iw*s_ED_ind*(s_ET_iw_o+s_ET_iw_i)*(1/24)*s_IRA_iw*(1/s_PEF_wind)*1000))*1),".")</f>
        <v>9.0250320889537196E-6</v>
      </c>
      <c r="E3" s="48">
        <f>IFERROR((s_TR/(up_RadSpec!F3*s_EF_iw*(1/365)*s_ED_ind*up_RadSpec!Q3*(s_ET_iw_o+s_ET_iw_i)*(1/24)*up_RadSpec!AA3))*1,".")</f>
        <v>5.5461038961038987E-3</v>
      </c>
      <c r="F3" s="48">
        <f t="shared" si="0"/>
        <v>7.2668618192965252E-9</v>
      </c>
      <c r="G3" s="69">
        <f t="shared" si="1"/>
        <v>1527762.5</v>
      </c>
      <c r="H3" s="69">
        <f t="shared" si="2"/>
        <v>1231.1313567072434</v>
      </c>
      <c r="I3" s="69">
        <f>s_C*s_EF_iw*(1/365)*s_ED_ind*(s_ET_iw_o+s_ET_iw_i)*(1/24)*up_RadSpec!AA3*up_RadSpec!Q3*1</f>
        <v>2.003388362018498</v>
      </c>
      <c r="J3" s="4"/>
      <c r="K3" s="4"/>
      <c r="L3" s="4"/>
      <c r="M3" s="4"/>
      <c r="N3" s="48">
        <f>IFERROR((s_TR/(up_RadSpec!F3*s_EF_iw*(1/365)*s_ED_ind*up_RadSpec!Q3*(s_ET_iw_o+s_ET_iw_i)*(1/24)*up_RadSpec!AA3))*1,".")</f>
        <v>5.5461038961038987E-3</v>
      </c>
      <c r="O3" s="48">
        <f>IFERROR((s_TR/(up_RadSpec!M3*s_EF_iw*(1/365)*s_ED_ind*up_RadSpec!R3*(s_ET_iw_o+s_ET_iw_i)*(1/24)*up_RadSpec!AB3))*1,".")</f>
        <v>7.7765437830810682E-3</v>
      </c>
      <c r="P3" s="48">
        <f>IFERROR((s_TR/(up_RadSpec!N3*s_EF_iw*(1/365)*s_ED_ind*up_RadSpec!S3*(s_ET_iw_o+s_ET_iw_i)*(1/24)*up_RadSpec!AC3))*1,".")</f>
        <v>5.8957307885484688E-3</v>
      </c>
      <c r="Q3" s="48">
        <f>IFERROR((s_TR/(up_RadSpec!O3*s_EF_iw*(1/365)*s_ED_ind*up_RadSpec!T3*(s_ET_iw_o+s_ET_iw_i)*(1/24)*up_RadSpec!AD3))*1,".")</f>
        <v>6.0774208842005427E-3</v>
      </c>
      <c r="R3" s="48">
        <f>IFERROR((s_TR/(up_RadSpec!K3*s_EF_iw*(1/365)*s_ED_ind*up_RadSpec!P3*(s_ET_iw_o+s_ET_iw_i)*(1/24)*up_RadSpec!Z3))*1,".")</f>
        <v>1.2057046357486605E-2</v>
      </c>
      <c r="S3" s="69">
        <f>s_C*s_EF_iw*(1/365)*s_ED_ind*(s_ET_iw_o+s_ET_iw_i)*(1/24)*up_RadSpec!AA3*up_RadSpec!Q3*1</f>
        <v>2.003388362018498</v>
      </c>
      <c r="T3" s="69">
        <f>s_C*s_EF_iw*(1/365)*s_ED_ind*(s_ET_iw_o+s_ET_iw_i)*(1/24)*up_RadSpec!AB3*up_RadSpec!R3*1</f>
        <v>1.4287838286429371</v>
      </c>
      <c r="U3" s="69">
        <f>s_C*s_EF_iw*(1/365)*s_ED_ind*(s_ET_iw_o+s_ET_iw_i)*(1/24)*up_RadSpec!AC3*up_RadSpec!S3*1</f>
        <v>1.8845840148572204</v>
      </c>
      <c r="V3" s="69">
        <f>s_C*s_EF_iw*(1/365)*s_ED_ind*(s_ET_iw_o+s_ET_iw_i)*(1/24)*up_RadSpec!AD3*up_RadSpec!T3*1</f>
        <v>1.8282426397166667</v>
      </c>
      <c r="W3" s="69">
        <f>s_C*s_EF_iw*(1/365)*s_ED_ind*(s_ET_iw_o+s_ET_iw_i)*(1/24)*up_RadSpec!Z3*up_RadSpec!P3*1</f>
        <v>0.92153581155477782</v>
      </c>
      <c r="X3" s="11"/>
      <c r="Y3" s="11"/>
      <c r="Z3" s="11"/>
      <c r="AA3" s="11"/>
      <c r="AB3" s="11"/>
      <c r="AC3" s="48">
        <f>IFERROR(s_TR/(up_RadSpec!G3*s_EF_iw*s_ED_ind*(s_ET_iw_o+s_ET_iw_i)*(1/24)*s_IRA_iw),".")</f>
        <v>2.9090909090909089E-11</v>
      </c>
      <c r="AD3" s="48">
        <f>IFERROR(s_TR/(up_RadSpec!J3*s_EF_iw*(1/365)*s_ED_ind*(s_ET_iw_o+s_ET_iw_i)*(1/24)*s_GSF_a),".")</f>
        <v>1.5927272727272726E-7</v>
      </c>
      <c r="AE3" s="48">
        <f>IFERROR(IF(AND(ISNUMBER(AC3),ISNUMBER(AD3)),1/((1/AC3)+(1/AD3)),IF(AND(ISNUMBER(AC3),NOT(ISNUMBER(AD3))),1/((1/AC3)),IF(AND(NOT(ISNUMBER(AC3)),ISNUMBER(AD3)),1/((1/AD3)),IF(AND(NOT(ISNUMBER(AC3)),NOT(ISNUMBER(AD3))),".")))),".")</f>
        <v>2.9085596653164224E-11</v>
      </c>
      <c r="AF3" s="69">
        <f t="shared" si="4"/>
        <v>381940625</v>
      </c>
      <c r="AG3" s="69">
        <f t="shared" si="5"/>
        <v>69760.844748858435</v>
      </c>
      <c r="AH3" s="10"/>
      <c r="AI3" s="10"/>
      <c r="AJ3" s="10"/>
    </row>
    <row r="4" spans="1:36" x14ac:dyDescent="0.25">
      <c r="A4" s="49" t="s">
        <v>14</v>
      </c>
      <c r="B4" s="50" t="s">
        <v>289</v>
      </c>
      <c r="C4" s="48">
        <f>IFERROR((s_TR/(up_RadSpec!I4*s_EF_iw*s_ED_ind*s_IRS_iw*(1/1000)))*1,".")</f>
        <v>7.2727272727272728E-9</v>
      </c>
      <c r="D4" s="48">
        <f>IFERROR(IF(A4="H-3",(s_TR/(up_RadSpec!G4*s_EF_iw*s_ED_ind*(s_ET_iw_o+s_ET_iw_i)*(1/24)*s_IRA_iw*(1/17)*1000))*1,(s_TR/(up_RadSpec!G4*s_EF_iw*s_ED_ind*(s_ET_iw_o+s_ET_iw_i)*(1/24)*s_IRA_iw*(1/s_PEF_wind)*1000))*1),".")</f>
        <v>9.0250320889537196E-6</v>
      </c>
      <c r="E4" s="48">
        <f>IFERROR((s_TR/(up_RadSpec!F4*s_EF_iw*(1/365)*s_ED_ind*up_RadSpec!Q4*(s_ET_iw_o+s_ET_iw_i)*(1/24)*up_RadSpec!AA4))*1,".")</f>
        <v>2.0646464646464657E-5</v>
      </c>
      <c r="F4" s="48">
        <f t="shared" si="0"/>
        <v>7.264314542835562E-9</v>
      </c>
      <c r="G4" s="69">
        <f t="shared" si="1"/>
        <v>1527762.5</v>
      </c>
      <c r="H4" s="69">
        <f t="shared" si="2"/>
        <v>1231.1313567072434</v>
      </c>
      <c r="I4" s="69">
        <f>s_C*s_EF_iw*(1/365)*s_ED_ind*(s_ET_iw_o+s_ET_iw_i)*(1/24)*up_RadSpec!AA4*up_RadSpec!Q4*1</f>
        <v>538.1550880626221</v>
      </c>
      <c r="J4" s="4"/>
      <c r="K4" s="4"/>
      <c r="L4" s="4"/>
      <c r="M4" s="4"/>
      <c r="N4" s="48">
        <f>IFERROR((s_TR/(up_RadSpec!F4*s_EF_iw*(1/365)*s_ED_ind*up_RadSpec!Q4*(s_ET_iw_o+s_ET_iw_i)*(1/24)*up_RadSpec!AA4))*1,".")</f>
        <v>2.0646464646464657E-5</v>
      </c>
      <c r="O4" s="48">
        <f>IFERROR((s_TR/(up_RadSpec!M4*s_EF_iw*(1/365)*s_ED_ind*up_RadSpec!R4*(s_ET_iw_o+s_ET_iw_i)*(1/24)*up_RadSpec!AB4))*1,".")</f>
        <v>3.3692307692307704E-5</v>
      </c>
      <c r="P4" s="48">
        <f>IFERROR((s_TR/(up_RadSpec!N4*s_EF_iw*(1/365)*s_ED_ind*up_RadSpec!S4*(s_ET_iw_o+s_ET_iw_i)*(1/24)*up_RadSpec!AC4))*1,".")</f>
        <v>2.423715415019762E-5</v>
      </c>
      <c r="Q4" s="48">
        <f>IFERROR((s_TR/(up_RadSpec!O4*s_EF_iw*(1/365)*s_ED_ind*up_RadSpec!T4*(s_ET_iw_o+s_ET_iw_i)*(1/24)*up_RadSpec!AD4))*1,".")</f>
        <v>2.1098354141832403E-5</v>
      </c>
      <c r="R4" s="48">
        <f>IFERROR((s_TR/(up_RadSpec!K4*s_EF_iw*(1/365)*s_ED_ind*up_RadSpec!P4*(s_ET_iw_o+s_ET_iw_i)*(1/24)*up_RadSpec!Z4))*1,".")</f>
        <v>6.2221661833312302E-5</v>
      </c>
      <c r="S4" s="69">
        <f>s_C*s_EF_iw*(1/365)*s_ED_ind*(s_ET_iw_o+s_ET_iw_i)*(1/24)*up_RadSpec!AA4*up_RadSpec!Q4*1</f>
        <v>538.1550880626221</v>
      </c>
      <c r="T4" s="69">
        <f>s_C*s_EF_iw*(1/365)*s_ED_ind*(s_ET_iw_o+s_ET_iw_i)*(1/24)*up_RadSpec!AB4*up_RadSpec!R4*1</f>
        <v>329.77853881278526</v>
      </c>
      <c r="U4" s="69">
        <f>s_C*s_EF_iw*(1/365)*s_ED_ind*(s_ET_iw_o+s_ET_iw_i)*(1/24)*up_RadSpec!AC4*up_RadSpec!S4*1</f>
        <v>458.42840834964124</v>
      </c>
      <c r="V4" s="69">
        <f>s_C*s_EF_iw*(1/365)*s_ED_ind*(s_ET_iw_o+s_ET_iw_i)*(1/24)*up_RadSpec!AD4*up_RadSpec!T4*1</f>
        <v>526.62875621989167</v>
      </c>
      <c r="W4" s="69">
        <f>s_C*s_EF_iw*(1/365)*s_ED_ind*(s_ET_iw_o+s_ET_iw_i)*(1/24)*up_RadSpec!Z4*up_RadSpec!P4*1</f>
        <v>178.57125111453357</v>
      </c>
      <c r="X4" s="11"/>
      <c r="Y4" s="11"/>
      <c r="Z4" s="11"/>
      <c r="AA4" s="11"/>
      <c r="AB4" s="11"/>
      <c r="AC4" s="48">
        <f>IFERROR(s_TR/(up_RadSpec!G4*s_EF_iw*s_ED_ind*(s_ET_iw_o+s_ET_iw_i)*(1/24)*s_IRA_iw),".")</f>
        <v>2.9090909090909089E-11</v>
      </c>
      <c r="AD4" s="48">
        <f>IFERROR(s_TR/(up_RadSpec!J4*s_EF_iw*(1/365)*s_ED_ind*(s_ET_iw_o+s_ET_iw_i)*(1/24)*s_GSF_a),".")</f>
        <v>1.5927272727272726E-7</v>
      </c>
      <c r="AE4" s="48">
        <f t="shared" ref="AE4:AE30" si="6">IFERROR(IF(AND(ISNUMBER(AC4),ISNUMBER(AD4)),1/((1/AC4)+(1/AD4)),IF(AND(ISNUMBER(AC4),NOT(ISNUMBER(AD4))),1/((1/AC4)),IF(AND(NOT(ISNUMBER(AC4)),ISNUMBER(AD4)),1/((1/AD4)),IF(AND(NOT(ISNUMBER(AC4)),NOT(ISNUMBER(AD4))),".")))),".")</f>
        <v>2.9085596653164224E-11</v>
      </c>
      <c r="AF4" s="69">
        <f t="shared" si="4"/>
        <v>381940625</v>
      </c>
      <c r="AG4" s="69">
        <f t="shared" si="5"/>
        <v>69760.844748858435</v>
      </c>
      <c r="AH4" s="10"/>
      <c r="AI4" s="10"/>
      <c r="AJ4" s="10"/>
    </row>
    <row r="5" spans="1:36" x14ac:dyDescent="0.25">
      <c r="A5" s="49" t="s">
        <v>15</v>
      </c>
      <c r="B5" s="50" t="s">
        <v>289</v>
      </c>
      <c r="C5" s="48">
        <f>IFERROR((s_TR/(up_RadSpec!I5*s_EF_iw*s_ED_ind*s_IRS_iw*(1/1000)))*1,".")</f>
        <v>7.2727272727272728E-9</v>
      </c>
      <c r="D5" s="48">
        <f>IFERROR(IF(A5="H-3",(s_TR/(up_RadSpec!G5*s_EF_iw*s_ED_ind*(s_ET_iw_o+s_ET_iw_i)*(1/24)*s_IRA_iw*(1/17)*1000))*1,(s_TR/(up_RadSpec!G5*s_EF_iw*s_ED_ind*(s_ET_iw_o+s_ET_iw_i)*(1/24)*s_IRA_iw*(1/s_PEF_wind)*1000))*1),".")</f>
        <v>9.0250320889537196E-6</v>
      </c>
      <c r="E5" s="48" t="str">
        <f>IFERROR((s_TR/(up_RadSpec!F5*s_EF_iw*(1/365)*s_ED_ind*up_RadSpec!Q5*(s_ET_iw_o+s_ET_iw_i)*(1/24)*up_RadSpec!AA5))*1,".")</f>
        <v>.</v>
      </c>
      <c r="F5" s="48">
        <f t="shared" si="0"/>
        <v>7.2668713408184592E-9</v>
      </c>
      <c r="G5" s="69">
        <f t="shared" si="1"/>
        <v>1527762.5</v>
      </c>
      <c r="H5" s="69">
        <f t="shared" si="2"/>
        <v>1231.1313567072434</v>
      </c>
      <c r="I5" s="69">
        <f>s_C*s_EF_iw*(1/365)*s_ED_ind*(s_ET_iw_o+s_ET_iw_i)*(1/24)*up_RadSpec!AA5*up_RadSpec!Q5*1</f>
        <v>0</v>
      </c>
      <c r="J5" s="4"/>
      <c r="K5" s="4"/>
      <c r="L5" s="4"/>
      <c r="M5" s="4"/>
      <c r="N5" s="48" t="str">
        <f>IFERROR((s_TR/(up_RadSpec!F5*s_EF_iw*(1/365)*s_ED_ind*up_RadSpec!Q5*(s_ET_iw_o+s_ET_iw_i)*(1/24)*up_RadSpec!AA5))*1,".")</f>
        <v>.</v>
      </c>
      <c r="O5" s="48" t="str">
        <f>IFERROR((s_TR/(up_RadSpec!M5*s_EF_iw*(1/365)*s_ED_ind*up_RadSpec!R5*(s_ET_iw_o+s_ET_iw_i)*(1/24)*up_RadSpec!AB5))*1,".")</f>
        <v>.</v>
      </c>
      <c r="P5" s="48" t="str">
        <f>IFERROR((s_TR/(up_RadSpec!N5*s_EF_iw*(1/365)*s_ED_ind*up_RadSpec!S5*(s_ET_iw_o+s_ET_iw_i)*(1/24)*up_RadSpec!AC5))*1,".")</f>
        <v>.</v>
      </c>
      <c r="Q5" s="48" t="str">
        <f>IFERROR((s_TR/(up_RadSpec!O5*s_EF_iw*(1/365)*s_ED_ind*up_RadSpec!T5*(s_ET_iw_o+s_ET_iw_i)*(1/24)*up_RadSpec!AD5))*1,".")</f>
        <v>.</v>
      </c>
      <c r="R5" s="48" t="str">
        <f>IFERROR((s_TR/(up_RadSpec!K5*s_EF_iw*(1/365)*s_ED_ind*up_RadSpec!P5*(s_ET_iw_o+s_ET_iw_i)*(1/24)*up_RadSpec!Z5))*1,".")</f>
        <v>.</v>
      </c>
      <c r="S5" s="69">
        <f>s_C*s_EF_iw*(1/365)*s_ED_ind*(s_ET_iw_o+s_ET_iw_i)*(1/24)*up_RadSpec!AA5*up_RadSpec!Q5*1</f>
        <v>0</v>
      </c>
      <c r="T5" s="69">
        <f>s_C*s_EF_iw*(1/365)*s_ED_ind*(s_ET_iw_o+s_ET_iw_i)*(1/24)*up_RadSpec!AB5*up_RadSpec!R5*1</f>
        <v>0</v>
      </c>
      <c r="U5" s="69">
        <f>s_C*s_EF_iw*(1/365)*s_ED_ind*(s_ET_iw_o+s_ET_iw_i)*(1/24)*up_RadSpec!AC5*up_RadSpec!S5*1</f>
        <v>0</v>
      </c>
      <c r="V5" s="69">
        <f>s_C*s_EF_iw*(1/365)*s_ED_ind*(s_ET_iw_o+s_ET_iw_i)*(1/24)*up_RadSpec!AD5*up_RadSpec!T5*1</f>
        <v>0</v>
      </c>
      <c r="W5" s="69">
        <f>s_C*s_EF_iw*(1/365)*s_ED_ind*(s_ET_iw_o+s_ET_iw_i)*(1/24)*up_RadSpec!Z5*up_RadSpec!P5*1</f>
        <v>0</v>
      </c>
      <c r="X5" s="11"/>
      <c r="Y5" s="11"/>
      <c r="Z5" s="11"/>
      <c r="AA5" s="11"/>
      <c r="AB5" s="11"/>
      <c r="AC5" s="48">
        <f>IFERROR(s_TR/(up_RadSpec!G5*s_EF_iw*s_ED_ind*(s_ET_iw_o+s_ET_iw_i)*(1/24)*s_IRA_iw),".")</f>
        <v>2.9090909090909089E-11</v>
      </c>
      <c r="AD5" s="48">
        <f>IFERROR(s_TR/(up_RadSpec!J5*s_EF_iw*(1/365)*s_ED_ind*(s_ET_iw_o+s_ET_iw_i)*(1/24)*s_GSF_a),".")</f>
        <v>1.5927272727272726E-7</v>
      </c>
      <c r="AE5" s="48">
        <f t="shared" si="6"/>
        <v>2.9085596653164224E-11</v>
      </c>
      <c r="AF5" s="69">
        <f t="shared" si="4"/>
        <v>381940625</v>
      </c>
      <c r="AG5" s="69">
        <f t="shared" si="5"/>
        <v>69760.844748858435</v>
      </c>
      <c r="AH5" s="10"/>
      <c r="AI5" s="10"/>
      <c r="AJ5" s="10"/>
    </row>
    <row r="6" spans="1:36" x14ac:dyDescent="0.25">
      <c r="A6" s="49" t="s">
        <v>16</v>
      </c>
      <c r="B6" s="50" t="s">
        <v>289</v>
      </c>
      <c r="C6" s="48">
        <f>IFERROR((s_TR/(up_RadSpec!I6*s_EF_iw*s_ED_ind*s_IRS_iw*(1/1000)))*1,".")</f>
        <v>7.2727272727272728E-9</v>
      </c>
      <c r="D6" s="48">
        <f>IFERROR(IF(A6="H-3",(s_TR/(up_RadSpec!G6*s_EF_iw*s_ED_ind*(s_ET_iw_o+s_ET_iw_i)*(1/24)*s_IRA_iw*(1/17)*1000))*1,(s_TR/(up_RadSpec!G6*s_EF_iw*s_ED_ind*(s_ET_iw_o+s_ET_iw_i)*(1/24)*s_IRA_iw*(1/s_PEF_wind)*1000))*1),".")</f>
        <v>9.0250320889537196E-6</v>
      </c>
      <c r="E6" s="48">
        <f>IFERROR((s_TR/(up_RadSpec!F6*s_EF_iw*(1/365)*s_ED_ind*up_RadSpec!Q6*(s_ET_iw_o+s_ET_iw_i)*(1/24)*up_RadSpec!AA6))*1,".")</f>
        <v>1.0611682318999389E-5</v>
      </c>
      <c r="F6" s="48">
        <f t="shared" si="0"/>
        <v>7.2618983987563536E-9</v>
      </c>
      <c r="G6" s="69">
        <f t="shared" si="1"/>
        <v>1527762.5</v>
      </c>
      <c r="H6" s="69">
        <f t="shared" si="2"/>
        <v>1231.1313567072434</v>
      </c>
      <c r="I6" s="69">
        <f>s_C*s_EF_iw*(1/365)*s_ED_ind*(s_ET_iw_o+s_ET_iw_i)*(1/24)*up_RadSpec!AA6*up_RadSpec!Q6*1</f>
        <v>1047.0535835874603</v>
      </c>
      <c r="J6" s="4"/>
      <c r="K6" s="4"/>
      <c r="L6" s="4"/>
      <c r="M6" s="4"/>
      <c r="N6" s="48">
        <f>IFERROR((s_TR/(up_RadSpec!F6*s_EF_iw*(1/365)*s_ED_ind*up_RadSpec!Q6*(s_ET_iw_o+s_ET_iw_i)*(1/24)*up_RadSpec!AA6))*1,".")</f>
        <v>1.0611682318999389E-5</v>
      </c>
      <c r="O6" s="48">
        <f>IFERROR((s_TR/(up_RadSpec!M6*s_EF_iw*(1/365)*s_ED_ind*up_RadSpec!R6*(s_ET_iw_o+s_ET_iw_i)*(1/24)*up_RadSpec!AB6))*1,".")</f>
        <v>1.9810247761123116E-5</v>
      </c>
      <c r="P6" s="48">
        <f>IFERROR((s_TR/(up_RadSpec!N6*s_EF_iw*(1/365)*s_ED_ind*up_RadSpec!S6*(s_ET_iw_o+s_ET_iw_i)*(1/24)*up_RadSpec!AC6))*1,".")</f>
        <v>1.3999143299614489E-5</v>
      </c>
      <c r="Q6" s="48">
        <f>IFERROR((s_TR/(up_RadSpec!O6*s_EF_iw*(1/365)*s_ED_ind*up_RadSpec!T6*(s_ET_iw_o+s_ET_iw_i)*(1/24)*up_RadSpec!AD6))*1,".")</f>
        <v>1.1576767676767672E-5</v>
      </c>
      <c r="R6" s="48">
        <f>IFERROR((s_TR/(up_RadSpec!K6*s_EF_iw*(1/365)*s_ED_ind*up_RadSpec!P6*(s_ET_iw_o+s_ET_iw_i)*(1/24)*up_RadSpec!Z6))*1,".")</f>
        <v>3.3276353276353285E-5</v>
      </c>
      <c r="S6" s="69">
        <f>s_C*s_EF_iw*(1/365)*s_ED_ind*(s_ET_iw_o+s_ET_iw_i)*(1/24)*up_RadSpec!AA6*up_RadSpec!Q6*1</f>
        <v>1047.0535835874603</v>
      </c>
      <c r="T6" s="69">
        <f>s_C*s_EF_iw*(1/365)*s_ED_ind*(s_ET_iw_o+s_ET_iw_i)*(1/24)*up_RadSpec!AB6*up_RadSpec!R6*1</f>
        <v>560.87132952496063</v>
      </c>
      <c r="U6" s="69">
        <f>s_C*s_EF_iw*(1/365)*s_ED_ind*(s_ET_iw_o+s_ET_iw_i)*(1/24)*up_RadSpec!AC6*up_RadSpec!S6*1</f>
        <v>793.69142541072324</v>
      </c>
      <c r="V6" s="69">
        <f>s_C*s_EF_iw*(1/365)*s_ED_ind*(s_ET_iw_o+s_ET_iw_i)*(1/24)*up_RadSpec!AD6*up_RadSpec!T6*1</f>
        <v>959.76703603525016</v>
      </c>
      <c r="W6" s="69">
        <f>s_C*s_EF_iw*(1/365)*s_ED_ind*(s_ET_iw_o+s_ET_iw_i)*(1/24)*up_RadSpec!Z6*up_RadSpec!P6*1</f>
        <v>333.90077054794506</v>
      </c>
      <c r="X6" s="11"/>
      <c r="Y6" s="11"/>
      <c r="Z6" s="11"/>
      <c r="AA6" s="11"/>
      <c r="AB6" s="11"/>
      <c r="AC6" s="48">
        <f>IFERROR(s_TR/(up_RadSpec!G6*s_EF_iw*s_ED_ind*(s_ET_iw_o+s_ET_iw_i)*(1/24)*s_IRA_iw),".")</f>
        <v>2.9090909090909089E-11</v>
      </c>
      <c r="AD6" s="48">
        <f>IFERROR(s_TR/(up_RadSpec!J6*s_EF_iw*(1/365)*s_ED_ind*(s_ET_iw_o+s_ET_iw_i)*(1/24)*s_GSF_a),".")</f>
        <v>1.5927272727272726E-7</v>
      </c>
      <c r="AE6" s="48">
        <f t="shared" si="6"/>
        <v>2.9085596653164224E-11</v>
      </c>
      <c r="AF6" s="69">
        <f t="shared" si="4"/>
        <v>381940625</v>
      </c>
      <c r="AG6" s="69">
        <f t="shared" si="5"/>
        <v>69760.844748858435</v>
      </c>
      <c r="AH6" s="10"/>
      <c r="AI6" s="10"/>
      <c r="AJ6" s="10"/>
    </row>
    <row r="7" spans="1:36" x14ac:dyDescent="0.25">
      <c r="A7" s="49" t="s">
        <v>17</v>
      </c>
      <c r="B7" s="50" t="s">
        <v>289</v>
      </c>
      <c r="C7" s="48">
        <f>IFERROR((s_TR/(up_RadSpec!I7*s_EF_iw*s_ED_ind*s_IRS_iw*(1/1000)))*1,".")</f>
        <v>7.2727272727272728E-9</v>
      </c>
      <c r="D7" s="48">
        <f>IFERROR(IF(A7="H-3",(s_TR/(up_RadSpec!G7*s_EF_iw*s_ED_ind*(s_ET_iw_o+s_ET_iw_i)*(1/24)*s_IRA_iw*(1/17)*1000))*1,(s_TR/(up_RadSpec!G7*s_EF_iw*s_ED_ind*(s_ET_iw_o+s_ET_iw_i)*(1/24)*s_IRA_iw*(1/s_PEF_wind)*1000))*1),".")</f>
        <v>9.0250320889537196E-6</v>
      </c>
      <c r="E7" s="48">
        <f>IFERROR((s_TR/(up_RadSpec!F7*s_EF_iw*(1/365)*s_ED_ind*up_RadSpec!Q7*(s_ET_iw_o+s_ET_iw_i)*(1/24)*up_RadSpec!AA7))*1,".")</f>
        <v>2.2960849369608488E-5</v>
      </c>
      <c r="F7" s="48">
        <f t="shared" si="0"/>
        <v>7.264572178861508E-9</v>
      </c>
      <c r="G7" s="69">
        <f t="shared" si="1"/>
        <v>1527762.5</v>
      </c>
      <c r="H7" s="69">
        <f t="shared" si="2"/>
        <v>1231.1313567072434</v>
      </c>
      <c r="I7" s="69">
        <f>s_C*s_EF_iw*(1/365)*s_ED_ind*(s_ET_iw_o+s_ET_iw_i)*(1/24)*up_RadSpec!AA7*up_RadSpec!Q7*1</f>
        <v>483.91066990347383</v>
      </c>
      <c r="J7" s="4"/>
      <c r="K7" s="4"/>
      <c r="L7" s="4"/>
      <c r="M7" s="4"/>
      <c r="N7" s="48">
        <f>IFERROR((s_TR/(up_RadSpec!F7*s_EF_iw*(1/365)*s_ED_ind*up_RadSpec!Q7*(s_ET_iw_o+s_ET_iw_i)*(1/24)*up_RadSpec!AA7))*1,".")</f>
        <v>2.2960849369608488E-5</v>
      </c>
      <c r="O7" s="48">
        <f>IFERROR((s_TR/(up_RadSpec!M7*s_EF_iw*(1/365)*s_ED_ind*up_RadSpec!R7*(s_ET_iw_o+s_ET_iw_i)*(1/24)*up_RadSpec!AB7))*1,".")</f>
        <v>3.6527883880825083E-5</v>
      </c>
      <c r="P7" s="48">
        <f>IFERROR((s_TR/(up_RadSpec!N7*s_EF_iw*(1/365)*s_ED_ind*up_RadSpec!S7*(s_ET_iw_o+s_ET_iw_i)*(1/24)*up_RadSpec!AC7))*1,".")</f>
        <v>2.6761363636363635E-5</v>
      </c>
      <c r="Q7" s="48">
        <f>IFERROR((s_TR/(up_RadSpec!O7*s_EF_iw*(1/365)*s_ED_ind*up_RadSpec!T7*(s_ET_iw_o+s_ET_iw_i)*(1/24)*up_RadSpec!AD7))*1,".")</f>
        <v>2.4617839919508715E-5</v>
      </c>
      <c r="R7" s="48">
        <f>IFERROR((s_TR/(up_RadSpec!K7*s_EF_iw*(1/365)*s_ED_ind*up_RadSpec!P7*(s_ET_iw_o+s_ET_iw_i)*(1/24)*up_RadSpec!Z7))*1,".")</f>
        <v>6.2510591013264786E-5</v>
      </c>
      <c r="S7" s="69">
        <f>s_C*s_EF_iw*(1/365)*s_ED_ind*(s_ET_iw_o+s_ET_iw_i)*(1/24)*up_RadSpec!AA7*up_RadSpec!Q7*1</f>
        <v>483.91066990347383</v>
      </c>
      <c r="T7" s="69">
        <f>s_C*s_EF_iw*(1/365)*s_ED_ind*(s_ET_iw_o+s_ET_iw_i)*(1/24)*up_RadSpec!AB7*up_RadSpec!R7*1</f>
        <v>304.17858412632</v>
      </c>
      <c r="U7" s="69">
        <f>s_C*s_EF_iw*(1/365)*s_ED_ind*(s_ET_iw_o+s_ET_iw_i)*(1/24)*up_RadSpec!AC7*up_RadSpec!S7*1</f>
        <v>415.18811040339693</v>
      </c>
      <c r="V7" s="69">
        <f>s_C*s_EF_iw*(1/365)*s_ED_ind*(s_ET_iw_o+s_ET_iw_i)*(1/24)*up_RadSpec!AD7*up_RadSpec!T7*1</f>
        <v>451.3393553751622</v>
      </c>
      <c r="W7" s="69">
        <f>s_C*s_EF_iw*(1/365)*s_ED_ind*(s_ET_iw_o+s_ET_iw_i)*(1/24)*up_RadSpec!Z7*up_RadSpec!P7*1</f>
        <v>177.74587985645886</v>
      </c>
      <c r="X7" s="11"/>
      <c r="Y7" s="11"/>
      <c r="Z7" s="11"/>
      <c r="AA7" s="11"/>
      <c r="AB7" s="11"/>
      <c r="AC7" s="48">
        <f>IFERROR(s_TR/(up_RadSpec!G7*s_EF_iw*s_ED_ind*(s_ET_iw_o+s_ET_iw_i)*(1/24)*s_IRA_iw),".")</f>
        <v>2.9090909090909089E-11</v>
      </c>
      <c r="AD7" s="48">
        <f>IFERROR(s_TR/(up_RadSpec!J7*s_EF_iw*(1/365)*s_ED_ind*(s_ET_iw_o+s_ET_iw_i)*(1/24)*s_GSF_a),".")</f>
        <v>1.5927272727272726E-7</v>
      </c>
      <c r="AE7" s="48">
        <f t="shared" si="6"/>
        <v>2.9085596653164224E-11</v>
      </c>
      <c r="AF7" s="69">
        <f t="shared" si="4"/>
        <v>381940625</v>
      </c>
      <c r="AG7" s="69">
        <f t="shared" si="5"/>
        <v>69760.844748858435</v>
      </c>
      <c r="AH7" s="10"/>
      <c r="AI7" s="10"/>
      <c r="AJ7" s="10"/>
    </row>
    <row r="8" spans="1:36" x14ac:dyDescent="0.25">
      <c r="A8" s="49" t="s">
        <v>18</v>
      </c>
      <c r="B8" s="50" t="s">
        <v>289</v>
      </c>
      <c r="C8" s="48">
        <f>IFERROR((s_TR/(up_RadSpec!I8*s_EF_iw*s_ED_ind*s_IRS_iw*(1/1000)))*1,".")</f>
        <v>7.2727272727272728E-9</v>
      </c>
      <c r="D8" s="48">
        <f>IFERROR(IF(A8="H-3",(s_TR/(up_RadSpec!G8*s_EF_iw*s_ED_ind*(s_ET_iw_o+s_ET_iw_i)*(1/24)*s_IRA_iw*(1/17)*1000))*1,(s_TR/(up_RadSpec!G8*s_EF_iw*s_ED_ind*(s_ET_iw_o+s_ET_iw_i)*(1/24)*s_IRA_iw*(1/s_PEF_wind)*1000))*1),".")</f>
        <v>9.0250320889537196E-6</v>
      </c>
      <c r="E8" s="48">
        <f>IFERROR((s_TR/(up_RadSpec!F8*s_EF_iw*(1/365)*s_ED_ind*up_RadSpec!Q8*(s_ET_iw_o+s_ET_iw_i)*(1/24)*up_RadSpec!AA8))*1,".")</f>
        <v>1.3199397287795083E-5</v>
      </c>
      <c r="F8" s="48">
        <f t="shared" si="0"/>
        <v>7.2628727974733961E-9</v>
      </c>
      <c r="G8" s="69">
        <f t="shared" si="1"/>
        <v>1527762.5</v>
      </c>
      <c r="H8" s="69">
        <f t="shared" si="2"/>
        <v>1231.1313567072434</v>
      </c>
      <c r="I8" s="69">
        <f>s_C*s_EF_iw*(1/365)*s_ED_ind*(s_ET_iw_o+s_ET_iw_i)*(1/24)*up_RadSpec!AA8*up_RadSpec!Q8*1</f>
        <v>841.78085996955815</v>
      </c>
      <c r="J8" s="4"/>
      <c r="K8" s="4"/>
      <c r="L8" s="4"/>
      <c r="M8" s="4"/>
      <c r="N8" s="48">
        <f>IFERROR((s_TR/(up_RadSpec!F8*s_EF_iw*(1/365)*s_ED_ind*up_RadSpec!Q8*(s_ET_iw_o+s_ET_iw_i)*(1/24)*up_RadSpec!AA8))*1,".")</f>
        <v>1.3199397287795083E-5</v>
      </c>
      <c r="O8" s="48">
        <f>IFERROR((s_TR/(up_RadSpec!M8*s_EF_iw*(1/365)*s_ED_ind*up_RadSpec!R8*(s_ET_iw_o+s_ET_iw_i)*(1/24)*up_RadSpec!AB8))*1,".")</f>
        <v>2.423013092384289E-5</v>
      </c>
      <c r="P8" s="48">
        <f>IFERROR((s_TR/(up_RadSpec!N8*s_EF_iw*(1/365)*s_ED_ind*up_RadSpec!S8*(s_ET_iw_o+s_ET_iw_i)*(1/24)*up_RadSpec!AC8))*1,".")</f>
        <v>1.7685740655283802E-5</v>
      </c>
      <c r="Q8" s="48">
        <f>IFERROR((s_TR/(up_RadSpec!O8*s_EF_iw*(1/365)*s_ED_ind*up_RadSpec!T8*(s_ET_iw_o+s_ET_iw_i)*(1/24)*up_RadSpec!AD8))*1,".")</f>
        <v>1.6215032458221447E-5</v>
      </c>
      <c r="R8" s="48">
        <f>IFERROR((s_TR/(up_RadSpec!K8*s_EF_iw*(1/365)*s_ED_ind*up_RadSpec!P8*(s_ET_iw_o+s_ET_iw_i)*(1/24)*up_RadSpec!Z8))*1,".")</f>
        <v>4.4895668090298954E-5</v>
      </c>
      <c r="S8" s="69">
        <f>s_C*s_EF_iw*(1/365)*s_ED_ind*(s_ET_iw_o+s_ET_iw_i)*(1/24)*up_RadSpec!AA8*up_RadSpec!Q8*1</f>
        <v>841.78085996955815</v>
      </c>
      <c r="T8" s="69">
        <f>s_C*s_EF_iw*(1/365)*s_ED_ind*(s_ET_iw_o+s_ET_iw_i)*(1/24)*up_RadSpec!AB8*up_RadSpec!R8*1</f>
        <v>458.56128614916281</v>
      </c>
      <c r="U8" s="69">
        <f>s_C*s_EF_iw*(1/365)*s_ED_ind*(s_ET_iw_o+s_ET_iw_i)*(1/24)*up_RadSpec!AC8*up_RadSpec!S8*1</f>
        <v>628.2462361382909</v>
      </c>
      <c r="V8" s="69">
        <f>s_C*s_EF_iw*(1/365)*s_ED_ind*(s_ET_iw_o+s_ET_iw_i)*(1/24)*up_RadSpec!AD8*up_RadSpec!T8*1</f>
        <v>685.22835391343483</v>
      </c>
      <c r="W8" s="69">
        <f>s_C*s_EF_iw*(1/365)*s_ED_ind*(s_ET_iw_o+s_ET_iw_i)*(1/24)*up_RadSpec!Z8*up_RadSpec!P8*1</f>
        <v>247.48490160904541</v>
      </c>
      <c r="X8" s="11"/>
      <c r="Y8" s="11"/>
      <c r="Z8" s="11"/>
      <c r="AA8" s="11"/>
      <c r="AB8" s="11"/>
      <c r="AC8" s="48">
        <f>IFERROR(s_TR/(up_RadSpec!G8*s_EF_iw*s_ED_ind*(s_ET_iw_o+s_ET_iw_i)*(1/24)*s_IRA_iw),".")</f>
        <v>2.9090909090909089E-11</v>
      </c>
      <c r="AD8" s="48">
        <f>IFERROR(s_TR/(up_RadSpec!J8*s_EF_iw*(1/365)*s_ED_ind*(s_ET_iw_o+s_ET_iw_i)*(1/24)*s_GSF_a),".")</f>
        <v>1.5927272727272726E-7</v>
      </c>
      <c r="AE8" s="48">
        <f t="shared" si="6"/>
        <v>2.9085596653164224E-11</v>
      </c>
      <c r="AF8" s="69">
        <f t="shared" si="4"/>
        <v>381940625</v>
      </c>
      <c r="AG8" s="69">
        <f t="shared" si="5"/>
        <v>69760.844748858435</v>
      </c>
      <c r="AH8" s="10"/>
      <c r="AI8" s="10"/>
      <c r="AJ8" s="10"/>
    </row>
    <row r="9" spans="1:36" x14ac:dyDescent="0.25">
      <c r="A9" s="49" t="s">
        <v>19</v>
      </c>
      <c r="B9" s="50" t="s">
        <v>289</v>
      </c>
      <c r="C9" s="48">
        <f>IFERROR((s_TR/(up_RadSpec!I9*s_EF_iw*s_ED_ind*s_IRS_iw*(1/1000)))*1,".")</f>
        <v>7.2727272727272728E-9</v>
      </c>
      <c r="D9" s="48">
        <f>IFERROR(IF(A9="H-3",(s_TR/(up_RadSpec!G9*s_EF_iw*s_ED_ind*(s_ET_iw_o+s_ET_iw_i)*(1/24)*s_IRA_iw*(1/17)*1000))*1,(s_TR/(up_RadSpec!G9*s_EF_iw*s_ED_ind*(s_ET_iw_o+s_ET_iw_i)*(1/24)*s_IRA_iw*(1/s_PEF_wind)*1000))*1),".")</f>
        <v>9.0250320889537196E-6</v>
      </c>
      <c r="E9" s="48">
        <f>IFERROR((s_TR/(up_RadSpec!F9*s_EF_iw*(1/365)*s_ED_ind*up_RadSpec!Q9*(s_ET_iw_o+s_ET_iw_i)*(1/24)*up_RadSpec!AA9))*1,".")</f>
        <v>6.5005453262333967E-6</v>
      </c>
      <c r="F9" s="48">
        <f t="shared" si="0"/>
        <v>7.2587568750839238E-9</v>
      </c>
      <c r="G9" s="69">
        <f t="shared" si="1"/>
        <v>1527762.5</v>
      </c>
      <c r="H9" s="69">
        <f t="shared" si="2"/>
        <v>1231.1313567072434</v>
      </c>
      <c r="I9" s="69">
        <f>s_C*s_EF_iw*(1/365)*s_ED_ind*(s_ET_iw_o+s_ET_iw_i)*(1/24)*up_RadSpec!AA9*up_RadSpec!Q9*1</f>
        <v>1709.241216296238</v>
      </c>
      <c r="J9" s="4"/>
      <c r="K9" s="4"/>
      <c r="L9" s="4"/>
      <c r="M9" s="4"/>
      <c r="N9" s="48">
        <f>IFERROR((s_TR/(up_RadSpec!F9*s_EF_iw*(1/365)*s_ED_ind*up_RadSpec!Q9*(s_ET_iw_o+s_ET_iw_i)*(1/24)*up_RadSpec!AA9))*1,".")</f>
        <v>6.5005453262333967E-6</v>
      </c>
      <c r="O9" s="48">
        <f>IFERROR((s_TR/(up_RadSpec!M9*s_EF_iw*(1/365)*s_ED_ind*up_RadSpec!R9*(s_ET_iw_o+s_ET_iw_i)*(1/24)*up_RadSpec!AB9))*1,".")</f>
        <v>1.3314204545454552E-5</v>
      </c>
      <c r="P9" s="48">
        <f>IFERROR((s_TR/(up_RadSpec!N9*s_EF_iw*(1/365)*s_ED_ind*up_RadSpec!S9*(s_ET_iw_o+s_ET_iw_i)*(1/24)*up_RadSpec!AC9))*1,".")</f>
        <v>9.3681348558999514E-6</v>
      </c>
      <c r="Q9" s="48">
        <f>IFERROR((s_TR/(up_RadSpec!O9*s_EF_iw*(1/365)*s_ED_ind*up_RadSpec!T9*(s_ET_iw_o+s_ET_iw_i)*(1/24)*up_RadSpec!AD9))*1,".")</f>
        <v>7.7223140495867763E-6</v>
      </c>
      <c r="R9" s="48">
        <f>IFERROR((s_TR/(up_RadSpec!K9*s_EF_iw*(1/365)*s_ED_ind*up_RadSpec!P9*(s_ET_iw_o+s_ET_iw_i)*(1/24)*up_RadSpec!Z9))*1,".")</f>
        <v>2.3583177385994292E-5</v>
      </c>
      <c r="S9" s="69">
        <f>s_C*s_EF_iw*(1/365)*s_ED_ind*(s_ET_iw_o+s_ET_iw_i)*(1/24)*up_RadSpec!AA9*up_RadSpec!Q9*1</f>
        <v>1709.241216296238</v>
      </c>
      <c r="T9" s="69">
        <f>s_C*s_EF_iw*(1/365)*s_ED_ind*(s_ET_iw_o+s_ET_iw_i)*(1/24)*up_RadSpec!AB9*up_RadSpec!R9*1</f>
        <v>834.52225493961453</v>
      </c>
      <c r="U9" s="69">
        <f>s_C*s_EF_iw*(1/365)*s_ED_ind*(s_ET_iw_o+s_ET_iw_i)*(1/24)*up_RadSpec!AC9*up_RadSpec!S9*1</f>
        <v>1186.0418504759684</v>
      </c>
      <c r="V9" s="69">
        <f>s_C*s_EF_iw*(1/365)*s_ED_ind*(s_ET_iw_o+s_ET_iw_i)*(1/24)*up_RadSpec!AD9*up_RadSpec!T9*1</f>
        <v>1438.8174229452054</v>
      </c>
      <c r="W9" s="69">
        <f>s_C*s_EF_iw*(1/365)*s_ED_ind*(s_ET_iw_o+s_ET_iw_i)*(1/24)*up_RadSpec!Z9*up_RadSpec!P9*1</f>
        <v>471.14092465753401</v>
      </c>
      <c r="X9" s="11"/>
      <c r="Y9" s="11"/>
      <c r="Z9" s="11"/>
      <c r="AA9" s="11"/>
      <c r="AB9" s="11"/>
      <c r="AC9" s="48">
        <f>IFERROR(s_TR/(up_RadSpec!G9*s_EF_iw*s_ED_ind*(s_ET_iw_o+s_ET_iw_i)*(1/24)*s_IRA_iw),".")</f>
        <v>2.9090909090909089E-11</v>
      </c>
      <c r="AD9" s="48">
        <f>IFERROR(s_TR/(up_RadSpec!J9*s_EF_iw*(1/365)*s_ED_ind*(s_ET_iw_o+s_ET_iw_i)*(1/24)*s_GSF_a),".")</f>
        <v>1.5927272727272726E-7</v>
      </c>
      <c r="AE9" s="48">
        <f t="shared" si="6"/>
        <v>2.9085596653164224E-11</v>
      </c>
      <c r="AF9" s="69">
        <f t="shared" si="4"/>
        <v>381940625</v>
      </c>
      <c r="AG9" s="69">
        <f t="shared" si="5"/>
        <v>69760.844748858435</v>
      </c>
      <c r="AH9" s="10"/>
      <c r="AI9" s="10"/>
      <c r="AJ9" s="10"/>
    </row>
    <row r="10" spans="1:36" x14ac:dyDescent="0.25">
      <c r="A10" s="51" t="s">
        <v>20</v>
      </c>
      <c r="B10" s="50" t="s">
        <v>275</v>
      </c>
      <c r="C10" s="48">
        <f>IFERROR((s_TR/(up_RadSpec!I10*s_EF_iw*s_ED_ind*s_IRS_iw*(1/1000)))*1,".")</f>
        <v>7.2727272727272728E-9</v>
      </c>
      <c r="D10" s="48">
        <f>IFERROR(IF(A10="H-3",(s_TR/(up_RadSpec!G10*s_EF_iw*s_ED_ind*(s_ET_iw_o+s_ET_iw_i)*(1/24)*s_IRA_iw*(1/17)*1000))*1,(s_TR/(up_RadSpec!G10*s_EF_iw*s_ED_ind*(s_ET_iw_o+s_ET_iw_i)*(1/24)*s_IRA_iw*(1/s_PEF_wind)*1000))*1),".")</f>
        <v>9.0250320889537196E-6</v>
      </c>
      <c r="E10" s="48">
        <f>IFERROR((s_TR/(up_RadSpec!F10*s_EF_iw*(1/365)*s_ED_ind*up_RadSpec!Q10*(s_ET_iw_o+s_ET_iw_i)*(1/24)*up_RadSpec!AA10))*1,".")</f>
        <v>1.243844155844156E-5</v>
      </c>
      <c r="F10" s="48">
        <f t="shared" si="0"/>
        <v>7.2626283184640511E-9</v>
      </c>
      <c r="G10" s="69">
        <f t="shared" si="1"/>
        <v>1527762.5</v>
      </c>
      <c r="H10" s="69">
        <f t="shared" si="2"/>
        <v>1231.1313567072434</v>
      </c>
      <c r="I10" s="69">
        <f>s_C*s_EF_iw*(1/365)*s_ED_ind*(s_ET_iw_o+s_ET_iw_i)*(1/24)*up_RadSpec!AA10*up_RadSpec!Q10*1</f>
        <v>893.2791095890409</v>
      </c>
      <c r="J10" s="4"/>
      <c r="K10" s="4"/>
      <c r="L10" s="4"/>
      <c r="M10" s="4"/>
      <c r="N10" s="48">
        <f>IFERROR((s_TR/(up_RadSpec!F10*s_EF_iw*(1/365)*s_ED_ind*up_RadSpec!Q10*(s_ET_iw_o+s_ET_iw_i)*(1/24)*up_RadSpec!AA10))*1,".")</f>
        <v>1.243844155844156E-5</v>
      </c>
      <c r="O10" s="48">
        <f>IFERROR((s_TR/(up_RadSpec!M10*s_EF_iw*(1/365)*s_ED_ind*up_RadSpec!R10*(s_ET_iw_o+s_ET_iw_i)*(1/24)*up_RadSpec!AB10))*1,".")</f>
        <v>1.9382395382395374E-5</v>
      </c>
      <c r="P10" s="48">
        <f>IFERROR((s_TR/(up_RadSpec!N10*s_EF_iw*(1/365)*s_ED_ind*up_RadSpec!S10*(s_ET_iw_o+s_ET_iw_i)*(1/24)*up_RadSpec!AC10))*1,".")</f>
        <v>1.3841566354189985E-5</v>
      </c>
      <c r="Q10" s="48">
        <f>IFERROR((s_TR/(up_RadSpec!O10*s_EF_iw*(1/365)*s_ED_ind*up_RadSpec!T10*(s_ET_iw_o+s_ET_iw_i)*(1/24)*up_RadSpec!AD10))*1,".")</f>
        <v>1.2659729828404525E-5</v>
      </c>
      <c r="R10" s="48">
        <f>IFERROR((s_TR/(up_RadSpec!K10*s_EF_iw*(1/365)*s_ED_ind*up_RadSpec!P10*(s_ET_iw_o+s_ET_iw_i)*(1/24)*up_RadSpec!Z10))*1,".")</f>
        <v>3.2583425881855202E-5</v>
      </c>
      <c r="S10" s="69">
        <f>s_C*s_EF_iw*(1/365)*s_ED_ind*(s_ET_iw_o+s_ET_iw_i)*(1/24)*up_RadSpec!AA10*up_RadSpec!Q10*1</f>
        <v>893.2791095890409</v>
      </c>
      <c r="T10" s="69">
        <f>s_C*s_EF_iw*(1/365)*s_ED_ind*(s_ET_iw_o+s_ET_iw_i)*(1/24)*up_RadSpec!AB10*up_RadSpec!R10*1</f>
        <v>573.25215902322816</v>
      </c>
      <c r="U10" s="69">
        <f>s_C*s_EF_iw*(1/365)*s_ED_ind*(s_ET_iw_o+s_ET_iw_i)*(1/24)*up_RadSpec!AC10*up_RadSpec!S10*1</f>
        <v>802.72706973200218</v>
      </c>
      <c r="V10" s="69">
        <f>s_C*s_EF_iw*(1/365)*s_ED_ind*(s_ET_iw_o+s_ET_iw_i)*(1/24)*up_RadSpec!AD10*up_RadSpec!T10*1</f>
        <v>877.66485940879591</v>
      </c>
      <c r="W10" s="69">
        <f>s_C*s_EF_iw*(1/365)*s_ED_ind*(s_ET_iw_o+s_ET_iw_i)*(1/24)*up_RadSpec!Z10*up_RadSpec!P10*1</f>
        <v>341.00158897617342</v>
      </c>
      <c r="X10" s="11"/>
      <c r="Y10" s="11"/>
      <c r="Z10" s="11"/>
      <c r="AA10" s="11"/>
      <c r="AB10" s="11"/>
      <c r="AC10" s="48">
        <f>IFERROR(s_TR/(up_RadSpec!G10*s_EF_iw*s_ED_ind*(s_ET_iw_o+s_ET_iw_i)*(1/24)*s_IRA_iw),".")</f>
        <v>2.9090909090909089E-11</v>
      </c>
      <c r="AD10" s="48">
        <f>IFERROR(s_TR/(up_RadSpec!J10*s_EF_iw*(1/365)*s_ED_ind*(s_ET_iw_o+s_ET_iw_i)*(1/24)*s_GSF_a),".")</f>
        <v>1.5927272727272726E-7</v>
      </c>
      <c r="AE10" s="48">
        <f t="shared" si="6"/>
        <v>2.9085596653164224E-11</v>
      </c>
      <c r="AF10" s="69">
        <f t="shared" si="4"/>
        <v>381940625</v>
      </c>
      <c r="AG10" s="69">
        <f t="shared" si="5"/>
        <v>69760.844748858435</v>
      </c>
      <c r="AH10" s="10"/>
      <c r="AI10" s="10"/>
      <c r="AJ10" s="10"/>
    </row>
    <row r="11" spans="1:36" x14ac:dyDescent="0.25">
      <c r="A11" s="49" t="s">
        <v>21</v>
      </c>
      <c r="B11" s="50" t="s">
        <v>289</v>
      </c>
      <c r="C11" s="48">
        <f>IFERROR((s_TR/(up_RadSpec!I11*s_EF_iw*s_ED_ind*s_IRS_iw*(1/1000)))*1,".")</f>
        <v>7.2727272727272728E-9</v>
      </c>
      <c r="D11" s="48">
        <f>IFERROR(IF(A11="H-3",(s_TR/(up_RadSpec!G11*s_EF_iw*s_ED_ind*(s_ET_iw_o+s_ET_iw_i)*(1/24)*s_IRA_iw*(1/17)*1000))*1,(s_TR/(up_RadSpec!G11*s_EF_iw*s_ED_ind*(s_ET_iw_o+s_ET_iw_i)*(1/24)*s_IRA_iw*(1/s_PEF_wind)*1000))*1),".")</f>
        <v>9.0250320889537196E-6</v>
      </c>
      <c r="E11" s="48">
        <f>IFERROR((s_TR/(up_RadSpec!F11*s_EF_iw*(1/365)*s_ED_ind*up_RadSpec!Q11*(s_ET_iw_o+s_ET_iw_i)*(1/24)*up_RadSpec!AA11))*1,".")</f>
        <v>3.7192807192807189E-5</v>
      </c>
      <c r="F11" s="48">
        <f t="shared" si="0"/>
        <v>7.265451789368294E-9</v>
      </c>
      <c r="G11" s="69">
        <f t="shared" si="1"/>
        <v>1527762.5</v>
      </c>
      <c r="H11" s="69">
        <f t="shared" si="2"/>
        <v>1231.1313567072434</v>
      </c>
      <c r="I11" s="69">
        <f>s_C*s_EF_iw*(1/365)*s_ED_ind*(s_ET_iw_o+s_ET_iw_i)*(1/24)*up_RadSpec!AA11*up_RadSpec!Q11*1</f>
        <v>298.74055868922909</v>
      </c>
      <c r="J11" s="4"/>
      <c r="K11" s="4"/>
      <c r="L11" s="4"/>
      <c r="M11" s="4"/>
      <c r="N11" s="48">
        <f>IFERROR((s_TR/(up_RadSpec!F11*s_EF_iw*(1/365)*s_ED_ind*up_RadSpec!Q11*(s_ET_iw_o+s_ET_iw_i)*(1/24)*up_RadSpec!AA11))*1,".")</f>
        <v>3.7192807192807189E-5</v>
      </c>
      <c r="O11" s="48">
        <f>IFERROR((s_TR/(up_RadSpec!M11*s_EF_iw*(1/365)*s_ED_ind*up_RadSpec!R11*(s_ET_iw_o+s_ET_iw_i)*(1/24)*up_RadSpec!AB11))*1,".")</f>
        <v>4.7061193653991438E-5</v>
      </c>
      <c r="P11" s="48">
        <f>IFERROR((s_TR/(up_RadSpec!N11*s_EF_iw*(1/365)*s_ED_ind*up_RadSpec!S11*(s_ET_iw_o+s_ET_iw_i)*(1/24)*up_RadSpec!AC11))*1,".")</f>
        <v>3.6523871811641592E-5</v>
      </c>
      <c r="Q11" s="48">
        <f>IFERROR((s_TR/(up_RadSpec!O11*s_EF_iw*(1/365)*s_ED_ind*up_RadSpec!T11*(s_ET_iw_o+s_ET_iw_i)*(1/24)*up_RadSpec!AD11))*1,".")</f>
        <v>3.4790969899665563E-5</v>
      </c>
      <c r="R11" s="48">
        <f>IFERROR((s_TR/(up_RadSpec!K11*s_EF_iw*(1/365)*s_ED_ind*up_RadSpec!P11*(s_ET_iw_o+s_ET_iw_i)*(1/24)*up_RadSpec!Z11))*1,".")</f>
        <v>8.7610157699443398E-5</v>
      </c>
      <c r="S11" s="69">
        <f>s_C*s_EF_iw*(1/365)*s_ED_ind*(s_ET_iw_o+s_ET_iw_i)*(1/24)*up_RadSpec!AA11*up_RadSpec!Q11*1</f>
        <v>298.74055868922909</v>
      </c>
      <c r="T11" s="69">
        <f>s_C*s_EF_iw*(1/365)*s_ED_ind*(s_ET_iw_o+s_ET_iw_i)*(1/24)*up_RadSpec!AB11*up_RadSpec!R11*1</f>
        <v>236.09685894691779</v>
      </c>
      <c r="U11" s="69">
        <f>s_C*s_EF_iw*(1/365)*s_ED_ind*(s_ET_iw_o+s_ET_iw_i)*(1/24)*up_RadSpec!AC11*up_RadSpec!S11*1</f>
        <v>304.21199749306123</v>
      </c>
      <c r="V11" s="69">
        <f>s_C*s_EF_iw*(1/365)*s_ED_ind*(s_ET_iw_o+s_ET_iw_i)*(1/24)*up_RadSpec!AD11*up_RadSpec!T11*1</f>
        <v>319.36447969238151</v>
      </c>
      <c r="W11" s="69">
        <f>s_C*s_EF_iw*(1/365)*s_ED_ind*(s_ET_iw_o+s_ET_iw_i)*(1/24)*up_RadSpec!Z11*up_RadSpec!P11*1</f>
        <v>126.82319369995365</v>
      </c>
      <c r="X11" s="11"/>
      <c r="Y11" s="11"/>
      <c r="Z11" s="11"/>
      <c r="AA11" s="11"/>
      <c r="AB11" s="11"/>
      <c r="AC11" s="48">
        <f>IFERROR(s_TR/(up_RadSpec!G11*s_EF_iw*s_ED_ind*(s_ET_iw_o+s_ET_iw_i)*(1/24)*s_IRA_iw),".")</f>
        <v>2.9090909090909089E-11</v>
      </c>
      <c r="AD11" s="48">
        <f>IFERROR(s_TR/(up_RadSpec!J11*s_EF_iw*(1/365)*s_ED_ind*(s_ET_iw_o+s_ET_iw_i)*(1/24)*s_GSF_a),".")</f>
        <v>1.5927272727272726E-7</v>
      </c>
      <c r="AE11" s="48">
        <f t="shared" si="6"/>
        <v>2.9085596653164224E-11</v>
      </c>
      <c r="AF11" s="69">
        <f t="shared" si="4"/>
        <v>381940625</v>
      </c>
      <c r="AG11" s="69">
        <f t="shared" si="5"/>
        <v>69760.844748858435</v>
      </c>
      <c r="AH11" s="10"/>
      <c r="AI11" s="10"/>
      <c r="AJ11" s="10"/>
    </row>
    <row r="12" spans="1:36" x14ac:dyDescent="0.25">
      <c r="A12" s="49" t="s">
        <v>22</v>
      </c>
      <c r="B12" s="50" t="s">
        <v>289</v>
      </c>
      <c r="C12" s="48">
        <f>IFERROR((s_TR/(up_RadSpec!I12*s_EF_iw*s_ED_ind*s_IRS_iw*(1/1000)))*1,".")</f>
        <v>7.2727272727272728E-9</v>
      </c>
      <c r="D12" s="48">
        <f>IFERROR(IF(A12="H-3",(s_TR/(up_RadSpec!G12*s_EF_iw*s_ED_ind*(s_ET_iw_o+s_ET_iw_i)*(1/24)*s_IRA_iw*(1/17)*1000))*1,(s_TR/(up_RadSpec!G12*s_EF_iw*s_ED_ind*(s_ET_iw_o+s_ET_iw_i)*(1/24)*s_IRA_iw*(1/s_PEF_wind)*1000))*1),".")</f>
        <v>9.0250320889537196E-6</v>
      </c>
      <c r="E12" s="48">
        <f>IFERROR((s_TR/(up_RadSpec!F12*s_EF_iw*(1/365)*s_ED_ind*up_RadSpec!Q12*(s_ET_iw_o+s_ET_iw_i)*(1/24)*up_RadSpec!AA12))*1,".")</f>
        <v>1.7820514579759861E-5</v>
      </c>
      <c r="F12" s="48">
        <f t="shared" si="0"/>
        <v>7.2639092549734621E-9</v>
      </c>
      <c r="G12" s="69">
        <f t="shared" si="1"/>
        <v>1527762.5</v>
      </c>
      <c r="H12" s="69">
        <f t="shared" si="2"/>
        <v>1231.1313567072434</v>
      </c>
      <c r="I12" s="69">
        <f>s_C*s_EF_iw*(1/365)*s_ED_ind*(s_ET_iw_o+s_ET_iw_i)*(1/24)*up_RadSpec!AA12*up_RadSpec!Q12*1</f>
        <v>623.49490247714971</v>
      </c>
      <c r="J12" s="4"/>
      <c r="K12" s="4"/>
      <c r="L12" s="4"/>
      <c r="M12" s="4"/>
      <c r="N12" s="48">
        <f>IFERROR((s_TR/(up_RadSpec!F12*s_EF_iw*(1/365)*s_ED_ind*up_RadSpec!Q12*(s_ET_iw_o+s_ET_iw_i)*(1/24)*up_RadSpec!AA12))*1,".")</f>
        <v>1.7820514579759861E-5</v>
      </c>
      <c r="O12" s="48">
        <f>IFERROR((s_TR/(up_RadSpec!M12*s_EF_iw*(1/365)*s_ED_ind*up_RadSpec!R12*(s_ET_iw_o+s_ET_iw_i)*(1/24)*up_RadSpec!AB12))*1,".")</f>
        <v>3.1971146105046223E-5</v>
      </c>
      <c r="P12" s="48">
        <f>IFERROR((s_TR/(up_RadSpec!N12*s_EF_iw*(1/365)*s_ED_ind*up_RadSpec!S12*(s_ET_iw_o+s_ET_iw_i)*(1/24)*up_RadSpec!AC12))*1,".")</f>
        <v>2.3181882726541209E-5</v>
      </c>
      <c r="Q12" s="48">
        <f>IFERROR((s_TR/(up_RadSpec!O12*s_EF_iw*(1/365)*s_ED_ind*up_RadSpec!T12*(s_ET_iw_o+s_ET_iw_i)*(1/24)*up_RadSpec!AD12))*1,".")</f>
        <v>2.0472835659124774E-5</v>
      </c>
      <c r="R12" s="48">
        <f>IFERROR((s_TR/(up_RadSpec!K12*s_EF_iw*(1/365)*s_ED_ind*up_RadSpec!P12*(s_ET_iw_o+s_ET_iw_i)*(1/24)*up_RadSpec!Z12))*1,".")</f>
        <v>5.5190166975881267E-5</v>
      </c>
      <c r="S12" s="69">
        <f>s_C*s_EF_iw*(1/365)*s_ED_ind*(s_ET_iw_o+s_ET_iw_i)*(1/24)*up_RadSpec!AA12*up_RadSpec!Q12*1</f>
        <v>623.49490247714971</v>
      </c>
      <c r="T12" s="69">
        <f>s_C*s_EF_iw*(1/365)*s_ED_ind*(s_ET_iw_o+s_ET_iw_i)*(1/24)*up_RadSpec!AB12*up_RadSpec!R12*1</f>
        <v>347.53211422240122</v>
      </c>
      <c r="U12" s="69">
        <f>s_C*s_EF_iw*(1/365)*s_ED_ind*(s_ET_iw_o+s_ET_iw_i)*(1/24)*up_RadSpec!AC12*up_RadSpec!S12*1</f>
        <v>479.29670471841723</v>
      </c>
      <c r="V12" s="69">
        <f>s_C*s_EF_iw*(1/365)*s_ED_ind*(s_ET_iw_o+s_ET_iw_i)*(1/24)*up_RadSpec!AD12*up_RadSpec!T12*1</f>
        <v>542.71915161140896</v>
      </c>
      <c r="W12" s="69">
        <f>s_C*s_EF_iw*(1/365)*s_ED_ind*(s_ET_iw_o+s_ET_iw_i)*(1/24)*up_RadSpec!Z12*up_RadSpec!P12*1</f>
        <v>201.32209429363809</v>
      </c>
      <c r="X12" s="11"/>
      <c r="Y12" s="11"/>
      <c r="Z12" s="11"/>
      <c r="AA12" s="11"/>
      <c r="AB12" s="11"/>
      <c r="AC12" s="48">
        <f>IFERROR(s_TR/(up_RadSpec!G12*s_EF_iw*s_ED_ind*(s_ET_iw_o+s_ET_iw_i)*(1/24)*s_IRA_iw),".")</f>
        <v>2.9090909090909089E-11</v>
      </c>
      <c r="AD12" s="48">
        <f>IFERROR(s_TR/(up_RadSpec!J12*s_EF_iw*(1/365)*s_ED_ind*(s_ET_iw_o+s_ET_iw_i)*(1/24)*s_GSF_a),".")</f>
        <v>1.5927272727272726E-7</v>
      </c>
      <c r="AE12" s="48">
        <f t="shared" si="6"/>
        <v>2.9085596653164224E-11</v>
      </c>
      <c r="AF12" s="69">
        <f t="shared" si="4"/>
        <v>381940625</v>
      </c>
      <c r="AG12" s="69">
        <f t="shared" si="5"/>
        <v>69760.844748858435</v>
      </c>
      <c r="AH12" s="10"/>
      <c r="AI12" s="10"/>
      <c r="AJ12" s="10"/>
    </row>
    <row r="13" spans="1:36" x14ac:dyDescent="0.25">
      <c r="A13" s="49" t="s">
        <v>23</v>
      </c>
      <c r="B13" s="50" t="s">
        <v>289</v>
      </c>
      <c r="C13" s="48">
        <f>IFERROR((s_TR/(up_RadSpec!I13*s_EF_iw*s_ED_ind*s_IRS_iw*(1/1000)))*1,".")</f>
        <v>7.2727272727272728E-9</v>
      </c>
      <c r="D13" s="48">
        <f>IFERROR(IF(A13="H-3",(s_TR/(up_RadSpec!G13*s_EF_iw*s_ED_ind*(s_ET_iw_o+s_ET_iw_i)*(1/24)*s_IRA_iw*(1/17)*1000))*1,(s_TR/(up_RadSpec!G13*s_EF_iw*s_ED_ind*(s_ET_iw_o+s_ET_iw_i)*(1/24)*s_IRA_iw*(1/s_PEF_wind)*1000))*1),".")</f>
        <v>9.0250320889537196E-6</v>
      </c>
      <c r="E13" s="48">
        <f>IFERROR((s_TR/(up_RadSpec!F13*s_EF_iw*(1/365)*s_ED_ind*up_RadSpec!Q13*(s_ET_iw_o+s_ET_iw_i)*(1/24)*up_RadSpec!AA13))*1,".")</f>
        <v>1.369765451121384E-4</v>
      </c>
      <c r="F13" s="48">
        <f t="shared" si="0"/>
        <v>7.266485839653618E-9</v>
      </c>
      <c r="G13" s="69">
        <f t="shared" si="1"/>
        <v>1527762.5</v>
      </c>
      <c r="H13" s="69">
        <f t="shared" si="2"/>
        <v>1231.1313567072434</v>
      </c>
      <c r="I13" s="69">
        <f>s_C*s_EF_iw*(1/365)*s_ED_ind*(s_ET_iw_o+s_ET_iw_i)*(1/24)*up_RadSpec!AA13*up_RadSpec!Q13*1</f>
        <v>81.116077142285704</v>
      </c>
      <c r="J13" s="4"/>
      <c r="K13" s="4"/>
      <c r="L13" s="4"/>
      <c r="M13" s="4"/>
      <c r="N13" s="48">
        <f>IFERROR((s_TR/(up_RadSpec!F13*s_EF_iw*(1/365)*s_ED_ind*up_RadSpec!Q13*(s_ET_iw_o+s_ET_iw_i)*(1/24)*up_RadSpec!AA13))*1,".")</f>
        <v>1.369765451121384E-4</v>
      </c>
      <c r="O13" s="48">
        <f>IFERROR((s_TR/(up_RadSpec!M13*s_EF_iw*(1/365)*s_ED_ind*up_RadSpec!R13*(s_ET_iw_o+s_ET_iw_i)*(1/24)*up_RadSpec!AB13))*1,".")</f>
        <v>2.9871580933033448E-4</v>
      </c>
      <c r="P13" s="48">
        <f>IFERROR((s_TR/(up_RadSpec!N13*s_EF_iw*(1/365)*s_ED_ind*up_RadSpec!S13*(s_ET_iw_o+s_ET_iw_i)*(1/24)*up_RadSpec!AC13))*1,".")</f>
        <v>1.7746494798733599E-4</v>
      </c>
      <c r="Q13" s="48">
        <f>IFERROR((s_TR/(up_RadSpec!O13*s_EF_iw*(1/365)*s_ED_ind*up_RadSpec!T13*(s_ET_iw_o+s_ET_iw_i)*(1/24)*up_RadSpec!AD13))*1,".")</f>
        <v>1.4650070542124522E-4</v>
      </c>
      <c r="R13" s="48">
        <f>IFERROR((s_TR/(up_RadSpec!K13*s_EF_iw*(1/365)*s_ED_ind*up_RadSpec!P13*(s_ET_iw_o+s_ET_iw_i)*(1/24)*up_RadSpec!Z13))*1,".")</f>
        <v>2.8737824675324664E-3</v>
      </c>
      <c r="S13" s="69">
        <f>s_C*s_EF_iw*(1/365)*s_ED_ind*(s_ET_iw_o+s_ET_iw_i)*(1/24)*up_RadSpec!AA13*up_RadSpec!Q13*1</f>
        <v>81.116077142285704</v>
      </c>
      <c r="T13" s="69">
        <f>s_C*s_EF_iw*(1/365)*s_ED_ind*(s_ET_iw_o+s_ET_iw_i)*(1/24)*up_RadSpec!AB13*up_RadSpec!R13*1</f>
        <v>37.195888710774305</v>
      </c>
      <c r="U13" s="69">
        <f>s_C*s_EF_iw*(1/365)*s_ED_ind*(s_ET_iw_o+s_ET_iw_i)*(1/24)*up_RadSpec!AC13*up_RadSpec!S13*1</f>
        <v>62.609546989487114</v>
      </c>
      <c r="V13" s="69">
        <f>s_C*s_EF_iw*(1/365)*s_ED_ind*(s_ET_iw_o+s_ET_iw_i)*(1/24)*up_RadSpec!AD13*up_RadSpec!T13*1</f>
        <v>75.842638218373438</v>
      </c>
      <c r="W13" s="69">
        <f>s_C*s_EF_iw*(1/365)*s_ED_ind*(s_ET_iw_o+s_ET_iw_i)*(1/24)*up_RadSpec!Z13*up_RadSpec!P13*1</f>
        <v>3.8663330038130219</v>
      </c>
      <c r="X13" s="11"/>
      <c r="Y13" s="11"/>
      <c r="Z13" s="11"/>
      <c r="AA13" s="11"/>
      <c r="AB13" s="11"/>
      <c r="AC13" s="48">
        <f>IFERROR(s_TR/(up_RadSpec!G13*s_EF_iw*s_ED_ind*(s_ET_iw_o+s_ET_iw_i)*(1/24)*s_IRA_iw),".")</f>
        <v>2.9090909090909089E-11</v>
      </c>
      <c r="AD13" s="48">
        <f>IFERROR(s_TR/(up_RadSpec!J13*s_EF_iw*(1/365)*s_ED_ind*(s_ET_iw_o+s_ET_iw_i)*(1/24)*s_GSF_a),".")</f>
        <v>1.5927272727272726E-7</v>
      </c>
      <c r="AE13" s="48">
        <f t="shared" si="6"/>
        <v>2.9085596653164224E-11</v>
      </c>
      <c r="AF13" s="69">
        <f t="shared" si="4"/>
        <v>381940625</v>
      </c>
      <c r="AG13" s="69">
        <f t="shared" si="5"/>
        <v>69760.844748858435</v>
      </c>
      <c r="AH13" s="10"/>
      <c r="AI13" s="10"/>
      <c r="AJ13" s="10"/>
    </row>
    <row r="14" spans="1:36" x14ac:dyDescent="0.25">
      <c r="A14" s="49" t="s">
        <v>24</v>
      </c>
      <c r="B14" s="50" t="s">
        <v>289</v>
      </c>
      <c r="C14" s="48">
        <f>IFERROR((s_TR/(up_RadSpec!I14*s_EF_iw*s_ED_ind*s_IRS_iw*(1/1000)))*1,".")</f>
        <v>7.2727272727272728E-9</v>
      </c>
      <c r="D14" s="48">
        <f>IFERROR(IF(A14="H-3",(s_TR/(up_RadSpec!G14*s_EF_iw*s_ED_ind*(s_ET_iw_o+s_ET_iw_i)*(1/24)*s_IRA_iw*(1/17)*1000))*1,(s_TR/(up_RadSpec!G14*s_EF_iw*s_ED_ind*(s_ET_iw_o+s_ET_iw_i)*(1/24)*s_IRA_iw*(1/s_PEF_wind)*1000))*1),".")</f>
        <v>9.0250320889537196E-6</v>
      </c>
      <c r="E14" s="48">
        <f>IFERROR((s_TR/(up_RadSpec!F14*s_EF_iw*(1/365)*s_ED_ind*up_RadSpec!Q14*(s_ET_iw_o+s_ET_iw_i)*(1/24)*up_RadSpec!AA14))*1,".")</f>
        <v>2.0562544858686662E-5</v>
      </c>
      <c r="F14" s="48">
        <f t="shared" si="0"/>
        <v>7.2643041117267641E-9</v>
      </c>
      <c r="G14" s="69">
        <f t="shared" si="1"/>
        <v>1527762.5</v>
      </c>
      <c r="H14" s="69">
        <f t="shared" si="2"/>
        <v>1231.1313567072434</v>
      </c>
      <c r="I14" s="69">
        <f>s_C*s_EF_iw*(1/365)*s_ED_ind*(s_ET_iw_o+s_ET_iw_i)*(1/24)*up_RadSpec!AA14*up_RadSpec!Q14*1</f>
        <v>540.3514047681773</v>
      </c>
      <c r="J14" s="4"/>
      <c r="K14" s="4"/>
      <c r="L14" s="4"/>
      <c r="M14" s="4"/>
      <c r="N14" s="48">
        <f>IFERROR((s_TR/(up_RadSpec!F14*s_EF_iw*(1/365)*s_ED_ind*up_RadSpec!Q14*(s_ET_iw_o+s_ET_iw_i)*(1/24)*up_RadSpec!AA14))*1,".")</f>
        <v>2.0562544858686662E-5</v>
      </c>
      <c r="O14" s="48">
        <f>IFERROR((s_TR/(up_RadSpec!M14*s_EF_iw*(1/365)*s_ED_ind*up_RadSpec!R14*(s_ET_iw_o+s_ET_iw_i)*(1/24)*up_RadSpec!AB14))*1,".")</f>
        <v>3.7343707965151196E-5</v>
      </c>
      <c r="P14" s="48">
        <f>IFERROR((s_TR/(up_RadSpec!N14*s_EF_iw*(1/365)*s_ED_ind*up_RadSpec!S14*(s_ET_iw_o+s_ET_iw_i)*(1/24)*up_RadSpec!AC14))*1,".")</f>
        <v>2.7609833639378424E-5</v>
      </c>
      <c r="Q14" s="48">
        <f>IFERROR((s_TR/(up_RadSpec!O14*s_EF_iw*(1/365)*s_ED_ind*up_RadSpec!T14*(s_ET_iw_o+s_ET_iw_i)*(1/24)*up_RadSpec!AD14))*1,".")</f>
        <v>2.4194403690806568E-5</v>
      </c>
      <c r="R14" s="48">
        <f>IFERROR((s_TR/(up_RadSpec!K14*s_EF_iw*(1/365)*s_ED_ind*up_RadSpec!P14*(s_ET_iw_o+s_ET_iw_i)*(1/24)*up_RadSpec!Z14))*1,".")</f>
        <v>1.0419900221729493E-4</v>
      </c>
      <c r="S14" s="69">
        <f>s_C*s_EF_iw*(1/365)*s_ED_ind*(s_ET_iw_o+s_ET_iw_i)*(1/24)*up_RadSpec!AA14*up_RadSpec!Q14*1</f>
        <v>540.3514047681773</v>
      </c>
      <c r="T14" s="69">
        <f>s_C*s_EF_iw*(1/365)*s_ED_ind*(s_ET_iw_o+s_ET_iw_i)*(1/24)*up_RadSpec!AB14*up_RadSpec!R14*1</f>
        <v>297.53338930265528</v>
      </c>
      <c r="U14" s="69">
        <f>s_C*s_EF_iw*(1/365)*s_ED_ind*(s_ET_iw_o+s_ET_iw_i)*(1/24)*up_RadSpec!AC14*up_RadSpec!S14*1</f>
        <v>402.4290817947188</v>
      </c>
      <c r="V14" s="69">
        <f>s_C*s_EF_iw*(1/365)*s_ED_ind*(s_ET_iw_o+s_ET_iw_i)*(1/24)*up_RadSpec!AD14*up_RadSpec!T14*1</f>
        <v>459.23843141552504</v>
      </c>
      <c r="W14" s="69">
        <f>s_C*s_EF_iw*(1/365)*s_ED_ind*(s_ET_iw_o+s_ET_iw_i)*(1/24)*up_RadSpec!Z14*up_RadSpec!P14*1</f>
        <v>106.6324990025269</v>
      </c>
      <c r="X14" s="11"/>
      <c r="Y14" s="11"/>
      <c r="Z14" s="11"/>
      <c r="AA14" s="11"/>
      <c r="AB14" s="11"/>
      <c r="AC14" s="48">
        <f>IFERROR(s_TR/(up_RadSpec!G14*s_EF_iw*s_ED_ind*(s_ET_iw_o+s_ET_iw_i)*(1/24)*s_IRA_iw),".")</f>
        <v>2.9090909090909089E-11</v>
      </c>
      <c r="AD14" s="48">
        <f>IFERROR(s_TR/(up_RadSpec!J14*s_EF_iw*(1/365)*s_ED_ind*(s_ET_iw_o+s_ET_iw_i)*(1/24)*s_GSF_a),".")</f>
        <v>1.5927272727272726E-7</v>
      </c>
      <c r="AE14" s="48">
        <f t="shared" si="6"/>
        <v>2.9085596653164224E-11</v>
      </c>
      <c r="AF14" s="69">
        <f t="shared" si="4"/>
        <v>381940625</v>
      </c>
      <c r="AG14" s="69">
        <f t="shared" si="5"/>
        <v>69760.844748858435</v>
      </c>
      <c r="AH14" s="10"/>
      <c r="AI14" s="10"/>
      <c r="AJ14" s="10"/>
    </row>
    <row r="15" spans="1:36" x14ac:dyDescent="0.25">
      <c r="A15" s="49" t="s">
        <v>25</v>
      </c>
      <c r="B15" s="50" t="s">
        <v>289</v>
      </c>
      <c r="C15" s="48">
        <f>IFERROR((s_TR/(up_RadSpec!I15*s_EF_iw*s_ED_ind*s_IRS_iw*(1/1000)))*1,".")</f>
        <v>7.2727272727272728E-9</v>
      </c>
      <c r="D15" s="48">
        <f>IFERROR(IF(A15="H-3",(s_TR/(up_RadSpec!G15*s_EF_iw*s_ED_ind*(s_ET_iw_o+s_ET_iw_i)*(1/24)*s_IRA_iw*(1/17)*1000))*1,(s_TR/(up_RadSpec!G15*s_EF_iw*s_ED_ind*(s_ET_iw_o+s_ET_iw_i)*(1/24)*s_IRA_iw*(1/s_PEF_wind)*1000))*1),".")</f>
        <v>9.0250320889537196E-6</v>
      </c>
      <c r="E15" s="48" t="str">
        <f>IFERROR((s_TR/(up_RadSpec!F15*s_EF_iw*(1/365)*s_ED_ind*up_RadSpec!Q15*(s_ET_iw_o+s_ET_iw_i)*(1/24)*up_RadSpec!AA15))*1,".")</f>
        <v>.</v>
      </c>
      <c r="F15" s="48">
        <f t="shared" si="0"/>
        <v>7.2668713408184592E-9</v>
      </c>
      <c r="G15" s="69">
        <f t="shared" si="1"/>
        <v>1527762.5</v>
      </c>
      <c r="H15" s="69">
        <f t="shared" si="2"/>
        <v>1231.1313567072434</v>
      </c>
      <c r="I15" s="69">
        <f>s_C*s_EF_iw*(1/365)*s_ED_ind*(s_ET_iw_o+s_ET_iw_i)*(1/24)*up_RadSpec!AA15*up_RadSpec!Q15*1</f>
        <v>0</v>
      </c>
      <c r="J15" s="4"/>
      <c r="K15" s="4"/>
      <c r="L15" s="4"/>
      <c r="M15" s="4"/>
      <c r="N15" s="48" t="str">
        <f>IFERROR((s_TR/(up_RadSpec!F15*s_EF_iw*(1/365)*s_ED_ind*up_RadSpec!Q15*(s_ET_iw_o+s_ET_iw_i)*(1/24)*up_RadSpec!AA15))*1,".")</f>
        <v>.</v>
      </c>
      <c r="O15" s="48" t="str">
        <f>IFERROR((s_TR/(up_RadSpec!M15*s_EF_iw*(1/365)*s_ED_ind*up_RadSpec!R15*(s_ET_iw_o+s_ET_iw_i)*(1/24)*up_RadSpec!AB15))*1,".")</f>
        <v>.</v>
      </c>
      <c r="P15" s="48" t="str">
        <f>IFERROR((s_TR/(up_RadSpec!N15*s_EF_iw*(1/365)*s_ED_ind*up_RadSpec!S15*(s_ET_iw_o+s_ET_iw_i)*(1/24)*up_RadSpec!AC15))*1,".")</f>
        <v>.</v>
      </c>
      <c r="Q15" s="48" t="str">
        <f>IFERROR((s_TR/(up_RadSpec!O15*s_EF_iw*(1/365)*s_ED_ind*up_RadSpec!T15*(s_ET_iw_o+s_ET_iw_i)*(1/24)*up_RadSpec!AD15))*1,".")</f>
        <v>.</v>
      </c>
      <c r="R15" s="48" t="str">
        <f>IFERROR((s_TR/(up_RadSpec!K15*s_EF_iw*(1/365)*s_ED_ind*up_RadSpec!P15*(s_ET_iw_o+s_ET_iw_i)*(1/24)*up_RadSpec!Z15))*1,".")</f>
        <v>.</v>
      </c>
      <c r="S15" s="69">
        <f>s_C*s_EF_iw*(1/365)*s_ED_ind*(s_ET_iw_o+s_ET_iw_i)*(1/24)*up_RadSpec!AA15*up_RadSpec!Q15*1</f>
        <v>0</v>
      </c>
      <c r="T15" s="69">
        <f>s_C*s_EF_iw*(1/365)*s_ED_ind*(s_ET_iw_o+s_ET_iw_i)*(1/24)*up_RadSpec!AB15*up_RadSpec!R15*1</f>
        <v>0</v>
      </c>
      <c r="U15" s="69">
        <f>s_C*s_EF_iw*(1/365)*s_ED_ind*(s_ET_iw_o+s_ET_iw_i)*(1/24)*up_RadSpec!AC15*up_RadSpec!S15*1</f>
        <v>0</v>
      </c>
      <c r="V15" s="69">
        <f>s_C*s_EF_iw*(1/365)*s_ED_ind*(s_ET_iw_o+s_ET_iw_i)*(1/24)*up_RadSpec!AD15*up_RadSpec!T15*1</f>
        <v>0</v>
      </c>
      <c r="W15" s="69">
        <f>s_C*s_EF_iw*(1/365)*s_ED_ind*(s_ET_iw_o+s_ET_iw_i)*(1/24)*up_RadSpec!Z15*up_RadSpec!P15*1</f>
        <v>0</v>
      </c>
      <c r="X15" s="11"/>
      <c r="Y15" s="11"/>
      <c r="Z15" s="11"/>
      <c r="AA15" s="11"/>
      <c r="AB15" s="11"/>
      <c r="AC15" s="48">
        <f>IFERROR(s_TR/(up_RadSpec!G15*s_EF_iw*s_ED_ind*(s_ET_iw_o+s_ET_iw_i)*(1/24)*s_IRA_iw),".")</f>
        <v>2.9090909090909089E-11</v>
      </c>
      <c r="AD15" s="48">
        <f>IFERROR(s_TR/(up_RadSpec!J15*s_EF_iw*(1/365)*s_ED_ind*(s_ET_iw_o+s_ET_iw_i)*(1/24)*s_GSF_a),".")</f>
        <v>1.5927272727272726E-7</v>
      </c>
      <c r="AE15" s="48">
        <f t="shared" si="6"/>
        <v>2.9085596653164224E-11</v>
      </c>
      <c r="AF15" s="69">
        <f t="shared" si="4"/>
        <v>381940625</v>
      </c>
      <c r="AG15" s="69">
        <f t="shared" si="5"/>
        <v>69760.844748858435</v>
      </c>
      <c r="AH15" s="10"/>
      <c r="AI15" s="10"/>
      <c r="AJ15" s="10"/>
    </row>
    <row r="16" spans="1:36" x14ac:dyDescent="0.25">
      <c r="A16" s="49" t="s">
        <v>26</v>
      </c>
      <c r="B16" s="50" t="s">
        <v>289</v>
      </c>
      <c r="C16" s="48">
        <f>IFERROR((s_TR/(up_RadSpec!I16*s_EF_iw*s_ED_ind*s_IRS_iw*(1/1000)))*1,".")</f>
        <v>7.2727272727272728E-9</v>
      </c>
      <c r="D16" s="48">
        <f>IFERROR(IF(A16="H-3",(s_TR/(up_RadSpec!G16*s_EF_iw*s_ED_ind*(s_ET_iw_o+s_ET_iw_i)*(1/24)*s_IRA_iw*(1/17)*1000))*1,(s_TR/(up_RadSpec!G16*s_EF_iw*s_ED_ind*(s_ET_iw_o+s_ET_iw_i)*(1/24)*s_IRA_iw*(1/s_PEF_wind)*1000))*1),".")</f>
        <v>9.0250320889537196E-6</v>
      </c>
      <c r="E16" s="48">
        <f>IFERROR((s_TR/(up_RadSpec!F16*s_EF_iw*(1/365)*s_ED_ind*up_RadSpec!Q16*(s_ET_iw_o+s_ET_iw_i)*(1/24)*up_RadSpec!AA16))*1,".")</f>
        <v>0.19123655075627641</v>
      </c>
      <c r="F16" s="48">
        <f t="shared" si="0"/>
        <v>7.2668710646818273E-9</v>
      </c>
      <c r="G16" s="69">
        <f t="shared" si="1"/>
        <v>1527762.5</v>
      </c>
      <c r="H16" s="69">
        <f t="shared" si="2"/>
        <v>1231.1313567072434</v>
      </c>
      <c r="I16" s="69">
        <f>s_C*s_EF_iw*(1/365)*s_ED_ind*(s_ET_iw_o+s_ET_iw_i)*(1/24)*up_RadSpec!AA16*up_RadSpec!Q16*1</f>
        <v>5.8100817840834922E-2</v>
      </c>
      <c r="J16" s="4"/>
      <c r="K16" s="4"/>
      <c r="L16" s="4"/>
      <c r="M16" s="4"/>
      <c r="N16" s="48">
        <f>IFERROR((s_TR/(up_RadSpec!F16*s_EF_iw*(1/365)*s_ED_ind*up_RadSpec!Q16*(s_ET_iw_o+s_ET_iw_i)*(1/24)*up_RadSpec!AA16))*1,".")</f>
        <v>0.19123655075627641</v>
      </c>
      <c r="O16" s="48">
        <f>IFERROR((s_TR/(up_RadSpec!M16*s_EF_iw*(1/365)*s_ED_ind*up_RadSpec!R16*(s_ET_iw_o+s_ET_iw_i)*(1/24)*up_RadSpec!AB16))*1,".")</f>
        <v>0.34058573540280868</v>
      </c>
      <c r="P16" s="48">
        <f>IFERROR((s_TR/(up_RadSpec!N16*s_EF_iw*(1/365)*s_ED_ind*up_RadSpec!S16*(s_ET_iw_o+s_ET_iw_i)*(1/24)*up_RadSpec!AC16))*1,".")</f>
        <v>0.20460345140494443</v>
      </c>
      <c r="Q16" s="48">
        <f>IFERROR((s_TR/(up_RadSpec!O16*s_EF_iw*(1/365)*s_ED_ind*up_RadSpec!T16*(s_ET_iw_o+s_ET_iw_i)*(1/24)*up_RadSpec!AD16))*1,".")</f>
        <v>0.20566062345115443</v>
      </c>
      <c r="R16" s="48">
        <f>IFERROR((s_TR/(up_RadSpec!K16*s_EF_iw*(1/365)*s_ED_ind*up_RadSpec!P16*(s_ET_iw_o+s_ET_iw_i)*(1/24)*up_RadSpec!Z16))*1,".")</f>
        <v>7.963636363636363</v>
      </c>
      <c r="S16" s="69">
        <f>s_C*s_EF_iw*(1/365)*s_ED_ind*(s_ET_iw_o+s_ET_iw_i)*(1/24)*up_RadSpec!AA16*up_RadSpec!Q16*1</f>
        <v>5.8100817840834922E-2</v>
      </c>
      <c r="T16" s="69">
        <f>s_C*s_EF_iw*(1/365)*s_ED_ind*(s_ET_iw_o+s_ET_iw_i)*(1/24)*up_RadSpec!AB16*up_RadSpec!R16*1</f>
        <v>3.262321009087208E-2</v>
      </c>
      <c r="U16" s="69">
        <f>s_C*s_EF_iw*(1/365)*s_ED_ind*(s_ET_iw_o+s_ET_iw_i)*(1/24)*up_RadSpec!AC16*up_RadSpec!S16*1</f>
        <v>5.4305046780513365E-2</v>
      </c>
      <c r="V16" s="69">
        <f>s_C*s_EF_iw*(1/365)*s_ED_ind*(s_ET_iw_o+s_ET_iw_i)*(1/24)*up_RadSpec!AD16*up_RadSpec!T16*1</f>
        <v>5.4025898655504785E-2</v>
      </c>
      <c r="W16" s="69">
        <f>s_C*s_EF_iw*(1/365)*s_ED_ind*(s_ET_iw_o+s_ET_iw_i)*(1/24)*up_RadSpec!Z16*up_RadSpec!P16*1</f>
        <v>1.3952168949771687E-3</v>
      </c>
      <c r="X16" s="11"/>
      <c r="Y16" s="11"/>
      <c r="Z16" s="11"/>
      <c r="AA16" s="11"/>
      <c r="AB16" s="11"/>
      <c r="AC16" s="48">
        <f>IFERROR(s_TR/(up_RadSpec!G16*s_EF_iw*s_ED_ind*(s_ET_iw_o+s_ET_iw_i)*(1/24)*s_IRA_iw),".")</f>
        <v>2.9090909090909089E-11</v>
      </c>
      <c r="AD16" s="48">
        <f>IFERROR(s_TR/(up_RadSpec!J16*s_EF_iw*(1/365)*s_ED_ind*(s_ET_iw_o+s_ET_iw_i)*(1/24)*s_GSF_a),".")</f>
        <v>1.5927272727272726E-7</v>
      </c>
      <c r="AE16" s="48">
        <f t="shared" si="6"/>
        <v>2.9085596653164224E-11</v>
      </c>
      <c r="AF16" s="69">
        <f t="shared" si="4"/>
        <v>381940625</v>
      </c>
      <c r="AG16" s="69">
        <f t="shared" si="5"/>
        <v>69760.844748858435</v>
      </c>
      <c r="AH16" s="10"/>
      <c r="AI16" s="10"/>
      <c r="AJ16" s="10"/>
    </row>
    <row r="17" spans="1:36" x14ac:dyDescent="0.25">
      <c r="A17" s="49" t="s">
        <v>27</v>
      </c>
      <c r="B17" s="50" t="s">
        <v>289</v>
      </c>
      <c r="C17" s="48">
        <f>IFERROR((s_TR/(up_RadSpec!I17*s_EF_iw*s_ED_ind*s_IRS_iw*(1/1000)))*1,".")</f>
        <v>7.2727272727272728E-9</v>
      </c>
      <c r="D17" s="48">
        <f>IFERROR(IF(A17="H-3",(s_TR/(up_RadSpec!G17*s_EF_iw*s_ED_ind*(s_ET_iw_o+s_ET_iw_i)*(1/24)*s_IRA_iw*(1/17)*1000))*1,(s_TR/(up_RadSpec!G17*s_EF_iw*s_ED_ind*(s_ET_iw_o+s_ET_iw_i)*(1/24)*s_IRA_iw*(1/s_PEF_wind)*1000))*1),".")</f>
        <v>9.0250320889537196E-6</v>
      </c>
      <c r="E17" s="48">
        <f>IFERROR((s_TR/(up_RadSpec!F17*s_EF_iw*(1/365)*s_ED_ind*up_RadSpec!Q17*(s_ET_iw_o+s_ET_iw_i)*(1/24)*up_RadSpec!AA17))*1,".")</f>
        <v>1.7582054309327027E-5</v>
      </c>
      <c r="F17" s="48">
        <f t="shared" si="0"/>
        <v>7.2638690976652631E-9</v>
      </c>
      <c r="G17" s="69">
        <f t="shared" si="1"/>
        <v>1527762.5</v>
      </c>
      <c r="H17" s="69">
        <f t="shared" si="2"/>
        <v>1231.1313567072434</v>
      </c>
      <c r="I17" s="69">
        <f>s_C*s_EF_iw*(1/365)*s_ED_ind*(s_ET_iw_o+s_ET_iw_i)*(1/24)*up_RadSpec!AA17*up_RadSpec!Q17*1</f>
        <v>631.95118184260036</v>
      </c>
      <c r="J17" s="4"/>
      <c r="K17" s="4"/>
      <c r="L17" s="4"/>
      <c r="M17" s="4"/>
      <c r="N17" s="48">
        <f>IFERROR((s_TR/(up_RadSpec!F17*s_EF_iw*(1/365)*s_ED_ind*up_RadSpec!Q17*(s_ET_iw_o+s_ET_iw_i)*(1/24)*up_RadSpec!AA17))*1,".")</f>
        <v>1.7582054309327027E-5</v>
      </c>
      <c r="O17" s="48">
        <f>IFERROR((s_TR/(up_RadSpec!M17*s_EF_iw*(1/365)*s_ED_ind*up_RadSpec!R17*(s_ET_iw_o+s_ET_iw_i)*(1/24)*up_RadSpec!AB17))*1,".")</f>
        <v>3.0728316909221428E-5</v>
      </c>
      <c r="P17" s="48">
        <f>IFERROR((s_TR/(up_RadSpec!N17*s_EF_iw*(1/365)*s_ED_ind*up_RadSpec!S17*(s_ET_iw_o+s_ET_iw_i)*(1/24)*up_RadSpec!AC17))*1,".")</f>
        <v>2.3151157268804329E-5</v>
      </c>
      <c r="Q17" s="48">
        <f>IFERROR((s_TR/(up_RadSpec!O17*s_EF_iw*(1/365)*s_ED_ind*up_RadSpec!T17*(s_ET_iw_o+s_ET_iw_i)*(1/24)*up_RadSpec!AD17))*1,".")</f>
        <v>2.0586737691433935E-5</v>
      </c>
      <c r="R17" s="48">
        <f>IFERROR((s_TR/(up_RadSpec!K17*s_EF_iw*(1/365)*s_ED_ind*up_RadSpec!P17*(s_ET_iw_o+s_ET_iw_i)*(1/24)*up_RadSpec!Z17))*1,".")</f>
        <v>5.8879637496459928E-5</v>
      </c>
      <c r="S17" s="69">
        <f>s_C*s_EF_iw*(1/365)*s_ED_ind*(s_ET_iw_o+s_ET_iw_i)*(1/24)*up_RadSpec!AA17*up_RadSpec!Q17*1</f>
        <v>631.95118184260036</v>
      </c>
      <c r="T17" s="69">
        <f>s_C*s_EF_iw*(1/365)*s_ED_ind*(s_ET_iw_o+s_ET_iw_i)*(1/24)*up_RadSpec!AB17*up_RadSpec!R17*1</f>
        <v>361.58830413082711</v>
      </c>
      <c r="U17" s="69">
        <f>s_C*s_EF_iw*(1/365)*s_ED_ind*(s_ET_iw_o+s_ET_iw_i)*(1/24)*up_RadSpec!AC17*up_RadSpec!S17*1</f>
        <v>479.93281160816207</v>
      </c>
      <c r="V17" s="69">
        <f>s_C*s_EF_iw*(1/365)*s_ED_ind*(s_ET_iw_o+s_ET_iw_i)*(1/24)*up_RadSpec!AD17*up_RadSpec!T17*1</f>
        <v>539.71640220700169</v>
      </c>
      <c r="W17" s="69">
        <f>s_C*s_EF_iw*(1/365)*s_ED_ind*(s_ET_iw_o+s_ET_iw_i)*(1/24)*up_RadSpec!Z17*up_RadSpec!P17*1</f>
        <v>188.7070041942435</v>
      </c>
      <c r="X17" s="11"/>
      <c r="Y17" s="11"/>
      <c r="Z17" s="11"/>
      <c r="AA17" s="11"/>
      <c r="AB17" s="11"/>
      <c r="AC17" s="48">
        <f>IFERROR(s_TR/(up_RadSpec!G17*s_EF_iw*s_ED_ind*(s_ET_iw_o+s_ET_iw_i)*(1/24)*s_IRA_iw),".")</f>
        <v>2.9090909090909089E-11</v>
      </c>
      <c r="AD17" s="48">
        <f>IFERROR(s_TR/(up_RadSpec!J17*s_EF_iw*(1/365)*s_ED_ind*(s_ET_iw_o+s_ET_iw_i)*(1/24)*s_GSF_a),".")</f>
        <v>1.5927272727272726E-7</v>
      </c>
      <c r="AE17" s="48">
        <f t="shared" si="6"/>
        <v>2.9085596653164224E-11</v>
      </c>
      <c r="AF17" s="69">
        <f t="shared" si="4"/>
        <v>381940625</v>
      </c>
      <c r="AG17" s="69">
        <f t="shared" si="5"/>
        <v>69760.844748858435</v>
      </c>
      <c r="AH17" s="10"/>
      <c r="AI17" s="10"/>
      <c r="AJ17" s="10"/>
    </row>
    <row r="18" spans="1:36" x14ac:dyDescent="0.25">
      <c r="A18" s="49" t="s">
        <v>28</v>
      </c>
      <c r="B18" s="50" t="s">
        <v>289</v>
      </c>
      <c r="C18" s="48">
        <f>IFERROR((s_TR/(up_RadSpec!I18*s_EF_iw*s_ED_ind*s_IRS_iw*(1/1000)))*1,".")</f>
        <v>7.2727272727272728E-9</v>
      </c>
      <c r="D18" s="48">
        <f>IFERROR(IF(A18="H-3",(s_TR/(up_RadSpec!G18*s_EF_iw*s_ED_ind*(s_ET_iw_o+s_ET_iw_i)*(1/24)*s_IRA_iw*(1/17)*1000))*1,(s_TR/(up_RadSpec!G18*s_EF_iw*s_ED_ind*(s_ET_iw_o+s_ET_iw_i)*(1/24)*s_IRA_iw*(1/s_PEF_wind)*1000))*1),".")</f>
        <v>9.0250320889537196E-6</v>
      </c>
      <c r="E18" s="48">
        <f>IFERROR((s_TR/(up_RadSpec!F18*s_EF_iw*(1/365)*s_ED_ind*up_RadSpec!Q18*(s_ET_iw_o+s_ET_iw_i)*(1/24)*up_RadSpec!AA18))*1,".")</f>
        <v>8.954776245426401E-6</v>
      </c>
      <c r="F18" s="48">
        <f t="shared" si="0"/>
        <v>7.2609789992624117E-9</v>
      </c>
      <c r="G18" s="69">
        <f t="shared" si="1"/>
        <v>1527762.5</v>
      </c>
      <c r="H18" s="69">
        <f t="shared" si="2"/>
        <v>1231.1313567072434</v>
      </c>
      <c r="I18" s="69">
        <f>s_C*s_EF_iw*(1/365)*s_ED_ind*(s_ET_iw_o+s_ET_iw_i)*(1/24)*up_RadSpec!AA18*up_RadSpec!Q18*1</f>
        <v>1240.790355389938</v>
      </c>
      <c r="J18" s="4"/>
      <c r="K18" s="4"/>
      <c r="L18" s="4"/>
      <c r="M18" s="4"/>
      <c r="N18" s="48">
        <f>IFERROR((s_TR/(up_RadSpec!F18*s_EF_iw*(1/365)*s_ED_ind*up_RadSpec!Q18*(s_ET_iw_o+s_ET_iw_i)*(1/24)*up_RadSpec!AA18))*1,".")</f>
        <v>8.954776245426401E-6</v>
      </c>
      <c r="O18" s="48">
        <f>IFERROR((s_TR/(up_RadSpec!M18*s_EF_iw*(1/365)*s_ED_ind*up_RadSpec!R18*(s_ET_iw_o+s_ET_iw_i)*(1/24)*up_RadSpec!AB18))*1,".")</f>
        <v>1.7718902910121041E-5</v>
      </c>
      <c r="P18" s="48">
        <f>IFERROR((s_TR/(up_RadSpec!N18*s_EF_iw*(1/365)*s_ED_ind*up_RadSpec!S18*(s_ET_iw_o+s_ET_iw_i)*(1/24)*up_RadSpec!AC18))*1,".")</f>
        <v>1.2408469260888121E-5</v>
      </c>
      <c r="Q18" s="48">
        <f>IFERROR((s_TR/(up_RadSpec!O18*s_EF_iw*(1/365)*s_ED_ind*up_RadSpec!T18*(s_ET_iw_o+s_ET_iw_i)*(1/24)*up_RadSpec!AD18))*1,".")</f>
        <v>1.0280640881722628E-5</v>
      </c>
      <c r="R18" s="48">
        <f>IFERROR((s_TR/(up_RadSpec!K18*s_EF_iw*(1/365)*s_ED_ind*up_RadSpec!P18*(s_ET_iw_o+s_ET_iw_i)*(1/24)*up_RadSpec!Z18))*1,".")</f>
        <v>3.0118881118881113E-5</v>
      </c>
      <c r="S18" s="69">
        <f>s_C*s_EF_iw*(1/365)*s_ED_ind*(s_ET_iw_o+s_ET_iw_i)*(1/24)*up_RadSpec!AA18*up_RadSpec!Q18*1</f>
        <v>1240.790355389938</v>
      </c>
      <c r="T18" s="69">
        <f>s_C*s_EF_iw*(1/365)*s_ED_ind*(s_ET_iw_o+s_ET_iw_i)*(1/24)*up_RadSpec!AB18*up_RadSpec!R18*1</f>
        <v>627.07042621997732</v>
      </c>
      <c r="U18" s="69">
        <f>s_C*s_EF_iw*(1/365)*s_ED_ind*(s_ET_iw_o+s_ET_iw_i)*(1/24)*up_RadSpec!AC18*up_RadSpec!S18*1</f>
        <v>895.43679936591457</v>
      </c>
      <c r="V18" s="69">
        <f>s_C*s_EF_iw*(1/365)*s_ED_ind*(s_ET_iw_o+s_ET_iw_i)*(1/24)*up_RadSpec!AD18*up_RadSpec!T18*1</f>
        <v>1080.7691979352785</v>
      </c>
      <c r="W18" s="69">
        <f>s_C*s_EF_iw*(1/365)*s_ED_ind*(s_ET_iw_o+s_ET_iw_i)*(1/24)*up_RadSpec!Z18*up_RadSpec!P18*1</f>
        <v>368.90480612955656</v>
      </c>
      <c r="X18" s="11"/>
      <c r="Y18" s="11"/>
      <c r="Z18" s="11"/>
      <c r="AA18" s="11"/>
      <c r="AB18" s="11"/>
      <c r="AC18" s="48">
        <f>IFERROR(s_TR/(up_RadSpec!G18*s_EF_iw*s_ED_ind*(s_ET_iw_o+s_ET_iw_i)*(1/24)*s_IRA_iw),".")</f>
        <v>2.9090909090909089E-11</v>
      </c>
      <c r="AD18" s="48">
        <f>IFERROR(s_TR/(up_RadSpec!J18*s_EF_iw*(1/365)*s_ED_ind*(s_ET_iw_o+s_ET_iw_i)*(1/24)*s_GSF_a),".")</f>
        <v>1.5927272727272726E-7</v>
      </c>
      <c r="AE18" s="48">
        <f t="shared" si="6"/>
        <v>2.9085596653164224E-11</v>
      </c>
      <c r="AF18" s="69">
        <f t="shared" si="4"/>
        <v>381940625</v>
      </c>
      <c r="AG18" s="69">
        <f t="shared" si="5"/>
        <v>69760.844748858435</v>
      </c>
      <c r="AH18" s="10"/>
      <c r="AI18" s="10"/>
      <c r="AJ18" s="10"/>
    </row>
    <row r="19" spans="1:36" x14ac:dyDescent="0.25">
      <c r="A19" s="49" t="s">
        <v>29</v>
      </c>
      <c r="B19" s="50" t="s">
        <v>289</v>
      </c>
      <c r="C19" s="48">
        <f>IFERROR((s_TR/(up_RadSpec!I19*s_EF_iw*s_ED_ind*s_IRS_iw*(1/1000)))*1,".")</f>
        <v>7.2727272727272728E-9</v>
      </c>
      <c r="D19" s="48">
        <f>IFERROR(IF(A19="H-3",(s_TR/(up_RadSpec!G19*s_EF_iw*s_ED_ind*(s_ET_iw_o+s_ET_iw_i)*(1/24)*s_IRA_iw*(1/17)*1000))*1,(s_TR/(up_RadSpec!G19*s_EF_iw*s_ED_ind*(s_ET_iw_o+s_ET_iw_i)*(1/24)*s_IRA_iw*(1/s_PEF_wind)*1000))*1),".")</f>
        <v>9.0250320889537196E-6</v>
      </c>
      <c r="E19" s="48">
        <f>IFERROR((s_TR/(up_RadSpec!F19*s_EF_iw*(1/365)*s_ED_ind*up_RadSpec!Q19*(s_ET_iw_o+s_ET_iw_i)*(1/24)*up_RadSpec!AA19))*1,".")</f>
        <v>9.1374007581718032E-6</v>
      </c>
      <c r="F19" s="48">
        <f t="shared" si="0"/>
        <v>7.2610966728673152E-9</v>
      </c>
      <c r="G19" s="69">
        <f t="shared" si="1"/>
        <v>1527762.5</v>
      </c>
      <c r="H19" s="69">
        <f t="shared" si="2"/>
        <v>1231.1313567072434</v>
      </c>
      <c r="I19" s="69">
        <f>s_C*s_EF_iw*(1/365)*s_ED_ind*(s_ET_iw_o+s_ET_iw_i)*(1/24)*up_RadSpec!AA19*up_RadSpec!Q19*1</f>
        <v>1215.9913189823874</v>
      </c>
      <c r="J19" s="4"/>
      <c r="K19" s="4"/>
      <c r="L19" s="4"/>
      <c r="M19" s="4"/>
      <c r="N19" s="48">
        <f>IFERROR((s_TR/(up_RadSpec!F19*s_EF_iw*(1/365)*s_ED_ind*up_RadSpec!Q19*(s_ET_iw_o+s_ET_iw_i)*(1/24)*up_RadSpec!AA19))*1,".")</f>
        <v>9.1374007581718032E-6</v>
      </c>
      <c r="O19" s="48">
        <f>IFERROR((s_TR/(up_RadSpec!M19*s_EF_iw*(1/365)*s_ED_ind*up_RadSpec!R19*(s_ET_iw_o+s_ET_iw_i)*(1/24)*up_RadSpec!AB19))*1,".")</f>
        <v>1.8123153442302381E-5</v>
      </c>
      <c r="P19" s="48">
        <f>IFERROR((s_TR/(up_RadSpec!N19*s_EF_iw*(1/365)*s_ED_ind*up_RadSpec!S19*(s_ET_iw_o+s_ET_iw_i)*(1/24)*up_RadSpec!AC19))*1,".")</f>
        <v>1.2562955760816728E-5</v>
      </c>
      <c r="Q19" s="48">
        <f>IFERROR((s_TR/(up_RadSpec!O19*s_EF_iw*(1/365)*s_ED_ind*up_RadSpec!T19*(s_ET_iw_o+s_ET_iw_i)*(1/24)*up_RadSpec!AD19))*1,".")</f>
        <v>1.049262899262899E-5</v>
      </c>
      <c r="R19" s="48">
        <f>IFERROR((s_TR/(up_RadSpec!K19*s_EF_iw*(1/365)*s_ED_ind*up_RadSpec!P19*(s_ET_iw_o+s_ET_iw_i)*(1/24)*up_RadSpec!Z19))*1,".")</f>
        <v>3.120856896162793E-5</v>
      </c>
      <c r="S19" s="69">
        <f>s_C*s_EF_iw*(1/365)*s_ED_ind*(s_ET_iw_o+s_ET_iw_i)*(1/24)*up_RadSpec!AA19*up_RadSpec!Q19*1</f>
        <v>1215.9913189823874</v>
      </c>
      <c r="T19" s="69">
        <f>s_C*s_EF_iw*(1/365)*s_ED_ind*(s_ET_iw_o+s_ET_iw_i)*(1/24)*up_RadSpec!AB19*up_RadSpec!R19*1</f>
        <v>613.08314998123456</v>
      </c>
      <c r="U19" s="69">
        <f>s_C*s_EF_iw*(1/365)*s_ED_ind*(s_ET_iw_o+s_ET_iw_i)*(1/24)*up_RadSpec!AC19*up_RadSpec!S19*1</f>
        <v>884.42562495162861</v>
      </c>
      <c r="V19" s="69">
        <f>s_C*s_EF_iw*(1/365)*s_ED_ind*(s_ET_iw_o+s_ET_iw_i)*(1/24)*up_RadSpec!AD19*up_RadSpec!T19*1</f>
        <v>1058.9338484954924</v>
      </c>
      <c r="W19" s="69">
        <f>s_C*s_EF_iw*(1/365)*s_ED_ind*(s_ET_iw_o+s_ET_iw_i)*(1/24)*up_RadSpec!Z19*up_RadSpec!P19*1</f>
        <v>356.02401422703406</v>
      </c>
      <c r="X19" s="11"/>
      <c r="Y19" s="11"/>
      <c r="Z19" s="11"/>
      <c r="AA19" s="11"/>
      <c r="AB19" s="11"/>
      <c r="AC19" s="48">
        <f>IFERROR(s_TR/(up_RadSpec!G19*s_EF_iw*s_ED_ind*(s_ET_iw_o+s_ET_iw_i)*(1/24)*s_IRA_iw),".")</f>
        <v>2.9090909090909089E-11</v>
      </c>
      <c r="AD19" s="48">
        <f>IFERROR(s_TR/(up_RadSpec!J19*s_EF_iw*(1/365)*s_ED_ind*(s_ET_iw_o+s_ET_iw_i)*(1/24)*s_GSF_a),".")</f>
        <v>1.5927272727272726E-7</v>
      </c>
      <c r="AE19" s="48">
        <f t="shared" si="6"/>
        <v>2.9085596653164224E-11</v>
      </c>
      <c r="AF19" s="69">
        <f t="shared" si="4"/>
        <v>381940625</v>
      </c>
      <c r="AG19" s="69">
        <f t="shared" si="5"/>
        <v>69760.844748858435</v>
      </c>
      <c r="AH19" s="10"/>
      <c r="AI19" s="10"/>
      <c r="AJ19" s="10"/>
    </row>
    <row r="20" spans="1:36" x14ac:dyDescent="0.25">
      <c r="A20" s="49" t="s">
        <v>30</v>
      </c>
      <c r="B20" s="50" t="s">
        <v>289</v>
      </c>
      <c r="C20" s="48">
        <f>IFERROR((s_TR/(up_RadSpec!I20*s_EF_iw*s_ED_ind*s_IRS_iw*(1/1000)))*1,".")</f>
        <v>7.2727272727272728E-9</v>
      </c>
      <c r="D20" s="48">
        <f>IFERROR(IF(A20="H-3",(s_TR/(up_RadSpec!G20*s_EF_iw*s_ED_ind*(s_ET_iw_o+s_ET_iw_i)*(1/24)*s_IRA_iw*(1/17)*1000))*1,(s_TR/(up_RadSpec!G20*s_EF_iw*s_ED_ind*(s_ET_iw_o+s_ET_iw_i)*(1/24)*s_IRA_iw*(1/s_PEF_wind)*1000))*1),".")</f>
        <v>9.0250320889537196E-6</v>
      </c>
      <c r="E20" s="48">
        <f>IFERROR((s_TR/(up_RadSpec!F20*s_EF_iw*(1/365)*s_ED_ind*up_RadSpec!Q20*(s_ET_iw_o+s_ET_iw_i)*(1/24)*up_RadSpec!AA20))*1,".")</f>
        <v>8.9848528906394516E-6</v>
      </c>
      <c r="F20" s="48">
        <f t="shared" si="0"/>
        <v>7.2609987078373817E-9</v>
      </c>
      <c r="G20" s="69">
        <f t="shared" si="1"/>
        <v>1527762.5</v>
      </c>
      <c r="H20" s="69">
        <f t="shared" si="2"/>
        <v>1231.1313567072434</v>
      </c>
      <c r="I20" s="69">
        <f>s_C*s_EF_iw*(1/365)*s_ED_ind*(s_ET_iw_o+s_ET_iw_i)*(1/24)*up_RadSpec!AA20*up_RadSpec!Q20*1</f>
        <v>1236.6368303676511</v>
      </c>
      <c r="J20" s="4"/>
      <c r="K20" s="4"/>
      <c r="L20" s="4"/>
      <c r="M20" s="4"/>
      <c r="N20" s="48">
        <f>IFERROR((s_TR/(up_RadSpec!F20*s_EF_iw*(1/365)*s_ED_ind*up_RadSpec!Q20*(s_ET_iw_o+s_ET_iw_i)*(1/24)*up_RadSpec!AA20))*1,".")</f>
        <v>8.9848528906394516E-6</v>
      </c>
      <c r="O20" s="48">
        <f>IFERROR((s_TR/(up_RadSpec!M20*s_EF_iw*(1/365)*s_ED_ind*up_RadSpec!R20*(s_ET_iw_o+s_ET_iw_i)*(1/24)*up_RadSpec!AB20))*1,".")</f>
        <v>1.771898085330921E-5</v>
      </c>
      <c r="P20" s="48">
        <f>IFERROR((s_TR/(up_RadSpec!N20*s_EF_iw*(1/365)*s_ED_ind*up_RadSpec!S20*(s_ET_iw_o+s_ET_iw_i)*(1/24)*up_RadSpec!AC20))*1,".")</f>
        <v>1.23976023976024E-5</v>
      </c>
      <c r="Q20" s="48">
        <f>IFERROR((s_TR/(up_RadSpec!O20*s_EF_iw*(1/365)*s_ED_ind*up_RadSpec!T20*(s_ET_iw_o+s_ET_iw_i)*(1/24)*up_RadSpec!AD20))*1,".")</f>
        <v>1.0409982174688061E-5</v>
      </c>
      <c r="R20" s="48">
        <f>IFERROR((s_TR/(up_RadSpec!K20*s_EF_iw*(1/365)*s_ED_ind*up_RadSpec!P20*(s_ET_iw_o+s_ET_iw_i)*(1/24)*up_RadSpec!Z20))*1,".")</f>
        <v>3.0192465192465202E-5</v>
      </c>
      <c r="S20" s="69">
        <f>s_C*s_EF_iw*(1/365)*s_ED_ind*(s_ET_iw_o+s_ET_iw_i)*(1/24)*up_RadSpec!AA20*up_RadSpec!Q20*1</f>
        <v>1236.6368303676511</v>
      </c>
      <c r="T20" s="69">
        <f>s_C*s_EF_iw*(1/365)*s_ED_ind*(s_ET_iw_o+s_ET_iw_i)*(1/24)*up_RadSpec!AB20*up_RadSpec!R20*1</f>
        <v>627.06766782949023</v>
      </c>
      <c r="U20" s="69">
        <f>s_C*s_EF_iw*(1/365)*s_ED_ind*(s_ET_iw_o+s_ET_iw_i)*(1/24)*up_RadSpec!AC20*up_RadSpec!S20*1</f>
        <v>896.22167606768699</v>
      </c>
      <c r="V20" s="69">
        <f>s_C*s_EF_iw*(1/365)*s_ED_ind*(s_ET_iw_o+s_ET_iw_i)*(1/24)*up_RadSpec!AD20*up_RadSpec!T20*1</f>
        <v>1067.3409246575336</v>
      </c>
      <c r="W20" s="69">
        <f>s_C*s_EF_iw*(1/365)*s_ED_ind*(s_ET_iw_o+s_ET_iw_i)*(1/24)*up_RadSpec!Z20*up_RadSpec!P20*1</f>
        <v>368.00572358605712</v>
      </c>
      <c r="X20" s="11"/>
      <c r="Y20" s="11"/>
      <c r="Z20" s="11"/>
      <c r="AA20" s="11"/>
      <c r="AB20" s="11"/>
      <c r="AC20" s="48">
        <f>IFERROR(s_TR/(up_RadSpec!G20*s_EF_iw*s_ED_ind*(s_ET_iw_o+s_ET_iw_i)*(1/24)*s_IRA_iw),".")</f>
        <v>2.9090909090909089E-11</v>
      </c>
      <c r="AD20" s="48">
        <f>IFERROR(s_TR/(up_RadSpec!J20*s_EF_iw*(1/365)*s_ED_ind*(s_ET_iw_o+s_ET_iw_i)*(1/24)*s_GSF_a),".")</f>
        <v>1.5927272727272726E-7</v>
      </c>
      <c r="AE20" s="48">
        <f t="shared" si="6"/>
        <v>2.9085596653164224E-11</v>
      </c>
      <c r="AF20" s="69">
        <f t="shared" si="4"/>
        <v>381940625</v>
      </c>
      <c r="AG20" s="69">
        <f t="shared" si="5"/>
        <v>69760.844748858435</v>
      </c>
      <c r="AH20" s="10"/>
      <c r="AI20" s="10"/>
      <c r="AJ20" s="10"/>
    </row>
    <row r="21" spans="1:36" x14ac:dyDescent="0.25">
      <c r="A21" s="49" t="s">
        <v>31</v>
      </c>
      <c r="B21" s="50" t="s">
        <v>289</v>
      </c>
      <c r="C21" s="48">
        <f>IFERROR((s_TR/(up_RadSpec!I21*s_EF_iw*s_ED_ind*s_IRS_iw*(1/1000)))*1,".")</f>
        <v>7.2727272727272728E-9</v>
      </c>
      <c r="D21" s="48">
        <f>IFERROR(IF(A21="H-3",(s_TR/(up_RadSpec!G21*s_EF_iw*s_ED_ind*(s_ET_iw_o+s_ET_iw_i)*(1/24)*s_IRA_iw*(1/17)*1000))*1,(s_TR/(up_RadSpec!G21*s_EF_iw*s_ED_ind*(s_ET_iw_o+s_ET_iw_i)*(1/24)*s_IRA_iw*(1/s_PEF_wind)*1000))*1),".")</f>
        <v>9.0250320889537196E-6</v>
      </c>
      <c r="E21" s="48" t="str">
        <f>IFERROR((s_TR/(up_RadSpec!F21*s_EF_iw*(1/365)*s_ED_ind*up_RadSpec!Q21*(s_ET_iw_o+s_ET_iw_i)*(1/24)*up_RadSpec!AA21))*1,".")</f>
        <v>.</v>
      </c>
      <c r="F21" s="48">
        <f t="shared" si="0"/>
        <v>7.2668713408184592E-9</v>
      </c>
      <c r="G21" s="69">
        <f t="shared" si="1"/>
        <v>1527762.5</v>
      </c>
      <c r="H21" s="69">
        <f t="shared" si="2"/>
        <v>1231.1313567072434</v>
      </c>
      <c r="I21" s="69">
        <f>s_C*s_EF_iw*(1/365)*s_ED_ind*(s_ET_iw_o+s_ET_iw_i)*(1/24)*up_RadSpec!AA21*up_RadSpec!Q21*1</f>
        <v>0</v>
      </c>
      <c r="J21" s="4"/>
      <c r="K21" s="4"/>
      <c r="L21" s="4"/>
      <c r="M21" s="4"/>
      <c r="N21" s="48" t="str">
        <f>IFERROR((s_TR/(up_RadSpec!F21*s_EF_iw*(1/365)*s_ED_ind*up_RadSpec!Q21*(s_ET_iw_o+s_ET_iw_i)*(1/24)*up_RadSpec!AA21))*1,".")</f>
        <v>.</v>
      </c>
      <c r="O21" s="48" t="str">
        <f>IFERROR((s_TR/(up_RadSpec!M21*s_EF_iw*(1/365)*s_ED_ind*up_RadSpec!R21*(s_ET_iw_o+s_ET_iw_i)*(1/24)*up_RadSpec!AB21))*1,".")</f>
        <v>.</v>
      </c>
      <c r="P21" s="48" t="str">
        <f>IFERROR((s_TR/(up_RadSpec!N21*s_EF_iw*(1/365)*s_ED_ind*up_RadSpec!S21*(s_ET_iw_o+s_ET_iw_i)*(1/24)*up_RadSpec!AC21))*1,".")</f>
        <v>.</v>
      </c>
      <c r="Q21" s="48" t="str">
        <f>IFERROR((s_TR/(up_RadSpec!O21*s_EF_iw*(1/365)*s_ED_ind*up_RadSpec!T21*(s_ET_iw_o+s_ET_iw_i)*(1/24)*up_RadSpec!AD21))*1,".")</f>
        <v>.</v>
      </c>
      <c r="R21" s="48" t="str">
        <f>IFERROR((s_TR/(up_RadSpec!K21*s_EF_iw*(1/365)*s_ED_ind*up_RadSpec!P21*(s_ET_iw_o+s_ET_iw_i)*(1/24)*up_RadSpec!Z21))*1,".")</f>
        <v>.</v>
      </c>
      <c r="S21" s="69">
        <f>s_C*s_EF_iw*(1/365)*s_ED_ind*(s_ET_iw_o+s_ET_iw_i)*(1/24)*up_RadSpec!AA21*up_RadSpec!Q21*1</f>
        <v>0</v>
      </c>
      <c r="T21" s="69">
        <f>s_C*s_EF_iw*(1/365)*s_ED_ind*(s_ET_iw_o+s_ET_iw_i)*(1/24)*up_RadSpec!AB21*up_RadSpec!R21*1</f>
        <v>0</v>
      </c>
      <c r="U21" s="69">
        <f>s_C*s_EF_iw*(1/365)*s_ED_ind*(s_ET_iw_o+s_ET_iw_i)*(1/24)*up_RadSpec!AC21*up_RadSpec!S21*1</f>
        <v>0</v>
      </c>
      <c r="V21" s="69">
        <f>s_C*s_EF_iw*(1/365)*s_ED_ind*(s_ET_iw_o+s_ET_iw_i)*(1/24)*up_RadSpec!AD21*up_RadSpec!T21*1</f>
        <v>0</v>
      </c>
      <c r="W21" s="69">
        <f>s_C*s_EF_iw*(1/365)*s_ED_ind*(s_ET_iw_o+s_ET_iw_i)*(1/24)*up_RadSpec!Z21*up_RadSpec!P21*1</f>
        <v>0</v>
      </c>
      <c r="X21" s="11"/>
      <c r="Y21" s="11"/>
      <c r="Z21" s="11"/>
      <c r="AA21" s="11"/>
      <c r="AB21" s="11"/>
      <c r="AC21" s="48">
        <f>IFERROR(s_TR/(up_RadSpec!G21*s_EF_iw*s_ED_ind*(s_ET_iw_o+s_ET_iw_i)*(1/24)*s_IRA_iw),".")</f>
        <v>2.9090909090909089E-11</v>
      </c>
      <c r="AD21" s="48">
        <f>IFERROR(s_TR/(up_RadSpec!J21*s_EF_iw*(1/365)*s_ED_ind*(s_ET_iw_o+s_ET_iw_i)*(1/24)*s_GSF_a),".")</f>
        <v>1.5927272727272726E-7</v>
      </c>
      <c r="AE21" s="48">
        <f t="shared" si="6"/>
        <v>2.9085596653164224E-11</v>
      </c>
      <c r="AF21" s="69">
        <f t="shared" si="4"/>
        <v>381940625</v>
      </c>
      <c r="AG21" s="69">
        <f t="shared" si="5"/>
        <v>69760.844748858435</v>
      </c>
      <c r="AH21" s="10"/>
      <c r="AI21" s="10"/>
      <c r="AJ21" s="10"/>
    </row>
    <row r="22" spans="1:36" x14ac:dyDescent="0.25">
      <c r="A22" s="49" t="s">
        <v>32</v>
      </c>
      <c r="B22" s="50" t="s">
        <v>289</v>
      </c>
      <c r="C22" s="48">
        <f>IFERROR((s_TR/(up_RadSpec!I22*s_EF_iw*s_ED_ind*s_IRS_iw*(1/1000)))*1,".")</f>
        <v>7.2727272727272728E-9</v>
      </c>
      <c r="D22" s="48">
        <f>IFERROR(IF(A22="H-3",(s_TR/(up_RadSpec!G22*s_EF_iw*s_ED_ind*(s_ET_iw_o+s_ET_iw_i)*(1/24)*s_IRA_iw*(1/17)*1000))*1,(s_TR/(up_RadSpec!G22*s_EF_iw*s_ED_ind*(s_ET_iw_o+s_ET_iw_i)*(1/24)*s_IRA_iw*(1/s_PEF_wind)*1000))*1),".")</f>
        <v>9.0250320889537196E-6</v>
      </c>
      <c r="E22" s="48">
        <f>IFERROR((s_TR/(up_RadSpec!F22*s_EF_iw*(1/365)*s_ED_ind*up_RadSpec!Q22*(s_ET_iw_o+s_ET_iw_i)*(1/24)*up_RadSpec!AA22))*1,".")</f>
        <v>38.212609970674492</v>
      </c>
      <c r="F22" s="48">
        <f t="shared" si="0"/>
        <v>7.2668713394365224E-9</v>
      </c>
      <c r="G22" s="69">
        <f t="shared" si="1"/>
        <v>1527762.5</v>
      </c>
      <c r="H22" s="69">
        <f t="shared" si="2"/>
        <v>1231.1313567072434</v>
      </c>
      <c r="I22" s="69">
        <f>s_C*s_EF_iw*(1/365)*s_ED_ind*(s_ET_iw_o+s_ET_iw_i)*(1/24)*up_RadSpec!AA22*up_RadSpec!Q22*1</f>
        <v>2.9076789071793088E-4</v>
      </c>
      <c r="J22" s="4"/>
      <c r="K22" s="4"/>
      <c r="L22" s="4"/>
      <c r="M22" s="4"/>
      <c r="N22" s="48">
        <f>IFERROR((s_TR/(up_RadSpec!F22*s_EF_iw*(1/365)*s_ED_ind*up_RadSpec!Q22*(s_ET_iw_o+s_ET_iw_i)*(1/24)*up_RadSpec!AA22))*1,".")</f>
        <v>38.212609970674492</v>
      </c>
      <c r="O22" s="48">
        <f>IFERROR((s_TR/(up_RadSpec!M22*s_EF_iw*(1/365)*s_ED_ind*up_RadSpec!R22*(s_ET_iw_o+s_ET_iw_i)*(1/24)*up_RadSpec!AB22))*1,".")</f>
        <v>35.015007875419791</v>
      </c>
      <c r="P22" s="48">
        <f>IFERROR((s_TR/(up_RadSpec!N22*s_EF_iw*(1/365)*s_ED_ind*up_RadSpec!S22*(s_ET_iw_o+s_ET_iw_i)*(1/24)*up_RadSpec!AC22))*1,".")</f>
        <v>26.900901897858684</v>
      </c>
      <c r="Q22" s="48">
        <f>IFERROR((s_TR/(up_RadSpec!O22*s_EF_iw*(1/365)*s_ED_ind*up_RadSpec!T22*(s_ET_iw_o+s_ET_iw_i)*(1/24)*up_RadSpec!AD22))*1,".")</f>
        <v>27.720643939393923</v>
      </c>
      <c r="R22" s="48">
        <f>IFERROR((s_TR/(up_RadSpec!K22*s_EF_iw*(1/365)*s_ED_ind*up_RadSpec!P22*(s_ET_iw_o+s_ET_iw_i)*(1/24)*up_RadSpec!Z22))*1,".")</f>
        <v>196.69716748383877</v>
      </c>
      <c r="S22" s="69">
        <f>s_C*s_EF_iw*(1/365)*s_ED_ind*(s_ET_iw_o+s_ET_iw_i)*(1/24)*up_RadSpec!AA22*up_RadSpec!Q22*1</f>
        <v>2.9076789071793088E-4</v>
      </c>
      <c r="T22" s="69">
        <f>s_C*s_EF_iw*(1/365)*s_ED_ind*(s_ET_iw_o+s_ET_iw_i)*(1/24)*up_RadSpec!AB22*up_RadSpec!R22*1</f>
        <v>3.1732107670893355E-4</v>
      </c>
      <c r="U22" s="69">
        <f>s_C*s_EF_iw*(1/365)*s_ED_ind*(s_ET_iw_o+s_ET_iw_i)*(1/24)*up_RadSpec!AC22*up_RadSpec!S22*1</f>
        <v>4.1303447899954744E-4</v>
      </c>
      <c r="V22" s="69">
        <f>s_C*s_EF_iw*(1/365)*s_ED_ind*(s_ET_iw_o+s_ET_iw_i)*(1/24)*up_RadSpec!AD22*up_RadSpec!T22*1</f>
        <v>4.0082041471663324E-4</v>
      </c>
      <c r="W22" s="69">
        <f>s_C*s_EF_iw*(1/365)*s_ED_ind*(s_ET_iw_o+s_ET_iw_i)*(1/24)*up_RadSpec!Z22*up_RadSpec!P22*1</f>
        <v>5.6487849530994965E-5</v>
      </c>
      <c r="X22" s="11"/>
      <c r="Y22" s="11"/>
      <c r="Z22" s="11"/>
      <c r="AA22" s="11"/>
      <c r="AB22" s="11"/>
      <c r="AC22" s="48">
        <f>IFERROR(s_TR/(up_RadSpec!G22*s_EF_iw*s_ED_ind*(s_ET_iw_o+s_ET_iw_i)*(1/24)*s_IRA_iw),".")</f>
        <v>2.9090909090909089E-11</v>
      </c>
      <c r="AD22" s="48">
        <f>IFERROR(s_TR/(up_RadSpec!J22*s_EF_iw*(1/365)*s_ED_ind*(s_ET_iw_o+s_ET_iw_i)*(1/24)*s_GSF_a),".")</f>
        <v>1.5927272727272726E-7</v>
      </c>
      <c r="AE22" s="48">
        <f t="shared" si="6"/>
        <v>2.9085596653164224E-11</v>
      </c>
      <c r="AF22" s="69">
        <f t="shared" si="4"/>
        <v>381940625</v>
      </c>
      <c r="AG22" s="69">
        <f t="shared" si="5"/>
        <v>69760.844748858435</v>
      </c>
      <c r="AH22" s="10"/>
      <c r="AI22" s="10"/>
      <c r="AJ22" s="10"/>
    </row>
    <row r="23" spans="1:36" x14ac:dyDescent="0.25">
      <c r="A23" s="51" t="s">
        <v>33</v>
      </c>
      <c r="B23" s="50" t="s">
        <v>275</v>
      </c>
      <c r="C23" s="48">
        <f>IFERROR((s_TR/(up_RadSpec!I23*s_EF_iw*s_ED_ind*s_IRS_iw*(1/1000)))*1,".")</f>
        <v>7.2727272727272728E-9</v>
      </c>
      <c r="D23" s="48">
        <f>IFERROR(IF(A23="H-3",(s_TR/(up_RadSpec!G23*s_EF_iw*s_ED_ind*(s_ET_iw_o+s_ET_iw_i)*(1/24)*s_IRA_iw*(1/17)*1000))*1,(s_TR/(up_RadSpec!G23*s_EF_iw*s_ED_ind*(s_ET_iw_o+s_ET_iw_i)*(1/24)*s_IRA_iw*(1/s_PEF_wind)*1000))*1),".")</f>
        <v>9.0250320889537196E-6</v>
      </c>
      <c r="E23" s="48">
        <f>IFERROR((s_TR/(up_RadSpec!F23*s_EF_iw*(1/365)*s_ED_ind*up_RadSpec!Q23*(s_ET_iw_o+s_ET_iw_i)*(1/24)*up_RadSpec!AA23))*1,".")</f>
        <v>8.7509808832122842E-6</v>
      </c>
      <c r="F23" s="48">
        <f t="shared" si="0"/>
        <v>7.2608418905717984E-9</v>
      </c>
      <c r="G23" s="69">
        <f t="shared" si="1"/>
        <v>1527762.5</v>
      </c>
      <c r="H23" s="69">
        <f t="shared" si="2"/>
        <v>1231.1313567072434</v>
      </c>
      <c r="I23" s="69">
        <f>s_C*s_EF_iw*(1/365)*s_ED_ind*(s_ET_iw_o+s_ET_iw_i)*(1/24)*up_RadSpec!AA23*up_RadSpec!Q23*1</f>
        <v>1269.6862384095855</v>
      </c>
      <c r="J23" s="4"/>
      <c r="K23" s="4"/>
      <c r="L23" s="4"/>
      <c r="M23" s="4"/>
      <c r="N23" s="48">
        <f>IFERROR((s_TR/(up_RadSpec!F23*s_EF_iw*(1/365)*s_ED_ind*up_RadSpec!Q23*(s_ET_iw_o+s_ET_iw_i)*(1/24)*up_RadSpec!AA23))*1,".")</f>
        <v>8.7509808832122842E-6</v>
      </c>
      <c r="O23" s="48">
        <f>IFERROR((s_TR/(up_RadSpec!M23*s_EF_iw*(1/365)*s_ED_ind*up_RadSpec!R23*(s_ET_iw_o+s_ET_iw_i)*(1/24)*up_RadSpec!AB23))*1,".")</f>
        <v>1.5576910604259011E-5</v>
      </c>
      <c r="P23" s="48">
        <f>IFERROR((s_TR/(up_RadSpec!N23*s_EF_iw*(1/365)*s_ED_ind*up_RadSpec!S23*(s_ET_iw_o+s_ET_iw_i)*(1/24)*up_RadSpec!AC23))*1,".")</f>
        <v>1.1014828321418573E-5</v>
      </c>
      <c r="Q23" s="48">
        <f>IFERROR((s_TR/(up_RadSpec!O23*s_EF_iw*(1/365)*s_ED_ind*up_RadSpec!T23*(s_ET_iw_o+s_ET_iw_i)*(1/24)*up_RadSpec!AD23))*1,".")</f>
        <v>9.0137862137862116E-6</v>
      </c>
      <c r="R23" s="48">
        <f>IFERROR((s_TR/(up_RadSpec!K23*s_EF_iw*(1/365)*s_ED_ind*up_RadSpec!P23*(s_ET_iw_o+s_ET_iw_i)*(1/24)*up_RadSpec!Z23))*1,".")</f>
        <v>2.4520489219518339E-5</v>
      </c>
      <c r="S23" s="69">
        <f>s_C*s_EF_iw*(1/365)*s_ED_ind*(s_ET_iw_o+s_ET_iw_i)*(1/24)*up_RadSpec!AA23*up_RadSpec!Q23*1</f>
        <v>1269.6862384095855</v>
      </c>
      <c r="T23" s="69">
        <f>s_C*s_EF_iw*(1/365)*s_ED_ind*(s_ET_iw_o+s_ET_iw_i)*(1/24)*up_RadSpec!AB23*up_RadSpec!R23*1</f>
        <v>713.29933658103232</v>
      </c>
      <c r="U23" s="69">
        <f>s_C*s_EF_iw*(1/365)*s_ED_ind*(s_ET_iw_o+s_ET_iw_i)*(1/24)*up_RadSpec!AC23*up_RadSpec!S23*1</f>
        <v>1008.7311100795296</v>
      </c>
      <c r="V23" s="69">
        <f>s_C*s_EF_iw*(1/365)*s_ED_ind*(s_ET_iw_o+s_ET_iw_i)*(1/24)*up_RadSpec!AD23*up_RadSpec!T23*1</f>
        <v>1232.6673538147804</v>
      </c>
      <c r="W23" s="69">
        <f>s_C*s_EF_iw*(1/365)*s_ED_ind*(s_ET_iw_o+s_ET_iw_i)*(1/24)*up_RadSpec!Z23*up_RadSpec!P23*1</f>
        <v>453.13125282817066</v>
      </c>
      <c r="X23" s="11"/>
      <c r="Y23" s="11"/>
      <c r="Z23" s="11"/>
      <c r="AA23" s="11"/>
      <c r="AB23" s="11"/>
      <c r="AC23" s="48">
        <f>IFERROR(s_TR/(up_RadSpec!G23*s_EF_iw*s_ED_ind*(s_ET_iw_o+s_ET_iw_i)*(1/24)*s_IRA_iw),".")</f>
        <v>2.9090909090909089E-11</v>
      </c>
      <c r="AD23" s="48">
        <f>IFERROR(s_TR/(up_RadSpec!J23*s_EF_iw*(1/365)*s_ED_ind*(s_ET_iw_o+s_ET_iw_i)*(1/24)*s_GSF_a),".")</f>
        <v>1.5927272727272726E-7</v>
      </c>
      <c r="AE23" s="48">
        <f t="shared" si="6"/>
        <v>2.9085596653164224E-11</v>
      </c>
      <c r="AF23" s="69">
        <f t="shared" si="4"/>
        <v>381940625</v>
      </c>
      <c r="AG23" s="69">
        <f t="shared" si="5"/>
        <v>69760.844748858435</v>
      </c>
      <c r="AH23" s="10"/>
      <c r="AI23" s="10"/>
      <c r="AJ23" s="10"/>
    </row>
    <row r="24" spans="1:36" x14ac:dyDescent="0.25">
      <c r="A24" s="49" t="s">
        <v>34</v>
      </c>
      <c r="B24" s="50" t="s">
        <v>289</v>
      </c>
      <c r="C24" s="48">
        <f>IFERROR((s_TR/(up_RadSpec!I24*s_EF_iw*s_ED_ind*s_IRS_iw*(1/1000)))*1,".")</f>
        <v>7.2727272727272728E-9</v>
      </c>
      <c r="D24" s="48">
        <f>IFERROR(IF(A24="H-3",(s_TR/(up_RadSpec!G24*s_EF_iw*s_ED_ind*(s_ET_iw_o+s_ET_iw_i)*(1/24)*s_IRA_iw*(1/17)*1000))*1,(s_TR/(up_RadSpec!G24*s_EF_iw*s_ED_ind*(s_ET_iw_o+s_ET_iw_i)*(1/24)*s_IRA_iw*(1/s_PEF_wind)*1000))*1),".")</f>
        <v>9.0250320889537196E-6</v>
      </c>
      <c r="E24" s="48">
        <f>IFERROR((s_TR/(up_RadSpec!F24*s_EF_iw*(1/365)*s_ED_ind*up_RadSpec!Q24*(s_ET_iw_o+s_ET_iw_i)*(1/24)*up_RadSpec!AA24))*1,".")</f>
        <v>1.1471840568895136E-5</v>
      </c>
      <c r="F24" s="48">
        <f t="shared" si="0"/>
        <v>7.2622710337511249E-9</v>
      </c>
      <c r="G24" s="69">
        <f t="shared" si="1"/>
        <v>1527762.5</v>
      </c>
      <c r="H24" s="69">
        <f t="shared" si="2"/>
        <v>1231.1313567072434</v>
      </c>
      <c r="I24" s="69">
        <f>s_C*s_EF_iw*(1/365)*s_ED_ind*(s_ET_iw_o+s_ET_iw_i)*(1/24)*up_RadSpec!AA24*up_RadSpec!Q24*1</f>
        <v>968.5455383791226</v>
      </c>
      <c r="J24" s="4"/>
      <c r="K24" s="4"/>
      <c r="L24" s="4"/>
      <c r="M24" s="4"/>
      <c r="N24" s="48">
        <f>IFERROR((s_TR/(up_RadSpec!F24*s_EF_iw*(1/365)*s_ED_ind*up_RadSpec!Q24*(s_ET_iw_o+s_ET_iw_i)*(1/24)*up_RadSpec!AA24))*1,".")</f>
        <v>1.1471840568895136E-5</v>
      </c>
      <c r="O24" s="48">
        <f>IFERROR((s_TR/(up_RadSpec!M24*s_EF_iw*(1/365)*s_ED_ind*up_RadSpec!R24*(s_ET_iw_o+s_ET_iw_i)*(1/24)*up_RadSpec!AB24))*1,".")</f>
        <v>2.0798618605655087E-5</v>
      </c>
      <c r="P24" s="48">
        <f>IFERROR((s_TR/(up_RadSpec!N24*s_EF_iw*(1/365)*s_ED_ind*up_RadSpec!S24*(s_ET_iw_o+s_ET_iw_i)*(1/24)*up_RadSpec!AC24))*1,".")</f>
        <v>1.4685168700775835E-5</v>
      </c>
      <c r="Q24" s="48">
        <f>IFERROR((s_TR/(up_RadSpec!O24*s_EF_iw*(1/365)*s_ED_ind*up_RadSpec!T24*(s_ET_iw_o+s_ET_iw_i)*(1/24)*up_RadSpec!AD24))*1,".")</f>
        <v>1.226306800683148E-5</v>
      </c>
      <c r="R24" s="48">
        <f>IFERROR((s_TR/(up_RadSpec!K24*s_EF_iw*(1/365)*s_ED_ind*up_RadSpec!P24*(s_ET_iw_o+s_ET_iw_i)*(1/24)*up_RadSpec!Z24))*1,".")</f>
        <v>3.4567432567432553E-5</v>
      </c>
      <c r="S24" s="69">
        <f>s_C*s_EF_iw*(1/365)*s_ED_ind*(s_ET_iw_o+s_ET_iw_i)*(1/24)*up_RadSpec!AA24*up_RadSpec!Q24*1</f>
        <v>968.5455383791226</v>
      </c>
      <c r="T24" s="69">
        <f>s_C*s_EF_iw*(1/365)*s_ED_ind*(s_ET_iw_o+s_ET_iw_i)*(1/24)*up_RadSpec!AB24*up_RadSpec!R24*1</f>
        <v>534.21817144043166</v>
      </c>
      <c r="U24" s="69">
        <f>s_C*s_EF_iw*(1/365)*s_ED_ind*(s_ET_iw_o+s_ET_iw_i)*(1/24)*up_RadSpec!AC24*up_RadSpec!S24*1</f>
        <v>756.61371186106919</v>
      </c>
      <c r="V24" s="69">
        <f>s_C*s_EF_iw*(1/365)*s_ED_ind*(s_ET_iw_o+s_ET_iw_i)*(1/24)*up_RadSpec!AD24*up_RadSpec!T24*1</f>
        <v>906.05385159817342</v>
      </c>
      <c r="W24" s="69">
        <f>s_C*s_EF_iw*(1/365)*s_ED_ind*(s_ET_iw_o+s_ET_iw_i)*(1/24)*up_RadSpec!Z24*up_RadSpec!P24*1</f>
        <v>321.42971504537314</v>
      </c>
      <c r="X24" s="11"/>
      <c r="Y24" s="11"/>
      <c r="Z24" s="11"/>
      <c r="AA24" s="11"/>
      <c r="AB24" s="11"/>
      <c r="AC24" s="48">
        <f>IFERROR(s_TR/(up_RadSpec!G24*s_EF_iw*s_ED_ind*(s_ET_iw_o+s_ET_iw_i)*(1/24)*s_IRA_iw),".")</f>
        <v>2.9090909090909089E-11</v>
      </c>
      <c r="AD24" s="48">
        <f>IFERROR(s_TR/(up_RadSpec!J24*s_EF_iw*(1/365)*s_ED_ind*(s_ET_iw_o+s_ET_iw_i)*(1/24)*s_GSF_a),".")</f>
        <v>1.5927272727272726E-7</v>
      </c>
      <c r="AE24" s="48">
        <f t="shared" si="6"/>
        <v>2.9085596653164224E-11</v>
      </c>
      <c r="AF24" s="69">
        <f t="shared" si="4"/>
        <v>381940625</v>
      </c>
      <c r="AG24" s="69">
        <f t="shared" si="5"/>
        <v>69760.844748858435</v>
      </c>
      <c r="AH24" s="10"/>
      <c r="AI24" s="10"/>
      <c r="AJ24" s="10"/>
    </row>
    <row r="25" spans="1:36" x14ac:dyDescent="0.25">
      <c r="A25" s="51" t="s">
        <v>35</v>
      </c>
      <c r="B25" s="50" t="s">
        <v>275</v>
      </c>
      <c r="C25" s="48">
        <f>IFERROR((s_TR/(up_RadSpec!I25*s_EF_iw*s_ED_ind*s_IRS_iw*(1/1000)))*1,".")</f>
        <v>7.2727272727272728E-9</v>
      </c>
      <c r="D25" s="48">
        <f>IFERROR(IF(A25="H-3",(s_TR/(up_RadSpec!G25*s_EF_iw*s_ED_ind*(s_ET_iw_o+s_ET_iw_i)*(1/24)*s_IRA_iw*(1/17)*1000))*1,(s_TR/(up_RadSpec!G25*s_EF_iw*s_ED_ind*(s_ET_iw_o+s_ET_iw_i)*(1/24)*s_IRA_iw*(1/s_PEF_wind)*1000))*1),".")</f>
        <v>9.0250320889537196E-6</v>
      </c>
      <c r="E25" s="48">
        <f>IFERROR((s_TR/(up_RadSpec!F25*s_EF_iw*(1/365)*s_ED_ind*up_RadSpec!Q25*(s_ET_iw_o+s_ET_iw_i)*(1/24)*up_RadSpec!AA25))*1,".")</f>
        <v>1.2792990142387735E-5</v>
      </c>
      <c r="F25" s="48">
        <f t="shared" si="0"/>
        <v>7.2627458440391863E-9</v>
      </c>
      <c r="G25" s="69">
        <f t="shared" si="1"/>
        <v>1527762.5</v>
      </c>
      <c r="H25" s="69">
        <f t="shared" si="2"/>
        <v>1231.1313567072434</v>
      </c>
      <c r="I25" s="69">
        <f>s_C*s_EF_iw*(1/365)*s_ED_ind*(s_ET_iw_o+s_ET_iw_i)*(1/24)*up_RadSpec!AA25*up_RadSpec!Q25*1</f>
        <v>868.52251712328757</v>
      </c>
      <c r="J25" s="4"/>
      <c r="K25" s="4"/>
      <c r="L25" s="4"/>
      <c r="M25" s="4"/>
      <c r="N25" s="48">
        <f>IFERROR((s_TR/(up_RadSpec!F25*s_EF_iw*(1/365)*s_ED_ind*up_RadSpec!Q25*(s_ET_iw_o+s_ET_iw_i)*(1/24)*up_RadSpec!AA25))*1,".")</f>
        <v>1.2792990142387735E-5</v>
      </c>
      <c r="O25" s="48">
        <f>IFERROR((s_TR/(up_RadSpec!M25*s_EF_iw*(1/365)*s_ED_ind*up_RadSpec!R25*(s_ET_iw_o+s_ET_iw_i)*(1/24)*up_RadSpec!AB25))*1,".")</f>
        <v>2.290959063840419E-5</v>
      </c>
      <c r="P25" s="48">
        <f>IFERROR((s_TR/(up_RadSpec!N25*s_EF_iw*(1/365)*s_ED_ind*up_RadSpec!S25*(s_ET_iw_o+s_ET_iw_i)*(1/24)*up_RadSpec!AC25))*1,".")</f>
        <v>1.6433173568005031E-5</v>
      </c>
      <c r="Q25" s="48">
        <f>IFERROR((s_TR/(up_RadSpec!O25*s_EF_iw*(1/365)*s_ED_ind*up_RadSpec!T25*(s_ET_iw_o+s_ET_iw_i)*(1/24)*up_RadSpec!AD25))*1,".")</f>
        <v>1.4674410335427284E-5</v>
      </c>
      <c r="R25" s="48">
        <f>IFERROR((s_TR/(up_RadSpec!K25*s_EF_iw*(1/365)*s_ED_ind*up_RadSpec!P25*(s_ET_iw_o+s_ET_iw_i)*(1/24)*up_RadSpec!Z25))*1,".")</f>
        <v>4.1074380165289243E-5</v>
      </c>
      <c r="S25" s="69">
        <f>s_C*s_EF_iw*(1/365)*s_ED_ind*(s_ET_iw_o+s_ET_iw_i)*(1/24)*up_RadSpec!AA25*up_RadSpec!Q25*1</f>
        <v>868.52251712328757</v>
      </c>
      <c r="T25" s="69">
        <f>s_C*s_EF_iw*(1/365)*s_ED_ind*(s_ET_iw_o+s_ET_iw_i)*(1/24)*up_RadSpec!AB25*up_RadSpec!R25*1</f>
        <v>484.99338881133133</v>
      </c>
      <c r="U25" s="69">
        <f>s_C*s_EF_iw*(1/365)*s_ED_ind*(s_ET_iw_o+s_ET_iw_i)*(1/24)*up_RadSpec!AC25*up_RadSpec!S25*1</f>
        <v>676.13233402663195</v>
      </c>
      <c r="V25" s="69">
        <f>s_C*s_EF_iw*(1/365)*s_ED_ind*(s_ET_iw_o+s_ET_iw_i)*(1/24)*up_RadSpec!AD25*up_RadSpec!T25*1</f>
        <v>757.1684139958644</v>
      </c>
      <c r="W25" s="69">
        <f>s_C*s_EF_iw*(1/365)*s_ED_ind*(s_ET_iw_o+s_ET_iw_i)*(1/24)*up_RadSpec!Z25*up_RadSpec!P25*1</f>
        <v>270.50925553319922</v>
      </c>
      <c r="X25" s="11"/>
      <c r="Y25" s="11"/>
      <c r="Z25" s="11"/>
      <c r="AA25" s="11"/>
      <c r="AB25" s="11"/>
      <c r="AC25" s="48">
        <f>IFERROR(s_TR/(up_RadSpec!G25*s_EF_iw*s_ED_ind*(s_ET_iw_o+s_ET_iw_i)*(1/24)*s_IRA_iw),".")</f>
        <v>2.9090909090909089E-11</v>
      </c>
      <c r="AD25" s="48">
        <f>IFERROR(s_TR/(up_RadSpec!J25*s_EF_iw*(1/365)*s_ED_ind*(s_ET_iw_o+s_ET_iw_i)*(1/24)*s_GSF_a),".")</f>
        <v>1.5927272727272726E-7</v>
      </c>
      <c r="AE25" s="48">
        <f t="shared" si="6"/>
        <v>2.9085596653164224E-11</v>
      </c>
      <c r="AF25" s="69">
        <f t="shared" si="4"/>
        <v>381940625</v>
      </c>
      <c r="AG25" s="69">
        <f t="shared" si="5"/>
        <v>69760.844748858435</v>
      </c>
      <c r="AH25" s="10"/>
      <c r="AI25" s="10"/>
      <c r="AJ25" s="10"/>
    </row>
    <row r="26" spans="1:36" x14ac:dyDescent="0.25">
      <c r="A26" s="49" t="s">
        <v>36</v>
      </c>
      <c r="B26" s="50" t="s">
        <v>289</v>
      </c>
      <c r="C26" s="48">
        <f>IFERROR((s_TR/(up_RadSpec!I26*s_EF_iw*s_ED_ind*s_IRS_iw*(1/1000)))*1,".")</f>
        <v>7.2727272727272728E-9</v>
      </c>
      <c r="D26" s="48">
        <f>IFERROR(IF(A26="H-3",(s_TR/(up_RadSpec!G26*s_EF_iw*s_ED_ind*(s_ET_iw_o+s_ET_iw_i)*(1/24)*s_IRA_iw*(1/17)*1000))*1,(s_TR/(up_RadSpec!G26*s_EF_iw*s_ED_ind*(s_ET_iw_o+s_ET_iw_i)*(1/24)*s_IRA_iw*(1/s_PEF_wind)*1000))*1),".")</f>
        <v>9.0250320889537196E-6</v>
      </c>
      <c r="E26" s="48">
        <f>IFERROR((s_TR/(up_RadSpec!F26*s_EF_iw*(1/365)*s_ED_ind*up_RadSpec!Q26*(s_ET_iw_o+s_ET_iw_i)*(1/24)*up_RadSpec!AA26))*1,".")</f>
        <v>6.9749536178107568E-5</v>
      </c>
      <c r="F26" s="48">
        <f t="shared" si="0"/>
        <v>7.2661143190402886E-9</v>
      </c>
      <c r="G26" s="69">
        <f t="shared" si="1"/>
        <v>1527762.5</v>
      </c>
      <c r="H26" s="69">
        <f t="shared" si="2"/>
        <v>1231.1313567072434</v>
      </c>
      <c r="I26" s="69">
        <f>s_C*s_EF_iw*(1/365)*s_ED_ind*(s_ET_iw_o+s_ET_iw_i)*(1/24)*up_RadSpec!AA26*up_RadSpec!Q26*1</f>
        <v>159.29855033914089</v>
      </c>
      <c r="J26" s="4"/>
      <c r="K26" s="4"/>
      <c r="L26" s="4"/>
      <c r="M26" s="4"/>
      <c r="N26" s="48">
        <f>IFERROR((s_TR/(up_RadSpec!F26*s_EF_iw*(1/365)*s_ED_ind*up_RadSpec!Q26*(s_ET_iw_o+s_ET_iw_i)*(1/24)*up_RadSpec!AA26))*1,".")</f>
        <v>6.9749536178107568E-5</v>
      </c>
      <c r="O26" s="48">
        <f>IFERROR((s_TR/(up_RadSpec!M26*s_EF_iw*(1/365)*s_ED_ind*up_RadSpec!R26*(s_ET_iw_o+s_ET_iw_i)*(1/24)*up_RadSpec!AB26))*1,".")</f>
        <v>1.2734541301074711E-4</v>
      </c>
      <c r="P26" s="48">
        <f>IFERROR((s_TR/(up_RadSpec!N26*s_EF_iw*(1/365)*s_ED_ind*up_RadSpec!S26*(s_ET_iw_o+s_ET_iw_i)*(1/24)*up_RadSpec!AC26))*1,".")</f>
        <v>9.204287081339711E-5</v>
      </c>
      <c r="Q26" s="48">
        <f>IFERROR((s_TR/(up_RadSpec!O26*s_EF_iw*(1/365)*s_ED_ind*up_RadSpec!T26*(s_ET_iw_o+s_ET_iw_i)*(1/24)*up_RadSpec!AD26))*1,".")</f>
        <v>7.8731404958677637E-5</v>
      </c>
      <c r="R26" s="48">
        <f>IFERROR((s_TR/(up_RadSpec!K26*s_EF_iw*(1/365)*s_ED_ind*up_RadSpec!P26*(s_ET_iw_o+s_ET_iw_i)*(1/24)*up_RadSpec!Z26))*1,".")</f>
        <v>7.422374012566158E-4</v>
      </c>
      <c r="S26" s="69">
        <f>s_C*s_EF_iw*(1/365)*s_ED_ind*(s_ET_iw_o+s_ET_iw_i)*(1/24)*up_RadSpec!AA26*up_RadSpec!Q26*1</f>
        <v>159.29855033914089</v>
      </c>
      <c r="T26" s="69">
        <f>s_C*s_EF_iw*(1/365)*s_ED_ind*(s_ET_iw_o+s_ET_iw_i)*(1/24)*up_RadSpec!AB26*up_RadSpec!R26*1</f>
        <v>87.250885110893648</v>
      </c>
      <c r="U26" s="69">
        <f>s_C*s_EF_iw*(1/365)*s_ED_ind*(s_ET_iw_o+s_ET_iw_i)*(1/24)*up_RadSpec!AC26*up_RadSpec!S26*1</f>
        <v>120.71548727033796</v>
      </c>
      <c r="V26" s="69">
        <f>s_C*s_EF_iw*(1/365)*s_ED_ind*(s_ET_iw_o+s_ET_iw_i)*(1/24)*up_RadSpec!AD26*up_RadSpec!T26*1</f>
        <v>141.12538707815048</v>
      </c>
      <c r="W26" s="69">
        <f>s_C*s_EF_iw*(1/365)*s_ED_ind*(s_ET_iw_o+s_ET_iw_i)*(1/24)*up_RadSpec!Z26*up_RadSpec!P26*1</f>
        <v>14.96960403933965</v>
      </c>
      <c r="X26" s="11"/>
      <c r="Y26" s="11"/>
      <c r="Z26" s="11"/>
      <c r="AA26" s="11"/>
      <c r="AB26" s="11"/>
      <c r="AC26" s="48">
        <f>IFERROR(s_TR/(up_RadSpec!G26*s_EF_iw*s_ED_ind*(s_ET_iw_o+s_ET_iw_i)*(1/24)*s_IRA_iw),".")</f>
        <v>2.9090909090909089E-11</v>
      </c>
      <c r="AD26" s="48">
        <f>IFERROR(s_TR/(up_RadSpec!J26*s_EF_iw*(1/365)*s_ED_ind*(s_ET_iw_o+s_ET_iw_i)*(1/24)*s_GSF_a),".")</f>
        <v>1.5927272727272726E-7</v>
      </c>
      <c r="AE26" s="48">
        <f t="shared" si="6"/>
        <v>2.9085596653164224E-11</v>
      </c>
      <c r="AF26" s="69">
        <f t="shared" si="4"/>
        <v>381940625</v>
      </c>
      <c r="AG26" s="69">
        <f t="shared" si="5"/>
        <v>69760.844748858435</v>
      </c>
      <c r="AH26" s="10"/>
      <c r="AI26" s="10"/>
      <c r="AJ26" s="10"/>
    </row>
    <row r="27" spans="1:36" x14ac:dyDescent="0.25">
      <c r="A27" s="49" t="s">
        <v>37</v>
      </c>
      <c r="B27" s="50" t="s">
        <v>289</v>
      </c>
      <c r="C27" s="48">
        <f>IFERROR((s_TR/(up_RadSpec!I27*s_EF_iw*s_ED_ind*s_IRS_iw*(1/1000)))*1,".")</f>
        <v>7.2727272727272728E-9</v>
      </c>
      <c r="D27" s="48">
        <f>IFERROR(IF(A27="H-3",(s_TR/(up_RadSpec!G27*s_EF_iw*s_ED_ind*(s_ET_iw_o+s_ET_iw_i)*(1/24)*s_IRA_iw*(1/17)*1000))*1,(s_TR/(up_RadSpec!G27*s_EF_iw*s_ED_ind*(s_ET_iw_o+s_ET_iw_i)*(1/24)*s_IRA_iw*(1/s_PEF_wind)*1000))*1),".")</f>
        <v>9.0250320889537196E-6</v>
      </c>
      <c r="E27" s="48">
        <f>IFERROR((s_TR/(up_RadSpec!F27*s_EF_iw*(1/365)*s_ED_ind*up_RadSpec!Q27*(s_ET_iw_o+s_ET_iw_i)*(1/24)*up_RadSpec!AA27))*1,".")</f>
        <v>1.4695860931941117E-5</v>
      </c>
      <c r="F27" s="48">
        <f t="shared" si="0"/>
        <v>7.2632797635846533E-9</v>
      </c>
      <c r="G27" s="69">
        <f t="shared" si="1"/>
        <v>1527762.5</v>
      </c>
      <c r="H27" s="69">
        <f t="shared" si="2"/>
        <v>1231.1313567072434</v>
      </c>
      <c r="I27" s="69">
        <f>s_C*s_EF_iw*(1/365)*s_ED_ind*(s_ET_iw_o+s_ET_iw_i)*(1/24)*up_RadSpec!AA27*up_RadSpec!Q27*1</f>
        <v>756.06322429538614</v>
      </c>
      <c r="J27" s="4"/>
      <c r="K27" s="4"/>
      <c r="L27" s="4"/>
      <c r="M27" s="4"/>
      <c r="N27" s="48">
        <f>IFERROR((s_TR/(up_RadSpec!F27*s_EF_iw*(1/365)*s_ED_ind*up_RadSpec!Q27*(s_ET_iw_o+s_ET_iw_i)*(1/24)*up_RadSpec!AA27))*1,".")</f>
        <v>1.4695860931941117E-5</v>
      </c>
      <c r="O27" s="48">
        <f>IFERROR((s_TR/(up_RadSpec!M27*s_EF_iw*(1/365)*s_ED_ind*up_RadSpec!R27*(s_ET_iw_o+s_ET_iw_i)*(1/24)*up_RadSpec!AB27))*1,".")</f>
        <v>4.3590430622009589E-5</v>
      </c>
      <c r="P27" s="48">
        <f>IFERROR((s_TR/(up_RadSpec!N27*s_EF_iw*(1/365)*s_ED_ind*up_RadSpec!S27*(s_ET_iw_o+s_ET_iw_i)*(1/24)*up_RadSpec!AC27))*1,".")</f>
        <v>2.6724211815120904E-5</v>
      </c>
      <c r="Q27" s="48">
        <f>IFERROR((s_TR/(up_RadSpec!O27*s_EF_iw*(1/365)*s_ED_ind*up_RadSpec!T27*(s_ET_iw_o+s_ET_iw_i)*(1/24)*up_RadSpec!AD27))*1,".")</f>
        <v>1.9440831674408324E-5</v>
      </c>
      <c r="R27" s="48">
        <f>IFERROR((s_TR/(up_RadSpec!K27*s_EF_iw*(1/365)*s_ED_ind*up_RadSpec!P27*(s_ET_iw_o+s_ET_iw_i)*(1/24)*up_RadSpec!Z27))*1,".")</f>
        <v>1.3635010151139188E-4</v>
      </c>
      <c r="S27" s="69">
        <f>s_C*s_EF_iw*(1/365)*s_ED_ind*(s_ET_iw_o+s_ET_iw_i)*(1/24)*up_RadSpec!AA27*up_RadSpec!Q27*1</f>
        <v>756.06322429538614</v>
      </c>
      <c r="T27" s="69">
        <f>s_C*s_EF_iw*(1/365)*s_ED_ind*(s_ET_iw_o+s_ET_iw_i)*(1/24)*up_RadSpec!AB27*up_RadSpec!R27*1</f>
        <v>254.89539427467491</v>
      </c>
      <c r="U27" s="69">
        <f>s_C*s_EF_iw*(1/365)*s_ED_ind*(s_ET_iw_o+s_ET_iw_i)*(1/24)*up_RadSpec!AC27*up_RadSpec!S27*1</f>
        <v>415.76530214871485</v>
      </c>
      <c r="V27" s="69">
        <f>s_C*s_EF_iw*(1/365)*s_ED_ind*(s_ET_iw_o+s_ET_iw_i)*(1/24)*up_RadSpec!AD27*up_RadSpec!T27*1</f>
        <v>571.52904701224202</v>
      </c>
      <c r="W27" s="69">
        <f>s_C*s_EF_iw*(1/365)*s_ED_ind*(s_ET_iw_o+s_ET_iw_i)*(1/24)*up_RadSpec!Z27*up_RadSpec!P27*1</f>
        <v>81.488754880550545</v>
      </c>
      <c r="X27" s="11"/>
      <c r="Y27" s="11"/>
      <c r="Z27" s="11"/>
      <c r="AA27" s="11"/>
      <c r="AB27" s="11"/>
      <c r="AC27" s="48">
        <f>IFERROR(s_TR/(up_RadSpec!G27*s_EF_iw*s_ED_ind*(s_ET_iw_o+s_ET_iw_i)*(1/24)*s_IRA_iw),".")</f>
        <v>2.9090909090909089E-11</v>
      </c>
      <c r="AD27" s="48">
        <f>IFERROR(s_TR/(up_RadSpec!J27*s_EF_iw*(1/365)*s_ED_ind*(s_ET_iw_o+s_ET_iw_i)*(1/24)*s_GSF_a),".")</f>
        <v>1.5927272727272726E-7</v>
      </c>
      <c r="AE27" s="48">
        <f t="shared" si="6"/>
        <v>2.9085596653164224E-11</v>
      </c>
      <c r="AF27" s="69">
        <f t="shared" si="4"/>
        <v>381940625</v>
      </c>
      <c r="AG27" s="69">
        <f t="shared" si="5"/>
        <v>69760.844748858435</v>
      </c>
      <c r="AH27" s="10"/>
      <c r="AI27" s="10"/>
      <c r="AJ27" s="10"/>
    </row>
    <row r="28" spans="1:36" x14ac:dyDescent="0.25">
      <c r="A28" s="49" t="s">
        <v>38</v>
      </c>
      <c r="B28" s="50" t="s">
        <v>289</v>
      </c>
      <c r="C28" s="48">
        <f>IFERROR((s_TR/(up_RadSpec!I28*s_EF_iw*s_ED_ind*s_IRS_iw*(1/1000)))*1,".")</f>
        <v>7.2727272727272728E-9</v>
      </c>
      <c r="D28" s="48">
        <f>IFERROR(IF(A28="H-3",(s_TR/(up_RadSpec!G28*s_EF_iw*s_ED_ind*(s_ET_iw_o+s_ET_iw_i)*(1/24)*s_IRA_iw*(1/17)*1000))*1,(s_TR/(up_RadSpec!G28*s_EF_iw*s_ED_ind*(s_ET_iw_o+s_ET_iw_i)*(1/24)*s_IRA_iw*(1/s_PEF_wind)*1000))*1),".")</f>
        <v>9.0250320889537196E-6</v>
      </c>
      <c r="E28" s="48">
        <f>IFERROR((s_TR/(up_RadSpec!F28*s_EF_iw*(1/365)*s_ED_ind*up_RadSpec!Q28*(s_ET_iw_o+s_ET_iw_i)*(1/24)*up_RadSpec!AA28))*1,".")</f>
        <v>6.5030510890383498E-6</v>
      </c>
      <c r="F28" s="48">
        <f t="shared" si="0"/>
        <v>7.2587599982687741E-9</v>
      </c>
      <c r="G28" s="69">
        <f t="shared" si="1"/>
        <v>1527762.5</v>
      </c>
      <c r="H28" s="69">
        <f t="shared" si="2"/>
        <v>1231.1313567072434</v>
      </c>
      <c r="I28" s="69">
        <f>s_C*s_EF_iw*(1/365)*s_ED_ind*(s_ET_iw_o+s_ET_iw_i)*(1/24)*up_RadSpec!AA28*up_RadSpec!Q28*1</f>
        <v>1708.5826095890409</v>
      </c>
      <c r="J28" s="4"/>
      <c r="K28" s="4"/>
      <c r="L28" s="4"/>
      <c r="M28" s="4"/>
      <c r="N28" s="48">
        <f>IFERROR((s_TR/(up_RadSpec!F28*s_EF_iw*(1/365)*s_ED_ind*up_RadSpec!Q28*(s_ET_iw_o+s_ET_iw_i)*(1/24)*up_RadSpec!AA28))*1,".")</f>
        <v>6.5030510890383498E-6</v>
      </c>
      <c r="O28" s="48">
        <f>IFERROR((s_TR/(up_RadSpec!M28*s_EF_iw*(1/365)*s_ED_ind*up_RadSpec!R28*(s_ET_iw_o+s_ET_iw_i)*(1/24)*up_RadSpec!AB28))*1,".")</f>
        <v>1.4500895348352979E-5</v>
      </c>
      <c r="P28" s="48">
        <f>IFERROR((s_TR/(up_RadSpec!N28*s_EF_iw*(1/365)*s_ED_ind*up_RadSpec!S28*(s_ET_iw_o+s_ET_iw_i)*(1/24)*up_RadSpec!AC28))*1,".")</f>
        <v>1.0067808297896789E-5</v>
      </c>
      <c r="Q28" s="48">
        <f>IFERROR((s_TR/(up_RadSpec!O28*s_EF_iw*(1/365)*s_ED_ind*up_RadSpec!T28*(s_ET_iw_o+s_ET_iw_i)*(1/24)*up_RadSpec!AD28))*1,".")</f>
        <v>8.7167367843424134E-6</v>
      </c>
      <c r="R28" s="48">
        <f>IFERROR((s_TR/(up_RadSpec!K28*s_EF_iw*(1/365)*s_ED_ind*up_RadSpec!P28*(s_ET_iw_o+s_ET_iw_i)*(1/24)*up_RadSpec!Z28))*1,".")</f>
        <v>2.5492063492063501E-5</v>
      </c>
      <c r="S28" s="69">
        <f>s_C*s_EF_iw*(1/365)*s_ED_ind*(s_ET_iw_o+s_ET_iw_i)*(1/24)*up_RadSpec!AA28*up_RadSpec!Q28*1</f>
        <v>1708.5826095890409</v>
      </c>
      <c r="T28" s="69">
        <f>s_C*s_EF_iw*(1/365)*s_ED_ind*(s_ET_iw_o+s_ET_iw_i)*(1/24)*up_RadSpec!AB28*up_RadSpec!R28*1</f>
        <v>766.22854886419088</v>
      </c>
      <c r="U28" s="69">
        <f>s_C*s_EF_iw*(1/365)*s_ED_ind*(s_ET_iw_o+s_ET_iw_i)*(1/24)*up_RadSpec!AC28*up_RadSpec!S28*1</f>
        <v>1103.6165639269411</v>
      </c>
      <c r="V28" s="69">
        <f>s_C*s_EF_iw*(1/365)*s_ED_ind*(s_ET_iw_o+s_ET_iw_i)*(1/24)*up_RadSpec!AD28*up_RadSpec!T28*1</f>
        <v>1274.674258830245</v>
      </c>
      <c r="W28" s="69">
        <f>s_C*s_EF_iw*(1/365)*s_ED_ind*(s_ET_iw_o+s_ET_iw_i)*(1/24)*up_RadSpec!Z28*up_RadSpec!P28*1</f>
        <v>435.86114570361116</v>
      </c>
      <c r="X28" s="11"/>
      <c r="Y28" s="11"/>
      <c r="Z28" s="11"/>
      <c r="AA28" s="11"/>
      <c r="AB28" s="11"/>
      <c r="AC28" s="48">
        <f>IFERROR(s_TR/(up_RadSpec!G28*s_EF_iw*s_ED_ind*(s_ET_iw_o+s_ET_iw_i)*(1/24)*s_IRA_iw),".")</f>
        <v>2.9090909090909089E-11</v>
      </c>
      <c r="AD28" s="48">
        <f>IFERROR(s_TR/(up_RadSpec!J28*s_EF_iw*(1/365)*s_ED_ind*(s_ET_iw_o+s_ET_iw_i)*(1/24)*s_GSF_a),".")</f>
        <v>1.5927272727272726E-7</v>
      </c>
      <c r="AE28" s="48">
        <f t="shared" si="6"/>
        <v>2.9085596653164224E-11</v>
      </c>
      <c r="AF28" s="69">
        <f t="shared" si="4"/>
        <v>381940625</v>
      </c>
      <c r="AG28" s="69">
        <f t="shared" si="5"/>
        <v>69760.844748858435</v>
      </c>
      <c r="AH28" s="10"/>
      <c r="AI28" s="10"/>
      <c r="AJ28" s="10"/>
    </row>
    <row r="29" spans="1:36" x14ac:dyDescent="0.25">
      <c r="A29" s="49" t="s">
        <v>39</v>
      </c>
      <c r="B29" s="50" t="s">
        <v>289</v>
      </c>
      <c r="C29" s="48">
        <f>IFERROR((s_TR/(up_RadSpec!I29*s_EF_iw*s_ED_ind*s_IRS_iw*(1/1000)))*1,".")</f>
        <v>7.2727272727272728E-9</v>
      </c>
      <c r="D29" s="48">
        <f>IFERROR(IF(A29="H-3",(s_TR/(up_RadSpec!G29*s_EF_iw*s_ED_ind*(s_ET_iw_o+s_ET_iw_i)*(1/24)*s_IRA_iw*(1/17)*1000))*1,(s_TR/(up_RadSpec!G29*s_EF_iw*s_ED_ind*(s_ET_iw_o+s_ET_iw_i)*(1/24)*s_IRA_iw*(1/s_PEF_wind)*1000))*1),".")</f>
        <v>9.0250320889537196E-6</v>
      </c>
      <c r="E29" s="48">
        <f>IFERROR((s_TR/(up_RadSpec!F29*s_EF_iw*(1/365)*s_ED_ind*up_RadSpec!Q29*(s_ET_iw_o+s_ET_iw_i)*(1/24)*up_RadSpec!AA29))*1,".")</f>
        <v>7.0715350223546978E-6</v>
      </c>
      <c r="F29" s="48">
        <f t="shared" si="0"/>
        <v>7.2594114034057395E-9</v>
      </c>
      <c r="G29" s="69">
        <f t="shared" si="1"/>
        <v>1527762.5</v>
      </c>
      <c r="H29" s="69">
        <f t="shared" si="2"/>
        <v>1231.1313567072434</v>
      </c>
      <c r="I29" s="69">
        <f>s_C*s_EF_iw*(1/365)*s_ED_ind*(s_ET_iw_o+s_ET_iw_i)*(1/24)*up_RadSpec!AA29*up_RadSpec!Q29*1</f>
        <v>1571.2288724973648</v>
      </c>
      <c r="J29" s="4"/>
      <c r="K29" s="4"/>
      <c r="L29" s="4"/>
      <c r="M29" s="4"/>
      <c r="N29" s="48">
        <f>IFERROR((s_TR/(up_RadSpec!F29*s_EF_iw*(1/365)*s_ED_ind*up_RadSpec!Q29*(s_ET_iw_o+s_ET_iw_i)*(1/24)*up_RadSpec!AA29))*1,".")</f>
        <v>7.0715350223546978E-6</v>
      </c>
      <c r="O29" s="48">
        <f>IFERROR((s_TR/(up_RadSpec!M29*s_EF_iw*(1/365)*s_ED_ind*up_RadSpec!R29*(s_ET_iw_o+s_ET_iw_i)*(1/24)*up_RadSpec!AB29))*1,".")</f>
        <v>1.4111004784688986E-5</v>
      </c>
      <c r="P29" s="48">
        <f>IFERROR((s_TR/(up_RadSpec!N29*s_EF_iw*(1/365)*s_ED_ind*up_RadSpec!S29*(s_ET_iw_o+s_ET_iw_i)*(1/24)*up_RadSpec!AC29))*1,".")</f>
        <v>1.0052619793999103E-5</v>
      </c>
      <c r="Q29" s="48">
        <f>IFERROR((s_TR/(up_RadSpec!O29*s_EF_iw*(1/365)*s_ED_ind*up_RadSpec!T29*(s_ET_iw_o+s_ET_iw_i)*(1/24)*up_RadSpec!AD29))*1,".")</f>
        <v>8.5272167832167776E-6</v>
      </c>
      <c r="R29" s="48">
        <f>IFERROR((s_TR/(up_RadSpec!K29*s_EF_iw*(1/365)*s_ED_ind*up_RadSpec!P29*(s_ET_iw_o+s_ET_iw_i)*(1/24)*up_RadSpec!Z29))*1,".")</f>
        <v>2.5338842975206613E-5</v>
      </c>
      <c r="S29" s="69">
        <f>s_C*s_EF_iw*(1/365)*s_ED_ind*(s_ET_iw_o+s_ET_iw_i)*(1/24)*up_RadSpec!AA29*up_RadSpec!Q29*1</f>
        <v>1571.2288724973648</v>
      </c>
      <c r="T29" s="69">
        <f>s_C*s_EF_iw*(1/365)*s_ED_ind*(s_ET_iw_o+s_ET_iw_i)*(1/24)*up_RadSpec!AB29*up_RadSpec!R29*1</f>
        <v>787.39963379899655</v>
      </c>
      <c r="U29" s="69">
        <f>s_C*s_EF_iw*(1/365)*s_ED_ind*(s_ET_iw_o+s_ET_iw_i)*(1/24)*up_RadSpec!AC29*up_RadSpec!S29*1</f>
        <v>1105.2840182648401</v>
      </c>
      <c r="V29" s="69">
        <f>s_C*s_EF_iw*(1/365)*s_ED_ind*(s_ET_iw_o+s_ET_iw_i)*(1/24)*up_RadSpec!AD29*up_RadSpec!T29*1</f>
        <v>1303.0042841022419</v>
      </c>
      <c r="W29" s="69">
        <f>s_C*s_EF_iw*(1/365)*s_ED_ind*(s_ET_iw_o+s_ET_iw_i)*(1/24)*up_RadSpec!Z29*up_RadSpec!P29*1</f>
        <v>438.49673842139583</v>
      </c>
      <c r="X29" s="11"/>
      <c r="Y29" s="11"/>
      <c r="Z29" s="11"/>
      <c r="AA29" s="11"/>
      <c r="AB29" s="11"/>
      <c r="AC29" s="48">
        <f>IFERROR(s_TR/(up_RadSpec!G29*s_EF_iw*s_ED_ind*(s_ET_iw_o+s_ET_iw_i)*(1/24)*s_IRA_iw),".")</f>
        <v>2.9090909090909089E-11</v>
      </c>
      <c r="AD29" s="48">
        <f>IFERROR(s_TR/(up_RadSpec!J29*s_EF_iw*(1/365)*s_ED_ind*(s_ET_iw_o+s_ET_iw_i)*(1/24)*s_GSF_a),".")</f>
        <v>1.5927272727272726E-7</v>
      </c>
      <c r="AE29" s="48">
        <f t="shared" si="6"/>
        <v>2.9085596653164224E-11</v>
      </c>
      <c r="AF29" s="69">
        <f t="shared" si="4"/>
        <v>381940625</v>
      </c>
      <c r="AG29" s="69">
        <f t="shared" si="5"/>
        <v>69760.844748858435</v>
      </c>
      <c r="AH29" s="10"/>
      <c r="AI29" s="10"/>
      <c r="AJ29" s="10"/>
    </row>
    <row r="30" spans="1:36" x14ac:dyDescent="0.25">
      <c r="A30" s="49" t="s">
        <v>40</v>
      </c>
      <c r="B30" s="50" t="s">
        <v>289</v>
      </c>
      <c r="C30" s="48">
        <f>IFERROR((s_TR/(up_RadSpec!I30*s_EF_iw*s_ED_ind*s_IRS_iw*(1/1000)))*1,".")</f>
        <v>7.2727272727272728E-9</v>
      </c>
      <c r="D30" s="48">
        <f>IFERROR(IF(A30="H-3",(s_TR/(up_RadSpec!G30*s_EF_iw*s_ED_ind*(s_ET_iw_o+s_ET_iw_i)*(1/24)*s_IRA_iw*(1/17)*1000))*1,(s_TR/(up_RadSpec!G30*s_EF_iw*s_ED_ind*(s_ET_iw_o+s_ET_iw_i)*(1/24)*s_IRA_iw*(1/s_PEF_wind)*1000))*1),".")</f>
        <v>9.0250320889537196E-6</v>
      </c>
      <c r="E30" s="48">
        <f>IFERROR((s_TR/(up_RadSpec!F30*s_EF_iw*(1/365)*s_ED_ind*up_RadSpec!Q30*(s_ET_iw_o+s_ET_iw_i)*(1/24)*up_RadSpec!AA30))*1,".")</f>
        <v>6.6363636363636348E-5</v>
      </c>
      <c r="F30" s="48">
        <f t="shared" si="0"/>
        <v>7.2660756997090256E-9</v>
      </c>
      <c r="G30" s="69">
        <f t="shared" si="1"/>
        <v>1527762.5</v>
      </c>
      <c r="H30" s="69">
        <f t="shared" si="2"/>
        <v>1231.1313567072434</v>
      </c>
      <c r="I30" s="69">
        <f>s_C*s_EF_iw*(1/365)*s_ED_ind*(s_ET_iw_o+s_ET_iw_i)*(1/24)*up_RadSpec!AA30*up_RadSpec!Q30*1</f>
        <v>167.42602739726027</v>
      </c>
      <c r="J30" s="4"/>
      <c r="K30" s="4"/>
      <c r="L30" s="4"/>
      <c r="M30" s="4"/>
      <c r="N30" s="48">
        <f>IFERROR((s_TR/(up_RadSpec!F30*s_EF_iw*(1/365)*s_ED_ind*up_RadSpec!Q30*(s_ET_iw_o+s_ET_iw_i)*(1/24)*up_RadSpec!AA30))*1,".")</f>
        <v>6.6363636363636348E-5</v>
      </c>
      <c r="O30" s="48">
        <f>IFERROR((s_TR/(up_RadSpec!M30*s_EF_iw*(1/365)*s_ED_ind*up_RadSpec!R30*(s_ET_iw_o+s_ET_iw_i)*(1/24)*up_RadSpec!AB30))*1,".")</f>
        <v>3.2511340206185563E-4</v>
      </c>
      <c r="P30" s="48">
        <f>IFERROR((s_TR/(up_RadSpec!N30*s_EF_iw*(1/365)*s_ED_ind*up_RadSpec!S30*(s_ET_iw_o+s_ET_iw_i)*(1/24)*up_RadSpec!AC30))*1,".")</f>
        <v>1.1715982880755603E-4</v>
      </c>
      <c r="Q30" s="48">
        <f>IFERROR((s_TR/(up_RadSpec!O30*s_EF_iw*(1/365)*s_ED_ind*up_RadSpec!T30*(s_ET_iw_o+s_ET_iw_i)*(1/24)*up_RadSpec!AD30))*1,".")</f>
        <v>8.7207902454082458E-5</v>
      </c>
      <c r="R30" s="48">
        <f>IFERROR((s_TR/(up_RadSpec!K30*s_EF_iw*(1/365)*s_ED_ind*up_RadSpec!P30*(s_ET_iw_o+s_ET_iw_i)*(1/24)*up_RadSpec!Z30))*1,".")</f>
        <v>7.963636363636362E-3</v>
      </c>
      <c r="S30" s="69">
        <f>s_C*s_EF_iw*(1/365)*s_ED_ind*(s_ET_iw_o+s_ET_iw_i)*(1/24)*up_RadSpec!AA30*up_RadSpec!Q30*1</f>
        <v>167.42602739726027</v>
      </c>
      <c r="T30" s="69">
        <f>s_C*s_EF_iw*(1/365)*s_ED_ind*(s_ET_iw_o+s_ET_iw_i)*(1/24)*up_RadSpec!AB30*up_RadSpec!R30*1</f>
        <v>34.175767376966007</v>
      </c>
      <c r="U30" s="69">
        <f>s_C*s_EF_iw*(1/365)*s_ED_ind*(s_ET_iw_o+s_ET_iw_i)*(1/24)*up_RadSpec!AC30*up_RadSpec!S30*1</f>
        <v>94.83626011651711</v>
      </c>
      <c r="V30" s="69">
        <f>s_C*s_EF_iw*(1/365)*s_ED_ind*(s_ET_iw_o+s_ET_iw_i)*(1/24)*up_RadSpec!AD30*up_RadSpec!T30*1</f>
        <v>127.40817847155847</v>
      </c>
      <c r="W30" s="69">
        <f>s_C*s_EF_iw*(1/365)*s_ED_ind*(s_ET_iw_o+s_ET_iw_i)*(1/24)*up_RadSpec!Z30*up_RadSpec!P30*1</f>
        <v>1.3952168949771688</v>
      </c>
      <c r="X30" s="11"/>
      <c r="Y30" s="11"/>
      <c r="Z30" s="11"/>
      <c r="AA30" s="11"/>
      <c r="AB30" s="11"/>
      <c r="AC30" s="48">
        <f>IFERROR(s_TR/(up_RadSpec!G30*s_EF_iw*s_ED_ind*(s_ET_iw_o+s_ET_iw_i)*(1/24)*s_IRA_iw),".")</f>
        <v>2.9090909090909089E-11</v>
      </c>
      <c r="AD30" s="48">
        <f>IFERROR(s_TR/(up_RadSpec!J30*s_EF_iw*(1/365)*s_ED_ind*(s_ET_iw_o+s_ET_iw_i)*(1/24)*s_GSF_a),".")</f>
        <v>1.5927272727272726E-7</v>
      </c>
      <c r="AE30" s="48">
        <f t="shared" si="6"/>
        <v>2.9085596653164224E-11</v>
      </c>
      <c r="AF30" s="69">
        <f t="shared" si="4"/>
        <v>381940625</v>
      </c>
      <c r="AG30" s="69">
        <f t="shared" si="5"/>
        <v>69760.844748858435</v>
      </c>
      <c r="AH30" s="10"/>
      <c r="AI30" s="10"/>
      <c r="AJ30" s="10"/>
    </row>
    <row r="31" spans="1:36" x14ac:dyDescent="0.25">
      <c r="A31" s="52" t="s">
        <v>13</v>
      </c>
      <c r="B31" s="52" t="s">
        <v>289</v>
      </c>
      <c r="C31" s="53">
        <f>1/SUM(1/C32,1/C33,1/C34,1/C35,1/C36,1/C37,1/C38,1/C41,1/C44)</f>
        <v>8.0810235747700742E-10</v>
      </c>
      <c r="D31" s="53">
        <f>1/SUM(1/D32,1/D33,1/D34,1/D35,1/D36,1/D37,1/D38,1/D41,1/D44)</f>
        <v>1.0028080847660071E-6</v>
      </c>
      <c r="E31" s="53">
        <f>1/SUM(1/E32,1/E33,1/E34,1/E35,1/E36,1/E37,1/E38,1/E39,1/E40,1/E41,1/E42,1/E43)</f>
        <v>2.6983190003337894E-6</v>
      </c>
      <c r="F31" s="54">
        <f>1/SUM(1/F32,1/F33,1/F34,1/F35,1/F36,1/F37,1/F38,1/F39,1/F40,1/F41,1/F42,1/F43,1/F44)</f>
        <v>6.0545489563498261E-10</v>
      </c>
      <c r="G31" s="71"/>
      <c r="H31" s="71"/>
      <c r="I31" s="71"/>
      <c r="J31" s="72">
        <f>IFERROR(IF(SUM(G32:G44)&gt;0.01,1-EXP(-SUM(G32:G44)),SUM(G32:G44)),".")</f>
        <v>1</v>
      </c>
      <c r="K31" s="72">
        <f>IFERROR(IF(SUM(H32:H44)&gt;0.01,1-EXP(-SUM(H32:H44)),SUM(H32:H44)),".")</f>
        <v>1</v>
      </c>
      <c r="L31" s="72">
        <f>IFERROR(IF(SUM(I32:I44)&gt;0.01,1-EXP(-SUM(I32:I44)),SUM(I32:I44)),".")</f>
        <v>1</v>
      </c>
      <c r="M31" s="72">
        <f>IFERROR(IF(SUM(G32:I44)&gt;0.01,1-EXP(-SUM(G32:I44)),SUM(G32:I44)),".")</f>
        <v>1</v>
      </c>
      <c r="N31" s="53">
        <f t="shared" ref="N31:R31" si="7">1/SUM(1/N32,1/N33,1/N34,1/N35,1/N36,1/N37,1/N38,1/N39,1/N40,1/N41,1/N42,1/N43)</f>
        <v>2.6983190003337894E-6</v>
      </c>
      <c r="O31" s="53">
        <f t="shared" si="7"/>
        <v>4.9866033517483627E-6</v>
      </c>
      <c r="P31" s="53">
        <f t="shared" si="7"/>
        <v>3.523295322481008E-6</v>
      </c>
      <c r="Q31" s="53">
        <f t="shared" si="7"/>
        <v>3.0607502858774651E-6</v>
      </c>
      <c r="R31" s="53">
        <f t="shared" si="7"/>
        <v>1.0534631925140106E-5</v>
      </c>
      <c r="S31" s="71"/>
      <c r="T31" s="63"/>
      <c r="U31" s="63"/>
      <c r="V31" s="63"/>
      <c r="W31" s="63"/>
      <c r="X31" s="72">
        <f>IFERROR(IF(SUM(S32:S44)&gt;0.01,1-EXP(-SUM(S32:S44)),SUM(S32:S44)),".")</f>
        <v>1</v>
      </c>
      <c r="Y31" s="72">
        <f t="shared" ref="Y31:AB31" si="8">IFERROR(IF(SUM(T32:T44)&gt;0.01,1-EXP(-SUM(T32:T44)),SUM(T32:T44)),".")</f>
        <v>1</v>
      </c>
      <c r="Z31" s="72">
        <f t="shared" si="8"/>
        <v>1</v>
      </c>
      <c r="AA31" s="72">
        <f t="shared" si="8"/>
        <v>1</v>
      </c>
      <c r="AB31" s="72">
        <f t="shared" si="8"/>
        <v>1</v>
      </c>
      <c r="AC31" s="53">
        <f>1/SUM(1/AC32,1/AC33,1/AC34,1/AC35,1/AC36,1/AC37,1/AC38,1/AC41,1/AC44)</f>
        <v>3.2324094299080297E-12</v>
      </c>
      <c r="AD31" s="53">
        <f t="shared" ref="AD31:AE31" si="9">1/SUM(1/AD32,1/AD33,1/AD34,1/AD35,1/AD36,1/AD37,1/AD38,1/AD39,1/AD40,1/AD41,1/AD42,1/AD43,1/AD44)</f>
        <v>1.327312546649127E-8</v>
      </c>
      <c r="AE31" s="54">
        <f t="shared" si="9"/>
        <v>2.4238724372701367E-12</v>
      </c>
      <c r="AF31" s="71"/>
      <c r="AG31" s="71"/>
      <c r="AH31" s="72">
        <f>IFERROR(IF(SUM(AF32:AF44)&gt;0.01,1-EXP(-SUM(AF32:AF44)),SUM(AF32:AF44)),".")</f>
        <v>1</v>
      </c>
      <c r="AI31" s="72">
        <f>IFERROR(IF(SUM(AG32:AG44)&gt;0.01,1-EXP(-SUM(AG32:AG44)),SUM(AG32:AG44)),".")</f>
        <v>1</v>
      </c>
      <c r="AJ31" s="72">
        <f>IFERROR(IF(SUM(AF32:AG44)&gt;0.01,1-EXP(-SUM(AF32:AG44)),SUM(AF32:AG44)),".")</f>
        <v>1</v>
      </c>
    </row>
    <row r="32" spans="1:36" x14ac:dyDescent="0.25">
      <c r="A32" s="55" t="s">
        <v>290</v>
      </c>
      <c r="B32" s="50">
        <v>1</v>
      </c>
      <c r="C32" s="56">
        <f>IFERROR(C3/$B32,0)</f>
        <v>7.2727272727272728E-9</v>
      </c>
      <c r="D32" s="56">
        <f>IFERROR(D3/$B32,0)</f>
        <v>9.0250320889537196E-6</v>
      </c>
      <c r="E32" s="56">
        <f>IFERROR(E3/$B32,0)</f>
        <v>5.5461038961038987E-3</v>
      </c>
      <c r="F32" s="56">
        <f>IF(AND(C32&lt;&gt;0,D32&lt;&gt;0,E32&lt;&gt;0),1/((1/C32)+(1/D32)+(1/E32)),IF(AND(C32&lt;&gt;0,D32&lt;&gt;0,E32=0), 1/((1/C32)+(1/D32)),IF(AND(C32&lt;&gt;0,D32=0,E32&lt;&gt;0),1/((1/C32)+(1/E32)),IF(AND(C32=0,D32&lt;&gt;0,E32&lt;&gt;0),1/((1/D32)+(1/E32)),IF(AND(C32&lt;&gt;0,D32=0,E32=0),1/((1/C32)),IF(AND(C32=0,D32&lt;&gt;0,E32=0),1/((1/D32)),IF(AND(C32=0,D32=0,E32&lt;&gt;0),1/((1/E32)),IF(AND(C32=0,D32=0,E32=0),0))))))))</f>
        <v>7.2668618192965252E-9</v>
      </c>
      <c r="G32" s="64">
        <f>IFERROR(up_RadSpec!$I$3*G3,".")*$B$32</f>
        <v>7638812.5</v>
      </c>
      <c r="H32" s="64">
        <f>IFERROR(up_RadSpec!$G$3*H3,".")*$B$32</f>
        <v>6155.6567835362166</v>
      </c>
      <c r="I32" s="64">
        <f>IFERROR(up_RadSpec!$F$3*I3,".")*$B$32</f>
        <v>10.01694181009249</v>
      </c>
      <c r="J32" s="73">
        <f t="shared" ref="J32:L44" si="10">IFERROR(IF(G32&gt;0.01,1-EXP(-G32),G32),".")</f>
        <v>1</v>
      </c>
      <c r="K32" s="73">
        <f t="shared" si="10"/>
        <v>1</v>
      </c>
      <c r="L32" s="73">
        <f t="shared" si="10"/>
        <v>0.99995536274840913</v>
      </c>
      <c r="M32" s="73">
        <f>IFERROR(IF(SUM(G32:I32)&gt;0.01,1-EXP(-SUM(G32:I32)),SUM(G32:I32)),".")</f>
        <v>1</v>
      </c>
      <c r="N32" s="56">
        <f t="shared" ref="N32:AD32" si="11">IFERROR(N3/$B32,0)</f>
        <v>5.5461038961038987E-3</v>
      </c>
      <c r="O32" s="56">
        <f t="shared" si="11"/>
        <v>7.7765437830810682E-3</v>
      </c>
      <c r="P32" s="56">
        <f t="shared" si="11"/>
        <v>5.8957307885484688E-3</v>
      </c>
      <c r="Q32" s="56">
        <f t="shared" si="11"/>
        <v>6.0774208842005427E-3</v>
      </c>
      <c r="R32" s="56">
        <f t="shared" si="11"/>
        <v>1.2057046357486605E-2</v>
      </c>
      <c r="S32" s="64">
        <f>IFERROR(up_RadSpec!$F$3*S3,".")*$B$32</f>
        <v>10.01694181009249</v>
      </c>
      <c r="T32" s="64">
        <f>IFERROR(up_RadSpec!$M$3*T3,".")*$B$32</f>
        <v>7.1439191432146849</v>
      </c>
      <c r="U32" s="64">
        <f>IFERROR(up_RadSpec!$N$3*U3,".")*$B$32</f>
        <v>9.4229200742861021</v>
      </c>
      <c r="V32" s="64">
        <f>IFERROR(up_RadSpec!$O$3*V3,".")*$B$32</f>
        <v>9.1412131985833334</v>
      </c>
      <c r="W32" s="64">
        <f>IFERROR(up_RadSpec!$K$3*W3,".")*$B$32</f>
        <v>4.6076790577738889</v>
      </c>
      <c r="X32" s="73">
        <f>IFERROR(IF(S32&gt;0.01,1-EXP(-S32),S32),".")</f>
        <v>0.99995536274840913</v>
      </c>
      <c r="Y32" s="73">
        <f t="shared" ref="Y32:AB44" si="12">IFERROR(IF(T32&gt;0.01,1-EXP(-T32),T32),".")</f>
        <v>0.99921034873226844</v>
      </c>
      <c r="Z32" s="73">
        <f t="shared" si="12"/>
        <v>0.99991915041252355</v>
      </c>
      <c r="AA32" s="73">
        <f t="shared" si="12"/>
        <v>0.99989284275240087</v>
      </c>
      <c r="AB32" s="73">
        <f t="shared" si="12"/>
        <v>0.99002505727197321</v>
      </c>
      <c r="AC32" s="56">
        <f t="shared" si="11"/>
        <v>2.9090909090909089E-11</v>
      </c>
      <c r="AD32" s="56">
        <f t="shared" si="11"/>
        <v>1.5927272727272726E-7</v>
      </c>
      <c r="AE32" s="56">
        <f>IFERROR(IF(AND(AC32&lt;&gt;0,AD32&lt;&gt;0),1/((1/AC32)+(1/AD32)),IF(AND(AC32&lt;&gt;0,AD32=0),1/((1/AC32)),IF(AND(AC32=0,AD32&lt;&gt;0),1/((1/AD32)),IF(AND(AC32=0,AD32=0),0)))),0)</f>
        <v>2.9085596653164224E-11</v>
      </c>
      <c r="AF32" s="64">
        <f>IFERROR(up_RadSpec!$G$3*AF3,".")*$B$32</f>
        <v>1909703125</v>
      </c>
      <c r="AG32" s="64">
        <f>IFERROR(up_RadSpec!$J$3*AG3,".")*$B$32</f>
        <v>348804.22374429216</v>
      </c>
      <c r="AH32" s="73">
        <f>IFERROR(IF(AF32&gt;0.01,1-EXP(-AF32),AF32),".")</f>
        <v>1</v>
      </c>
      <c r="AI32" s="73">
        <f>IFERROR(IF(AG32&gt;0.01,1-EXP(-AG32),AG32),".")</f>
        <v>1</v>
      </c>
      <c r="AJ32" s="73">
        <f>IFERROR(IF(SUM(AF32:AG32)&gt;0.01,1-EXP(-SUM(AF32:AG32)),SUM(AF32:AG32)),".")</f>
        <v>1</v>
      </c>
    </row>
    <row r="33" spans="1:36" x14ac:dyDescent="0.25">
      <c r="A33" s="55" t="s">
        <v>291</v>
      </c>
      <c r="B33" s="50">
        <v>1</v>
      </c>
      <c r="C33" s="56">
        <f t="shared" ref="C33:E34" si="13">IFERROR(C13/$B33,0)</f>
        <v>7.2727272727272728E-9</v>
      </c>
      <c r="D33" s="56">
        <f t="shared" si="13"/>
        <v>9.0250320889537196E-6</v>
      </c>
      <c r="E33" s="56">
        <f t="shared" si="13"/>
        <v>1.369765451121384E-4</v>
      </c>
      <c r="F33" s="56">
        <f>IF(AND(C33&lt;&gt;0,D33&lt;&gt;0,E33&lt;&gt;0),1/((1/C33)+(1/D33)+(1/E33)),IF(AND(C33&lt;&gt;0,D33&lt;&gt;0,E33=0), 1/((1/C33)+(1/D33)),IF(AND(C33&lt;&gt;0,D33=0,E33&lt;&gt;0),1/((1/C33)+(1/E33)),IF(AND(C33=0,D33&lt;&gt;0,E33&lt;&gt;0),1/((1/D33)+(1/E33)),IF(AND(C33&lt;&gt;0,D33=0,E33=0),1/((1/C33)),IF(AND(C33=0,D33&lt;&gt;0,E33=0),1/((1/D33)),IF(AND(C33=0,D33=0,E33&lt;&gt;0),1/((1/E33)),IF(AND(C33=0,D33=0,E33=0),0))))))))</f>
        <v>7.266485839653618E-9</v>
      </c>
      <c r="G33" s="64">
        <f>IFERROR(up_RadSpec!$I$13*G13,".")*$B$33</f>
        <v>7638812.5</v>
      </c>
      <c r="H33" s="64">
        <f>IFERROR(up_RadSpec!$G$13*H13,".")*$B$33</f>
        <v>6155.6567835362166</v>
      </c>
      <c r="I33" s="64">
        <f>IFERROR(up_RadSpec!$F$13*I13,".")*$B$33</f>
        <v>405.58038571142851</v>
      </c>
      <c r="J33" s="73">
        <f t="shared" si="10"/>
        <v>1</v>
      </c>
      <c r="K33" s="73">
        <f t="shared" si="10"/>
        <v>1</v>
      </c>
      <c r="L33" s="73">
        <f t="shared" si="10"/>
        <v>1</v>
      </c>
      <c r="M33" s="73">
        <f t="shared" ref="M33:M44" si="14">IFERROR(IF(SUM(G33:I33)&gt;0.01,1-EXP(-SUM(G33:I33)),SUM(G33:I33)),".")</f>
        <v>1</v>
      </c>
      <c r="N33" s="56">
        <f t="shared" ref="N33:AD34" si="15">IFERROR(N13/$B33,0)</f>
        <v>1.369765451121384E-4</v>
      </c>
      <c r="O33" s="56">
        <f t="shared" si="15"/>
        <v>2.9871580933033448E-4</v>
      </c>
      <c r="P33" s="56">
        <f t="shared" si="15"/>
        <v>1.7746494798733599E-4</v>
      </c>
      <c r="Q33" s="56">
        <f t="shared" si="15"/>
        <v>1.4650070542124522E-4</v>
      </c>
      <c r="R33" s="56">
        <f t="shared" si="15"/>
        <v>2.8737824675324664E-3</v>
      </c>
      <c r="S33" s="64">
        <f>IFERROR(up_RadSpec!$F$13*S13,".")*$B$33</f>
        <v>405.58038571142851</v>
      </c>
      <c r="T33" s="64">
        <f>IFERROR(up_RadSpec!$M$13*T13,".")*$B$33</f>
        <v>185.97944355387153</v>
      </c>
      <c r="U33" s="64">
        <f>IFERROR(up_RadSpec!$N$13*U13,".")*$B$33</f>
        <v>313.04773494743557</v>
      </c>
      <c r="V33" s="64">
        <f>IFERROR(up_RadSpec!$O$13*V13,".")*$B$33</f>
        <v>379.2131910918672</v>
      </c>
      <c r="W33" s="64">
        <f>IFERROR(up_RadSpec!$K$13*W13,".")*$B$33</f>
        <v>19.33166501906511</v>
      </c>
      <c r="X33" s="73">
        <f t="shared" ref="X33:X44" si="16">IFERROR(IF(S33&gt;0.01,1-EXP(-S33),S33),".")</f>
        <v>1</v>
      </c>
      <c r="Y33" s="73">
        <f t="shared" si="12"/>
        <v>1</v>
      </c>
      <c r="Z33" s="73">
        <f t="shared" si="12"/>
        <v>1</v>
      </c>
      <c r="AA33" s="73">
        <f t="shared" si="12"/>
        <v>1</v>
      </c>
      <c r="AB33" s="73">
        <f t="shared" si="12"/>
        <v>0.9999999959787178</v>
      </c>
      <c r="AC33" s="56">
        <f t="shared" si="15"/>
        <v>2.9090909090909089E-11</v>
      </c>
      <c r="AD33" s="56">
        <f t="shared" si="15"/>
        <v>1.5927272727272726E-7</v>
      </c>
      <c r="AE33" s="56">
        <f t="shared" ref="AE33:AE44" si="17">IFERROR(IF(AND(AC33&lt;&gt;0,AD33&lt;&gt;0),1/((1/AC33)+(1/AD33)),IF(AND(AC33&lt;&gt;0,AD33=0),1/((1/AC33)),IF(AND(AC33=0,AD33&lt;&gt;0),1/((1/AD33)),IF(AND(AC33=0,AD33=0),0)))),0)</f>
        <v>2.9085596653164224E-11</v>
      </c>
      <c r="AF33" s="64">
        <f>IFERROR(up_RadSpec!$G$13*AF13,".")*$B$33</f>
        <v>1909703125</v>
      </c>
      <c r="AG33" s="64">
        <f>IFERROR(up_RadSpec!$J$13*AG13,".")*$B$33</f>
        <v>348804.22374429216</v>
      </c>
      <c r="AH33" s="73">
        <f t="shared" ref="AH33:AI44" si="18">IFERROR(IF(AF33&gt;0.01,1-EXP(-AF33),AF33),".")</f>
        <v>1</v>
      </c>
      <c r="AI33" s="73">
        <f t="shared" si="18"/>
        <v>1</v>
      </c>
      <c r="AJ33" s="73">
        <f t="shared" ref="AJ33:AJ44" si="19">IFERROR(IF(SUM(AF33:AG33)&gt;0.01,1-EXP(-SUM(AF33:AG33)),SUM(AF33:AG33)),".")</f>
        <v>1</v>
      </c>
    </row>
    <row r="34" spans="1:36" x14ac:dyDescent="0.25">
      <c r="A34" s="55" t="s">
        <v>292</v>
      </c>
      <c r="B34" s="50">
        <v>1</v>
      </c>
      <c r="C34" s="56">
        <f t="shared" si="13"/>
        <v>7.2727272727272728E-9</v>
      </c>
      <c r="D34" s="56">
        <f t="shared" si="13"/>
        <v>9.0250320889537196E-6</v>
      </c>
      <c r="E34" s="56">
        <f t="shared" si="13"/>
        <v>2.0562544858686662E-5</v>
      </c>
      <c r="F34" s="56">
        <f>IF(AND(C34&lt;&gt;0,D34&lt;&gt;0,E34&lt;&gt;0),1/((1/C34)+(1/D34)+(1/E34)),IF(AND(C34&lt;&gt;0,D34&lt;&gt;0,E34=0), 1/((1/C34)+(1/D34)),IF(AND(C34&lt;&gt;0,D34=0,E34&lt;&gt;0),1/((1/C34)+(1/E34)),IF(AND(C34=0,D34&lt;&gt;0,E34&lt;&gt;0),1/((1/D34)+(1/E34)),IF(AND(C34&lt;&gt;0,D34=0,E34=0),1/((1/C34)),IF(AND(C34=0,D34&lt;&gt;0,E34=0),1/((1/D34)),IF(AND(C34=0,D34=0,E34&lt;&gt;0),1/((1/E34)),IF(AND(C34=0,D34=0,E34=0),0))))))))</f>
        <v>7.2643041117267641E-9</v>
      </c>
      <c r="G34" s="64">
        <f>IFERROR(up_RadSpec!$I$14*G14,".")*$B$34</f>
        <v>7638812.5</v>
      </c>
      <c r="H34" s="64">
        <f>IFERROR(up_RadSpec!$G$14*H14,".")*$B$33</f>
        <v>6155.6567835362166</v>
      </c>
      <c r="I34" s="64">
        <f>IFERROR(up_RadSpec!$F$14*I14,".")*$B$33</f>
        <v>2701.7570238408866</v>
      </c>
      <c r="J34" s="73">
        <f t="shared" si="10"/>
        <v>1</v>
      </c>
      <c r="K34" s="73">
        <f t="shared" si="10"/>
        <v>1</v>
      </c>
      <c r="L34" s="73">
        <f t="shared" si="10"/>
        <v>1</v>
      </c>
      <c r="M34" s="73">
        <f t="shared" si="14"/>
        <v>1</v>
      </c>
      <c r="N34" s="56">
        <f t="shared" si="15"/>
        <v>2.0562544858686662E-5</v>
      </c>
      <c r="O34" s="56">
        <f t="shared" si="15"/>
        <v>3.7343707965151196E-5</v>
      </c>
      <c r="P34" s="56">
        <f t="shared" si="15"/>
        <v>2.7609833639378424E-5</v>
      </c>
      <c r="Q34" s="56">
        <f t="shared" si="15"/>
        <v>2.4194403690806568E-5</v>
      </c>
      <c r="R34" s="56">
        <f t="shared" si="15"/>
        <v>1.0419900221729493E-4</v>
      </c>
      <c r="S34" s="64">
        <f>IFERROR(up_RadSpec!$F$14*S14,".")*$B$33</f>
        <v>2701.7570238408866</v>
      </c>
      <c r="T34" s="64">
        <f>IFERROR(up_RadSpec!$M$14*T14,".")*$B$33</f>
        <v>1487.6669465132763</v>
      </c>
      <c r="U34" s="64">
        <f>IFERROR(up_RadSpec!$N$14*U14,".")*$B$33</f>
        <v>2012.1454089735939</v>
      </c>
      <c r="V34" s="64">
        <f>IFERROR(up_RadSpec!$O$14*V14,".")*$B$33</f>
        <v>2296.1921570776253</v>
      </c>
      <c r="W34" s="64">
        <f>IFERROR(up_RadSpec!$K$14*W14,".")*$B$33</f>
        <v>533.16249501263451</v>
      </c>
      <c r="X34" s="73">
        <f t="shared" si="16"/>
        <v>1</v>
      </c>
      <c r="Y34" s="73">
        <f t="shared" si="12"/>
        <v>1</v>
      </c>
      <c r="Z34" s="73">
        <f t="shared" si="12"/>
        <v>1</v>
      </c>
      <c r="AA34" s="73">
        <f t="shared" si="12"/>
        <v>1</v>
      </c>
      <c r="AB34" s="73">
        <f t="shared" si="12"/>
        <v>1</v>
      </c>
      <c r="AC34" s="56">
        <f t="shared" si="15"/>
        <v>2.9090909090909089E-11</v>
      </c>
      <c r="AD34" s="56">
        <f t="shared" si="15"/>
        <v>1.5927272727272726E-7</v>
      </c>
      <c r="AE34" s="56">
        <f t="shared" si="17"/>
        <v>2.9085596653164224E-11</v>
      </c>
      <c r="AF34" s="64">
        <f>IFERROR(up_RadSpec!$G$14*AF14,".")*$B$33</f>
        <v>1909703125</v>
      </c>
      <c r="AG34" s="64">
        <f>IFERROR(up_RadSpec!$J$14*AG14,".")*$B$33</f>
        <v>348804.22374429216</v>
      </c>
      <c r="AH34" s="73">
        <f t="shared" si="18"/>
        <v>1</v>
      </c>
      <c r="AI34" s="73">
        <f t="shared" si="18"/>
        <v>1</v>
      </c>
      <c r="AJ34" s="73">
        <f t="shared" si="19"/>
        <v>1</v>
      </c>
    </row>
    <row r="35" spans="1:36" x14ac:dyDescent="0.25">
      <c r="A35" s="55" t="s">
        <v>293</v>
      </c>
      <c r="B35" s="50">
        <v>1</v>
      </c>
      <c r="C35" s="56">
        <f>IFERROR(C30/$B35,0)</f>
        <v>7.2727272727272728E-9</v>
      </c>
      <c r="D35" s="56">
        <f>IFERROR(D30/$B35,0)</f>
        <v>9.0250320889537196E-6</v>
      </c>
      <c r="E35" s="56">
        <f>IFERROR(E30/$B35,0)</f>
        <v>6.6363636363636348E-5</v>
      </c>
      <c r="F35" s="56">
        <f t="shared" ref="F35:F61" si="20">IF(AND(C35&lt;&gt;0,D35&lt;&gt;0,E35&lt;&gt;0),1/((1/C35)+(1/D35)+(1/E35)),IF(AND(C35&lt;&gt;0,D35&lt;&gt;0,E35=0), 1/((1/C35)+(1/D35)),IF(AND(C35&lt;&gt;0,D35=0,E35&lt;&gt;0),1/((1/C35)+(1/E35)),IF(AND(C35=0,D35&lt;&gt;0,E35&lt;&gt;0),1/((1/D35)+(1/E35)),IF(AND(C35&lt;&gt;0,D35=0,E35=0),1/((1/C35)),IF(AND(C35=0,D35&lt;&gt;0,E35=0),1/((1/D35)),IF(AND(C35=0,D35=0,E35&lt;&gt;0),1/((1/E35)),IF(AND(C35=0,D35=0,E35=0),0))))))))</f>
        <v>7.2660756997090256E-9</v>
      </c>
      <c r="G35" s="64">
        <f>IFERROR(up_RadSpec!$I$30*G30,".")*$B$35</f>
        <v>7638812.5</v>
      </c>
      <c r="H35" s="64">
        <f>IFERROR(up_RadSpec!$G$30*H30,".")*$B$35</f>
        <v>6155.6567835362166</v>
      </c>
      <c r="I35" s="64">
        <f>IFERROR(up_RadSpec!$F$30*I30,".")*$B$35</f>
        <v>837.1301369863013</v>
      </c>
      <c r="J35" s="73">
        <f t="shared" si="10"/>
        <v>1</v>
      </c>
      <c r="K35" s="73">
        <f t="shared" si="10"/>
        <v>1</v>
      </c>
      <c r="L35" s="73">
        <f t="shared" si="10"/>
        <v>1</v>
      </c>
      <c r="M35" s="73">
        <f t="shared" si="14"/>
        <v>1</v>
      </c>
      <c r="N35" s="56">
        <f t="shared" ref="N35:AD35" si="21">IFERROR(N30/$B35,0)</f>
        <v>6.6363636363636348E-5</v>
      </c>
      <c r="O35" s="56">
        <f t="shared" si="21"/>
        <v>3.2511340206185563E-4</v>
      </c>
      <c r="P35" s="56">
        <f t="shared" si="21"/>
        <v>1.1715982880755603E-4</v>
      </c>
      <c r="Q35" s="56">
        <f t="shared" si="21"/>
        <v>8.7207902454082458E-5</v>
      </c>
      <c r="R35" s="56">
        <f t="shared" si="21"/>
        <v>7.963636363636362E-3</v>
      </c>
      <c r="S35" s="64">
        <f>IFERROR(up_RadSpec!$F$30*S30,".")*$B$35</f>
        <v>837.1301369863013</v>
      </c>
      <c r="T35" s="64">
        <f>IFERROR(up_RadSpec!$M$30*T30,".")*$B$35</f>
        <v>170.87883688483004</v>
      </c>
      <c r="U35" s="64">
        <f>IFERROR(up_RadSpec!$N$30*U30,".")*$B$35</f>
        <v>474.18130058258555</v>
      </c>
      <c r="V35" s="64">
        <f>IFERROR(up_RadSpec!$O$30*V30,".")*$B$35</f>
        <v>637.04089235779236</v>
      </c>
      <c r="W35" s="64">
        <f>IFERROR(up_RadSpec!$K$30*W30,".")*$B$35</f>
        <v>6.9760844748858446</v>
      </c>
      <c r="X35" s="73">
        <f t="shared" si="16"/>
        <v>1</v>
      </c>
      <c r="Y35" s="73">
        <f t="shared" si="12"/>
        <v>1</v>
      </c>
      <c r="Z35" s="73">
        <f t="shared" si="12"/>
        <v>1</v>
      </c>
      <c r="AA35" s="73">
        <f t="shared" si="12"/>
        <v>1</v>
      </c>
      <c r="AB35" s="73">
        <f t="shared" si="12"/>
        <v>0.99906604703052637</v>
      </c>
      <c r="AC35" s="56">
        <f t="shared" si="21"/>
        <v>2.9090909090909089E-11</v>
      </c>
      <c r="AD35" s="56">
        <f t="shared" si="21"/>
        <v>1.5927272727272726E-7</v>
      </c>
      <c r="AE35" s="56">
        <f t="shared" si="17"/>
        <v>2.9085596653164224E-11</v>
      </c>
      <c r="AF35" s="64">
        <f>IFERROR(up_RadSpec!$G$30*AF30,".")*$B$35</f>
        <v>1909703125</v>
      </c>
      <c r="AG35" s="64">
        <f>IFERROR(up_RadSpec!$J$30*AG30,".")*$B$35</f>
        <v>348804.22374429216</v>
      </c>
      <c r="AH35" s="73">
        <f t="shared" si="18"/>
        <v>1</v>
      </c>
      <c r="AI35" s="73">
        <f t="shared" si="18"/>
        <v>1</v>
      </c>
      <c r="AJ35" s="73">
        <f t="shared" si="19"/>
        <v>1</v>
      </c>
    </row>
    <row r="36" spans="1:36" x14ac:dyDescent="0.25">
      <c r="A36" s="55" t="s">
        <v>294</v>
      </c>
      <c r="B36" s="50">
        <v>1</v>
      </c>
      <c r="C36" s="56">
        <f>IFERROR(C26/$B36,0)</f>
        <v>7.2727272727272728E-9</v>
      </c>
      <c r="D36" s="56">
        <f>IFERROR(D26/$B36,0)</f>
        <v>9.0250320889537196E-6</v>
      </c>
      <c r="E36" s="56">
        <f>IFERROR(E26/$B36,0)</f>
        <v>6.9749536178107568E-5</v>
      </c>
      <c r="F36" s="56">
        <f t="shared" si="20"/>
        <v>7.2661143190402886E-9</v>
      </c>
      <c r="G36" s="64">
        <f>IFERROR(up_RadSpec!$I$26*G26,".")*$B$37</f>
        <v>7638812.5</v>
      </c>
      <c r="H36" s="64">
        <f>IFERROR(up_RadSpec!$G$26*H26,".")*$B$37</f>
        <v>6155.6567835362166</v>
      </c>
      <c r="I36" s="64">
        <f>IFERROR(up_RadSpec!$F$26*I26,".")*$B$37</f>
        <v>796.49275169570444</v>
      </c>
      <c r="J36" s="73">
        <f t="shared" si="10"/>
        <v>1</v>
      </c>
      <c r="K36" s="73">
        <f t="shared" si="10"/>
        <v>1</v>
      </c>
      <c r="L36" s="73">
        <f t="shared" si="10"/>
        <v>1</v>
      </c>
      <c r="M36" s="73">
        <f t="shared" si="14"/>
        <v>1</v>
      </c>
      <c r="N36" s="56">
        <f t="shared" ref="N36:AD36" si="22">IFERROR(N26/$B36,0)</f>
        <v>6.9749536178107568E-5</v>
      </c>
      <c r="O36" s="56">
        <f t="shared" si="22"/>
        <v>1.2734541301074711E-4</v>
      </c>
      <c r="P36" s="56">
        <f t="shared" si="22"/>
        <v>9.204287081339711E-5</v>
      </c>
      <c r="Q36" s="56">
        <f t="shared" si="22"/>
        <v>7.8731404958677637E-5</v>
      </c>
      <c r="R36" s="56">
        <f t="shared" si="22"/>
        <v>7.422374012566158E-4</v>
      </c>
      <c r="S36" s="64">
        <f>IFERROR(up_RadSpec!$F$26*S26,".")*$B$37</f>
        <v>796.49275169570444</v>
      </c>
      <c r="T36" s="64">
        <f>IFERROR(up_RadSpec!$M$26*T26,".")*$B$37</f>
        <v>436.25442555446824</v>
      </c>
      <c r="U36" s="64">
        <f>IFERROR(up_RadSpec!$N$26*U26,".")*$B$37</f>
        <v>603.57743635168981</v>
      </c>
      <c r="V36" s="64">
        <f>IFERROR(up_RadSpec!$O$26*V26,".")*$B$37</f>
        <v>705.62693539075235</v>
      </c>
      <c r="W36" s="64">
        <f>IFERROR(up_RadSpec!$K$26*W26,".")*$B$37</f>
        <v>74.848020196698258</v>
      </c>
      <c r="X36" s="73">
        <f t="shared" si="16"/>
        <v>1</v>
      </c>
      <c r="Y36" s="73">
        <f t="shared" si="12"/>
        <v>1</v>
      </c>
      <c r="Z36" s="73">
        <f t="shared" si="12"/>
        <v>1</v>
      </c>
      <c r="AA36" s="73">
        <f t="shared" si="12"/>
        <v>1</v>
      </c>
      <c r="AB36" s="73">
        <f t="shared" si="12"/>
        <v>1</v>
      </c>
      <c r="AC36" s="56">
        <f t="shared" si="22"/>
        <v>2.9090909090909089E-11</v>
      </c>
      <c r="AD36" s="56">
        <f t="shared" si="22"/>
        <v>1.5927272727272726E-7</v>
      </c>
      <c r="AE36" s="56">
        <f t="shared" si="17"/>
        <v>2.9085596653164224E-11</v>
      </c>
      <c r="AF36" s="64">
        <f>IFERROR(up_RadSpec!$G$26*AF26,".")*$B$37</f>
        <v>1909703125</v>
      </c>
      <c r="AG36" s="64">
        <f>IFERROR(up_RadSpec!$J$26*AG26,".")*$B$37</f>
        <v>348804.22374429216</v>
      </c>
      <c r="AH36" s="73">
        <f t="shared" si="18"/>
        <v>1</v>
      </c>
      <c r="AI36" s="73">
        <f t="shared" si="18"/>
        <v>1</v>
      </c>
      <c r="AJ36" s="73">
        <f t="shared" si="19"/>
        <v>1</v>
      </c>
    </row>
    <row r="37" spans="1:36" x14ac:dyDescent="0.25">
      <c r="A37" s="55" t="s">
        <v>295</v>
      </c>
      <c r="B37" s="50">
        <v>1</v>
      </c>
      <c r="C37" s="56">
        <f>IFERROR(C22/$B37,0)</f>
        <v>7.2727272727272728E-9</v>
      </c>
      <c r="D37" s="56">
        <f>IFERROR(D22/$B37,0)</f>
        <v>9.0250320889537196E-6</v>
      </c>
      <c r="E37" s="56">
        <f>IFERROR(E22/$B37,0)</f>
        <v>38.212609970674492</v>
      </c>
      <c r="F37" s="56">
        <f t="shared" si="20"/>
        <v>7.2668713394365224E-9</v>
      </c>
      <c r="G37" s="64">
        <f>IFERROR(up_RadSpec!$I$22*G22,".")*$B$37</f>
        <v>7638812.5</v>
      </c>
      <c r="H37" s="64">
        <f>IFERROR(up_RadSpec!$G$22*H22,".")*$B$37</f>
        <v>6155.6567835362166</v>
      </c>
      <c r="I37" s="64">
        <f>IFERROR(up_RadSpec!$F$22*I22,".")*$B$37</f>
        <v>1.4538394535896543E-3</v>
      </c>
      <c r="J37" s="73">
        <f t="shared" si="10"/>
        <v>1</v>
      </c>
      <c r="K37" s="73">
        <f t="shared" si="10"/>
        <v>1</v>
      </c>
      <c r="L37" s="73">
        <f t="shared" si="10"/>
        <v>1.4538394535896543E-3</v>
      </c>
      <c r="M37" s="73">
        <f t="shared" si="14"/>
        <v>1</v>
      </c>
      <c r="N37" s="56">
        <f t="shared" ref="N37:AD37" si="23">IFERROR(N22/$B37,0)</f>
        <v>38.212609970674492</v>
      </c>
      <c r="O37" s="56">
        <f t="shared" si="23"/>
        <v>35.015007875419791</v>
      </c>
      <c r="P37" s="56">
        <f t="shared" si="23"/>
        <v>26.900901897858684</v>
      </c>
      <c r="Q37" s="56">
        <f t="shared" si="23"/>
        <v>27.720643939393923</v>
      </c>
      <c r="R37" s="56">
        <f t="shared" si="23"/>
        <v>196.69716748383877</v>
      </c>
      <c r="S37" s="64">
        <f>IFERROR(up_RadSpec!$F$22*S22,".")*$B$37</f>
        <v>1.4538394535896543E-3</v>
      </c>
      <c r="T37" s="64">
        <f>IFERROR(up_RadSpec!$M$22*T22,".")*$B$37</f>
        <v>1.5866053835446679E-3</v>
      </c>
      <c r="U37" s="64">
        <f>IFERROR(up_RadSpec!$N$22*U22,".")*$B$37</f>
        <v>2.0651723949977373E-3</v>
      </c>
      <c r="V37" s="64">
        <f>IFERROR(up_RadSpec!$O$22*V22,".")*$B$37</f>
        <v>2.0041020735831663E-3</v>
      </c>
      <c r="W37" s="64">
        <f>IFERROR(up_RadSpec!$K$22*W22,".")*$B$37</f>
        <v>2.8243924765497481E-4</v>
      </c>
      <c r="X37" s="73">
        <f t="shared" si="16"/>
        <v>1.4538394535896543E-3</v>
      </c>
      <c r="Y37" s="73">
        <f t="shared" si="12"/>
        <v>1.5866053835446679E-3</v>
      </c>
      <c r="Z37" s="73">
        <f t="shared" si="12"/>
        <v>2.0651723949977373E-3</v>
      </c>
      <c r="AA37" s="73">
        <f t="shared" si="12"/>
        <v>2.0041020735831663E-3</v>
      </c>
      <c r="AB37" s="73">
        <f t="shared" si="12"/>
        <v>2.8243924765497481E-4</v>
      </c>
      <c r="AC37" s="56">
        <f t="shared" si="23"/>
        <v>2.9090909090909089E-11</v>
      </c>
      <c r="AD37" s="56">
        <f t="shared" si="23"/>
        <v>1.5927272727272726E-7</v>
      </c>
      <c r="AE37" s="56">
        <f t="shared" si="17"/>
        <v>2.9085596653164224E-11</v>
      </c>
      <c r="AF37" s="64">
        <f>IFERROR(up_RadSpec!$G$22*AF22,".")*$B$37</f>
        <v>1909703125</v>
      </c>
      <c r="AG37" s="64">
        <f>IFERROR(up_RadSpec!$J$22*AG22,".")*$B$37</f>
        <v>348804.22374429216</v>
      </c>
      <c r="AH37" s="73">
        <f t="shared" si="18"/>
        <v>1</v>
      </c>
      <c r="AI37" s="73">
        <f t="shared" si="18"/>
        <v>1</v>
      </c>
      <c r="AJ37" s="73">
        <f t="shared" si="19"/>
        <v>1</v>
      </c>
    </row>
    <row r="38" spans="1:36" x14ac:dyDescent="0.25">
      <c r="A38" s="55" t="s">
        <v>296</v>
      </c>
      <c r="B38" s="50">
        <v>1</v>
      </c>
      <c r="C38" s="56">
        <f>IFERROR(C2/$B38,0)</f>
        <v>7.2727272727272728E-9</v>
      </c>
      <c r="D38" s="56">
        <f>IFERROR(D2/$B38,0)</f>
        <v>9.0250320889537196E-6</v>
      </c>
      <c r="E38" s="56">
        <f>IFERROR(E2/$B38,0)</f>
        <v>4.2273137388926875E-5</v>
      </c>
      <c r="F38" s="56">
        <f t="shared" si="20"/>
        <v>7.2656223598778103E-9</v>
      </c>
      <c r="G38" s="64">
        <f>IFERROR(up_RadSpec!$I$2*G2,".")*$B$38</f>
        <v>7638812.5</v>
      </c>
      <c r="H38" s="64">
        <f>IFERROR(up_RadSpec!$G$2*H2,".")*$B$38</f>
        <v>6155.6567835362166</v>
      </c>
      <c r="I38" s="64">
        <f>IFERROR(up_RadSpec!$F$2*I2,".")*$B$38</f>
        <v>1314.1915512178709</v>
      </c>
      <c r="J38" s="73">
        <f t="shared" si="10"/>
        <v>1</v>
      </c>
      <c r="K38" s="73">
        <f t="shared" si="10"/>
        <v>1</v>
      </c>
      <c r="L38" s="73">
        <f t="shared" si="10"/>
        <v>1</v>
      </c>
      <c r="M38" s="73">
        <f t="shared" si="14"/>
        <v>1</v>
      </c>
      <c r="N38" s="56">
        <f t="shared" ref="N38:AD38" si="24">IFERROR(N2/$B38,0)</f>
        <v>4.2273137388926875E-5</v>
      </c>
      <c r="O38" s="56">
        <f t="shared" si="24"/>
        <v>8.5473584007615406E-5</v>
      </c>
      <c r="P38" s="56">
        <f t="shared" si="24"/>
        <v>5.8052676295666921E-5</v>
      </c>
      <c r="Q38" s="56">
        <f t="shared" si="24"/>
        <v>4.8254604872251918E-5</v>
      </c>
      <c r="R38" s="56">
        <f t="shared" si="24"/>
        <v>6.7637975023499409E-4</v>
      </c>
      <c r="S38" s="64">
        <f>IFERROR(up_RadSpec!$F$2*S2,".")*$B$38</f>
        <v>1314.1915512178709</v>
      </c>
      <c r="T38" s="64">
        <f>IFERROR(up_RadSpec!$M$2*T2,".")*$B$38</f>
        <v>649.96689497716898</v>
      </c>
      <c r="U38" s="64">
        <f>IFERROR(up_RadSpec!$N$2*U2,".")*$B$38</f>
        <v>956.97569078562265</v>
      </c>
      <c r="V38" s="64">
        <f>IFERROR(up_RadSpec!$O$2*V2,".")*$B$38</f>
        <v>1151.2890872710482</v>
      </c>
      <c r="W38" s="64">
        <f>IFERROR(up_RadSpec!$K$2*W2,".")*$B$38</f>
        <v>82.135811991264632</v>
      </c>
      <c r="X38" s="73">
        <f t="shared" si="16"/>
        <v>1</v>
      </c>
      <c r="Y38" s="73">
        <f t="shared" si="12"/>
        <v>1</v>
      </c>
      <c r="Z38" s="73">
        <f t="shared" si="12"/>
        <v>1</v>
      </c>
      <c r="AA38" s="73">
        <f t="shared" si="12"/>
        <v>1</v>
      </c>
      <c r="AB38" s="73">
        <f t="shared" si="12"/>
        <v>1</v>
      </c>
      <c r="AC38" s="56">
        <f t="shared" si="24"/>
        <v>2.9090909090909089E-11</v>
      </c>
      <c r="AD38" s="56">
        <f t="shared" si="24"/>
        <v>1.5927272727272726E-7</v>
      </c>
      <c r="AE38" s="56">
        <f t="shared" si="17"/>
        <v>2.9085596653164224E-11</v>
      </c>
      <c r="AF38" s="64">
        <f>IFERROR(up_RadSpec!$G$2*AF2,".")*$B$38</f>
        <v>1909703125</v>
      </c>
      <c r="AG38" s="64">
        <f>IFERROR(up_RadSpec!$J$2*AG2,".")*$B$38</f>
        <v>348804.22374429216</v>
      </c>
      <c r="AH38" s="73">
        <f t="shared" si="18"/>
        <v>1</v>
      </c>
      <c r="AI38" s="73">
        <f t="shared" si="18"/>
        <v>1</v>
      </c>
      <c r="AJ38" s="73">
        <f t="shared" si="19"/>
        <v>1</v>
      </c>
    </row>
    <row r="39" spans="1:36" x14ac:dyDescent="0.25">
      <c r="A39" s="55" t="s">
        <v>297</v>
      </c>
      <c r="B39" s="50">
        <v>1</v>
      </c>
      <c r="C39" s="56">
        <f>IFERROR(C11/$B39,0)</f>
        <v>7.2727272727272728E-9</v>
      </c>
      <c r="D39" s="56">
        <f>IFERROR(D11/$B39,0)</f>
        <v>9.0250320889537196E-6</v>
      </c>
      <c r="E39" s="56">
        <f>IFERROR(E11/$B39,0)</f>
        <v>3.7192807192807189E-5</v>
      </c>
      <c r="F39" s="56">
        <f t="shared" si="20"/>
        <v>7.265451789368294E-9</v>
      </c>
      <c r="G39" s="64">
        <f>IFERROR(up_RadSpec!$I$11*G11,".")*$B$39</f>
        <v>7638812.5</v>
      </c>
      <c r="H39" s="64">
        <f>IFERROR(up_RadSpec!$G$11*H11,".")*$B$39</f>
        <v>6155.6567835362166</v>
      </c>
      <c r="I39" s="64">
        <f>IFERROR(up_RadSpec!$F$11*I11,".")*$B$39</f>
        <v>1493.7027934461455</v>
      </c>
      <c r="J39" s="73">
        <f t="shared" si="10"/>
        <v>1</v>
      </c>
      <c r="K39" s="73">
        <f t="shared" si="10"/>
        <v>1</v>
      </c>
      <c r="L39" s="73">
        <f t="shared" si="10"/>
        <v>1</v>
      </c>
      <c r="M39" s="73">
        <f t="shared" si="14"/>
        <v>1</v>
      </c>
      <c r="N39" s="56">
        <f t="shared" ref="N39:AD39" si="25">IFERROR(N11/$B39,0)</f>
        <v>3.7192807192807189E-5</v>
      </c>
      <c r="O39" s="56">
        <f t="shared" si="25"/>
        <v>4.7061193653991438E-5</v>
      </c>
      <c r="P39" s="56">
        <f t="shared" si="25"/>
        <v>3.6523871811641592E-5</v>
      </c>
      <c r="Q39" s="56">
        <f t="shared" si="25"/>
        <v>3.4790969899665563E-5</v>
      </c>
      <c r="R39" s="56">
        <f t="shared" si="25"/>
        <v>8.7610157699443398E-5</v>
      </c>
      <c r="S39" s="64">
        <f>IFERROR(up_RadSpec!$F$11*S11,".")*$B$39</f>
        <v>1493.7027934461455</v>
      </c>
      <c r="T39" s="64">
        <f>IFERROR(up_RadSpec!$M$11*T11,".")*$B$39</f>
        <v>1180.484294734589</v>
      </c>
      <c r="U39" s="64">
        <f>IFERROR(up_RadSpec!$N$11*U11,".")*$B$39</f>
        <v>1521.0599874653062</v>
      </c>
      <c r="V39" s="64">
        <f>IFERROR(up_RadSpec!$O$11*V11,".")*$B$39</f>
        <v>1596.8223984619076</v>
      </c>
      <c r="W39" s="64">
        <f>IFERROR(up_RadSpec!$K$11*W11,".")*$B$39</f>
        <v>634.1159684997682</v>
      </c>
      <c r="X39" s="73">
        <f t="shared" si="16"/>
        <v>1</v>
      </c>
      <c r="Y39" s="73">
        <f t="shared" si="12"/>
        <v>1</v>
      </c>
      <c r="Z39" s="73">
        <f t="shared" si="12"/>
        <v>1</v>
      </c>
      <c r="AA39" s="73">
        <f t="shared" si="12"/>
        <v>1</v>
      </c>
      <c r="AB39" s="73">
        <f t="shared" si="12"/>
        <v>1</v>
      </c>
      <c r="AC39" s="56">
        <f t="shared" si="25"/>
        <v>2.9090909090909089E-11</v>
      </c>
      <c r="AD39" s="56">
        <f t="shared" si="25"/>
        <v>1.5927272727272726E-7</v>
      </c>
      <c r="AE39" s="56">
        <f t="shared" si="17"/>
        <v>2.9085596653164224E-11</v>
      </c>
      <c r="AF39" s="64">
        <f>IFERROR(up_RadSpec!$G$11*AF11,".")*$B$39</f>
        <v>1909703125</v>
      </c>
      <c r="AG39" s="64">
        <f>IFERROR(up_RadSpec!$J$11*AG11,".")*$B$39</f>
        <v>348804.22374429216</v>
      </c>
      <c r="AH39" s="73">
        <f t="shared" si="18"/>
        <v>1</v>
      </c>
      <c r="AI39" s="73">
        <f t="shared" si="18"/>
        <v>1</v>
      </c>
      <c r="AJ39" s="73">
        <f t="shared" si="19"/>
        <v>1</v>
      </c>
    </row>
    <row r="40" spans="1:36" x14ac:dyDescent="0.25">
      <c r="A40" s="55" t="s">
        <v>298</v>
      </c>
      <c r="B40" s="50">
        <v>1</v>
      </c>
      <c r="C40" s="56">
        <f>IFERROR(C4/$B40,0)</f>
        <v>7.2727272727272728E-9</v>
      </c>
      <c r="D40" s="56">
        <f>IFERROR(D4/$B40,0)</f>
        <v>9.0250320889537196E-6</v>
      </c>
      <c r="E40" s="56">
        <f>IFERROR(E4/$B40,0)</f>
        <v>2.0646464646464657E-5</v>
      </c>
      <c r="F40" s="56">
        <f t="shared" si="20"/>
        <v>7.264314542835562E-9</v>
      </c>
      <c r="G40" s="64">
        <f>IFERROR(up_RadSpec!$I$4*G4,".")*$B$40</f>
        <v>7638812.5</v>
      </c>
      <c r="H40" s="64">
        <f>IFERROR(up_RadSpec!$G$4*H4,".")*$B$40</f>
        <v>6155.6567835362166</v>
      </c>
      <c r="I40" s="64">
        <f>IFERROR(up_RadSpec!$F$4*I4,".")*$B$40</f>
        <v>2690.7754403131103</v>
      </c>
      <c r="J40" s="73">
        <f t="shared" si="10"/>
        <v>1</v>
      </c>
      <c r="K40" s="73">
        <f t="shared" si="10"/>
        <v>1</v>
      </c>
      <c r="L40" s="73">
        <f t="shared" si="10"/>
        <v>1</v>
      </c>
      <c r="M40" s="73">
        <f t="shared" si="14"/>
        <v>1</v>
      </c>
      <c r="N40" s="56">
        <f t="shared" ref="N40:AD40" si="26">IFERROR(N4/$B40,0)</f>
        <v>2.0646464646464657E-5</v>
      </c>
      <c r="O40" s="56">
        <f t="shared" si="26"/>
        <v>3.3692307692307704E-5</v>
      </c>
      <c r="P40" s="56">
        <f t="shared" si="26"/>
        <v>2.423715415019762E-5</v>
      </c>
      <c r="Q40" s="56">
        <f t="shared" si="26"/>
        <v>2.1098354141832403E-5</v>
      </c>
      <c r="R40" s="56">
        <f t="shared" si="26"/>
        <v>6.2221661833312302E-5</v>
      </c>
      <c r="S40" s="64">
        <f>IFERROR(up_RadSpec!$F$4*S4,".")*$B$40</f>
        <v>2690.7754403131103</v>
      </c>
      <c r="T40" s="64">
        <f>IFERROR(up_RadSpec!$M$4*T4,".")*$B$40</f>
        <v>1648.8926940639262</v>
      </c>
      <c r="U40" s="64">
        <f>IFERROR(up_RadSpec!$N$4*U4,".")*$B$40</f>
        <v>2292.1420417482063</v>
      </c>
      <c r="V40" s="64">
        <f>IFERROR(up_RadSpec!$O$4*V4,".")*$B$40</f>
        <v>2633.1437810994585</v>
      </c>
      <c r="W40" s="64">
        <f>IFERROR(up_RadSpec!$K$4*W4,".")*$B$40</f>
        <v>892.85625557266781</v>
      </c>
      <c r="X40" s="73">
        <f t="shared" si="16"/>
        <v>1</v>
      </c>
      <c r="Y40" s="73">
        <f t="shared" si="12"/>
        <v>1</v>
      </c>
      <c r="Z40" s="73">
        <f t="shared" si="12"/>
        <v>1</v>
      </c>
      <c r="AA40" s="73">
        <f t="shared" si="12"/>
        <v>1</v>
      </c>
      <c r="AB40" s="73">
        <f t="shared" si="12"/>
        <v>1</v>
      </c>
      <c r="AC40" s="56">
        <f t="shared" si="26"/>
        <v>2.9090909090909089E-11</v>
      </c>
      <c r="AD40" s="56">
        <f t="shared" si="26"/>
        <v>1.5927272727272726E-7</v>
      </c>
      <c r="AE40" s="56">
        <f t="shared" si="17"/>
        <v>2.9085596653164224E-11</v>
      </c>
      <c r="AF40" s="64">
        <f>IFERROR(up_RadSpec!$G$4*AF4,".")*$B$40</f>
        <v>1909703125</v>
      </c>
      <c r="AG40" s="64">
        <f>IFERROR(up_RadSpec!$J$4*AG4,".")*$B$40</f>
        <v>348804.22374429216</v>
      </c>
      <c r="AH40" s="73">
        <f t="shared" si="18"/>
        <v>1</v>
      </c>
      <c r="AI40" s="73">
        <f t="shared" si="18"/>
        <v>1</v>
      </c>
      <c r="AJ40" s="73">
        <f t="shared" si="19"/>
        <v>1</v>
      </c>
    </row>
    <row r="41" spans="1:36" x14ac:dyDescent="0.25">
      <c r="A41" s="55" t="s">
        <v>299</v>
      </c>
      <c r="B41" s="57">
        <v>0.99987999999999999</v>
      </c>
      <c r="C41" s="56">
        <f>IFERROR(C8/$B41,0)</f>
        <v>7.2736001047398419E-9</v>
      </c>
      <c r="D41" s="56">
        <f>IFERROR(D8/$B41,0)</f>
        <v>9.0261152227804538E-6</v>
      </c>
      <c r="E41" s="56">
        <f>IFERROR(E8/$B41,0)</f>
        <v>1.320098140556375E-5</v>
      </c>
      <c r="F41" s="56">
        <f t="shared" si="20"/>
        <v>7.263744446807011E-9</v>
      </c>
      <c r="G41" s="64">
        <f>IFERROR(up_RadSpec!$I$8*G8,".")*$B$41</f>
        <v>7637895.8425000003</v>
      </c>
      <c r="H41" s="64">
        <f>IFERROR(up_RadSpec!$G$8*H8,".")*$B$41</f>
        <v>6154.9181047221919</v>
      </c>
      <c r="I41" s="64">
        <f>IFERROR(up_RadSpec!$F$8*I8,".")*$B$41</f>
        <v>4208.3992313318086</v>
      </c>
      <c r="J41" s="73">
        <f t="shared" si="10"/>
        <v>1</v>
      </c>
      <c r="K41" s="73">
        <f t="shared" si="10"/>
        <v>1</v>
      </c>
      <c r="L41" s="73">
        <f t="shared" si="10"/>
        <v>1</v>
      </c>
      <c r="M41" s="73">
        <f t="shared" si="14"/>
        <v>1</v>
      </c>
      <c r="N41" s="56">
        <f t="shared" ref="N41:AD41" si="27">IFERROR(N8/$B41,0)</f>
        <v>1.320098140556375E-5</v>
      </c>
      <c r="O41" s="56">
        <f t="shared" si="27"/>
        <v>2.4233038888509512E-5</v>
      </c>
      <c r="P41" s="56">
        <f t="shared" si="27"/>
        <v>1.7687863198867665E-5</v>
      </c>
      <c r="Q41" s="56">
        <f t="shared" si="27"/>
        <v>1.6216978495640923E-5</v>
      </c>
      <c r="R41" s="56">
        <f t="shared" si="27"/>
        <v>4.4901056217044999E-5</v>
      </c>
      <c r="S41" s="64">
        <f>IFERROR(up_RadSpec!$F$8*S8,".")*$B$41</f>
        <v>4208.3992313318086</v>
      </c>
      <c r="T41" s="64">
        <f>IFERROR(up_RadSpec!$M$8*T8,".")*$B$41</f>
        <v>2292.5312939741243</v>
      </c>
      <c r="U41" s="64">
        <f>IFERROR(up_RadSpec!$N$8*U8,".")*$B$41</f>
        <v>3140.8542329497714</v>
      </c>
      <c r="V41" s="64">
        <f>IFERROR(up_RadSpec!$O$8*V8,".")*$B$41</f>
        <v>3425.7306325548261</v>
      </c>
      <c r="W41" s="64">
        <f>IFERROR(up_RadSpec!$K$8*W8,".")*$B$41</f>
        <v>1237.2760171042614</v>
      </c>
      <c r="X41" s="73">
        <f t="shared" si="16"/>
        <v>1</v>
      </c>
      <c r="Y41" s="73">
        <f t="shared" si="12"/>
        <v>1</v>
      </c>
      <c r="Z41" s="73">
        <f t="shared" si="12"/>
        <v>1</v>
      </c>
      <c r="AA41" s="73">
        <f t="shared" si="12"/>
        <v>1</v>
      </c>
      <c r="AB41" s="73">
        <f t="shared" si="12"/>
        <v>1</v>
      </c>
      <c r="AC41" s="56">
        <f t="shared" si="27"/>
        <v>2.9094400418959364E-11</v>
      </c>
      <c r="AD41" s="56">
        <f t="shared" si="27"/>
        <v>1.5929184229380251E-7</v>
      </c>
      <c r="AE41" s="56">
        <f t="shared" si="17"/>
        <v>2.9089087343645458E-11</v>
      </c>
      <c r="AF41" s="64">
        <f>IFERROR(up_RadSpec!$G$8*AF8,".")*$B$41</f>
        <v>1909473960.625</v>
      </c>
      <c r="AG41" s="64">
        <f>IFERROR(up_RadSpec!$J$8*AG8,".")*$B$41</f>
        <v>348762.36723744287</v>
      </c>
      <c r="AH41" s="73">
        <f t="shared" si="18"/>
        <v>1</v>
      </c>
      <c r="AI41" s="73">
        <f t="shared" si="18"/>
        <v>1</v>
      </c>
      <c r="AJ41" s="73">
        <f t="shared" si="19"/>
        <v>1</v>
      </c>
    </row>
    <row r="42" spans="1:36" x14ac:dyDescent="0.25">
      <c r="A42" s="55" t="s">
        <v>300</v>
      </c>
      <c r="B42" s="50">
        <v>0.97898250799999997</v>
      </c>
      <c r="C42" s="56">
        <f>IFERROR(C19/$B42,0)</f>
        <v>7.4288633487282621E-9</v>
      </c>
      <c r="D42" s="56">
        <f>IFERROR(D19/$B42,0)</f>
        <v>9.2187878896746543E-6</v>
      </c>
      <c r="E42" s="56">
        <f>IFERROR(E19/$B42,0)</f>
        <v>9.333568969315847E-6</v>
      </c>
      <c r="F42" s="56">
        <f t="shared" si="20"/>
        <v>7.4169830548875496E-9</v>
      </c>
      <c r="G42" s="74">
        <f>IFERROR(up_RadSpec!$I$19*G19,".")*$B$42</f>
        <v>7478263.8193917498</v>
      </c>
      <c r="H42" s="74">
        <f>IFERROR(up_RadSpec!$G$19*H19,".")*$B$42</f>
        <v>6026.2803163334984</v>
      </c>
      <c r="I42" s="74">
        <f>IFERROR(up_RadSpec!$F$19*I19,".")*$B$42</f>
        <v>5952.1711558180277</v>
      </c>
      <c r="J42" s="73">
        <f t="shared" si="10"/>
        <v>1</v>
      </c>
      <c r="K42" s="73">
        <f t="shared" si="10"/>
        <v>1</v>
      </c>
      <c r="L42" s="73">
        <f t="shared" si="10"/>
        <v>1</v>
      </c>
      <c r="M42" s="73">
        <f t="shared" si="14"/>
        <v>1</v>
      </c>
      <c r="N42" s="56">
        <f t="shared" ref="N42:AD42" si="28">IFERROR(N19/$B42,0)</f>
        <v>9.333568969315847E-6</v>
      </c>
      <c r="O42" s="56">
        <f t="shared" si="28"/>
        <v>1.8512234175998557E-5</v>
      </c>
      <c r="P42" s="56">
        <f t="shared" si="28"/>
        <v>1.2832666220443571E-5</v>
      </c>
      <c r="Q42" s="56">
        <f t="shared" si="28"/>
        <v>1.0717892206332445E-5</v>
      </c>
      <c r="R42" s="56">
        <f t="shared" si="28"/>
        <v>3.1878576692228221E-5</v>
      </c>
      <c r="S42" s="74">
        <f>IFERROR(up_RadSpec!$F$19*S19,".")*$B$42</f>
        <v>5952.1711558180277</v>
      </c>
      <c r="T42" s="74">
        <f>IFERROR(up_RadSpec!$M$19*T19,".")*$B$42</f>
        <v>3000.9883989058458</v>
      </c>
      <c r="U42" s="74">
        <f>IFERROR(up_RadSpec!$N$19*U19,".")*$B$42</f>
        <v>4329.1860822730632</v>
      </c>
      <c r="V42" s="74">
        <f>IFERROR(up_RadSpec!$O$19*V19,".")*$B$42</f>
        <v>5183.3885740310461</v>
      </c>
      <c r="W42" s="74">
        <f>IFERROR(up_RadSpec!$K$19*W19,".")*$B$42</f>
        <v>1742.7064117810473</v>
      </c>
      <c r="X42" s="73">
        <f t="shared" si="16"/>
        <v>1</v>
      </c>
      <c r="Y42" s="73">
        <f t="shared" si="12"/>
        <v>1</v>
      </c>
      <c r="Z42" s="73">
        <f t="shared" si="12"/>
        <v>1</v>
      </c>
      <c r="AA42" s="73">
        <f t="shared" si="12"/>
        <v>1</v>
      </c>
      <c r="AB42" s="73">
        <f t="shared" si="12"/>
        <v>1</v>
      </c>
      <c r="AC42" s="56">
        <f t="shared" si="28"/>
        <v>2.9715453394913047E-11</v>
      </c>
      <c r="AD42" s="56">
        <f t="shared" si="28"/>
        <v>1.6269210733714892E-7</v>
      </c>
      <c r="AE42" s="56">
        <f t="shared" si="17"/>
        <v>2.9710026905980444E-11</v>
      </c>
      <c r="AF42" s="74">
        <f>IFERROR(up_RadSpec!$G$19*AF19,".")*$B$42</f>
        <v>1869565954.8479373</v>
      </c>
      <c r="AG42" s="74">
        <f>IFERROR(up_RadSpec!$J$19*AG19,".")*$B$42</f>
        <v>341473.23376218026</v>
      </c>
      <c r="AH42" s="73">
        <f t="shared" si="18"/>
        <v>1</v>
      </c>
      <c r="AI42" s="73">
        <f t="shared" si="18"/>
        <v>1</v>
      </c>
      <c r="AJ42" s="73">
        <f t="shared" si="19"/>
        <v>1</v>
      </c>
    </row>
    <row r="43" spans="1:36" x14ac:dyDescent="0.25">
      <c r="A43" s="55" t="s">
        <v>301</v>
      </c>
      <c r="B43" s="50">
        <v>2.0897492E-2</v>
      </c>
      <c r="C43" s="56">
        <f>IFERROR(C28/$B43,0)</f>
        <v>3.4801914376745651E-7</v>
      </c>
      <c r="D43" s="56">
        <f>IFERROR(D28/$B43,0)</f>
        <v>4.3187154175983031E-4</v>
      </c>
      <c r="E43" s="56">
        <f>IFERROR(E28/$B43,0)</f>
        <v>3.1118811238393343E-4</v>
      </c>
      <c r="F43" s="56">
        <f t="shared" si="20"/>
        <v>3.4735077291900729E-7</v>
      </c>
      <c r="G43" s="74">
        <f>IFERROR(up_RadSpec!$I$28*G28,".")*$B$43</f>
        <v>159632.02310825</v>
      </c>
      <c r="H43" s="74">
        <f>IFERROR(up_RadSpec!$G$28*H28,".")*$B$43</f>
        <v>128.63778838869382</v>
      </c>
      <c r="I43" s="74">
        <f>IFERROR(up_RadSpec!$F$28*I28,".")*$B$43</f>
        <v>178.52545707613055</v>
      </c>
      <c r="J43" s="73">
        <f t="shared" si="10"/>
        <v>1</v>
      </c>
      <c r="K43" s="73">
        <f t="shared" si="10"/>
        <v>1</v>
      </c>
      <c r="L43" s="73">
        <f t="shared" si="10"/>
        <v>1</v>
      </c>
      <c r="M43" s="73">
        <f t="shared" si="14"/>
        <v>1</v>
      </c>
      <c r="N43" s="56">
        <f t="shared" ref="N43:AD43" si="29">IFERROR(N28/$B43,0)</f>
        <v>3.1118811238393343E-4</v>
      </c>
      <c r="O43" s="56">
        <f t="shared" si="29"/>
        <v>6.9390601266185333E-4</v>
      </c>
      <c r="P43" s="56">
        <f t="shared" si="29"/>
        <v>4.8177112822422847E-4</v>
      </c>
      <c r="Q43" s="56">
        <f t="shared" si="29"/>
        <v>4.1711879991830663E-4</v>
      </c>
      <c r="R43" s="56">
        <f t="shared" si="29"/>
        <v>1.2198623400388668E-3</v>
      </c>
      <c r="S43" s="74">
        <f>IFERROR(up_RadSpec!$F$28*S28,".")*$B$43</f>
        <v>178.52545707613055</v>
      </c>
      <c r="T43" s="74">
        <f>IFERROR(up_RadSpec!$M$28*T28,".")*$B$43</f>
        <v>80.061274850305196</v>
      </c>
      <c r="U43" s="74">
        <f>IFERROR(up_RadSpec!$N$28*U28,".")*$B$43</f>
        <v>115.3140915786537</v>
      </c>
      <c r="V43" s="74">
        <f>IFERROR(up_RadSpec!$O$28*V28,".")*$B$43</f>
        <v>133.18747563255488</v>
      </c>
      <c r="W43" s="74">
        <f>IFERROR(up_RadSpec!$K$28*W28,".")*$B$43</f>
        <v>45.54202402726024</v>
      </c>
      <c r="X43" s="73">
        <f t="shared" si="16"/>
        <v>1</v>
      </c>
      <c r="Y43" s="73">
        <f t="shared" si="12"/>
        <v>1</v>
      </c>
      <c r="Z43" s="73">
        <f t="shared" si="12"/>
        <v>1</v>
      </c>
      <c r="AA43" s="73">
        <f t="shared" si="12"/>
        <v>1</v>
      </c>
      <c r="AB43" s="73">
        <f t="shared" si="12"/>
        <v>1</v>
      </c>
      <c r="AC43" s="56">
        <f t="shared" si="29"/>
        <v>1.392076575069826E-9</v>
      </c>
      <c r="AD43" s="56">
        <f t="shared" si="29"/>
        <v>7.6216192485072977E-6</v>
      </c>
      <c r="AE43" s="56">
        <f t="shared" si="17"/>
        <v>1.3918223609399737E-9</v>
      </c>
      <c r="AF43" s="74">
        <f>IFERROR(up_RadSpec!$G$28*AF28,".")*$B$43</f>
        <v>39908005.777062498</v>
      </c>
      <c r="AG43" s="74">
        <f>IFERROR(up_RadSpec!$J$28*AG28,".")*$B$43</f>
        <v>7289.1334752625553</v>
      </c>
      <c r="AH43" s="73">
        <f t="shared" si="18"/>
        <v>1</v>
      </c>
      <c r="AI43" s="73">
        <f t="shared" si="18"/>
        <v>1</v>
      </c>
      <c r="AJ43" s="73">
        <f t="shared" si="19"/>
        <v>1</v>
      </c>
    </row>
    <row r="44" spans="1:36" x14ac:dyDescent="0.25">
      <c r="A44" s="55" t="s">
        <v>302</v>
      </c>
      <c r="B44" s="50">
        <v>0.99987999999999999</v>
      </c>
      <c r="C44" s="56">
        <f>IFERROR(C15/$B44,0)</f>
        <v>7.2736001047398419E-9</v>
      </c>
      <c r="D44" s="56">
        <f>IFERROR(D15/$B44,0)</f>
        <v>9.0261152227804538E-6</v>
      </c>
      <c r="E44" s="56">
        <f>IFERROR(E15/$B44,0)</f>
        <v>0</v>
      </c>
      <c r="F44" s="56">
        <f t="shared" si="20"/>
        <v>7.2677434700348631E-9</v>
      </c>
      <c r="G44" s="64">
        <f>IFERROR(up_RadSpec!$I$15*G15,".")*$B$44</f>
        <v>7637895.8425000003</v>
      </c>
      <c r="H44" s="64">
        <f>IFERROR(up_RadSpec!$G$15*H15,".")*$B$44</f>
        <v>6154.9181047221919</v>
      </c>
      <c r="I44" s="64">
        <f>IFERROR(up_RadSpec!$F$15*I15,".")*$B$44</f>
        <v>0</v>
      </c>
      <c r="J44" s="73">
        <f t="shared" si="10"/>
        <v>1</v>
      </c>
      <c r="K44" s="73">
        <f t="shared" si="10"/>
        <v>1</v>
      </c>
      <c r="L44" s="73">
        <f t="shared" si="10"/>
        <v>0</v>
      </c>
      <c r="M44" s="73">
        <f t="shared" si="14"/>
        <v>1</v>
      </c>
      <c r="N44" s="56">
        <f t="shared" ref="N44:AD44" si="30">IFERROR(N15/$B44,0)</f>
        <v>0</v>
      </c>
      <c r="O44" s="56">
        <f t="shared" si="30"/>
        <v>0</v>
      </c>
      <c r="P44" s="56">
        <f t="shared" si="30"/>
        <v>0</v>
      </c>
      <c r="Q44" s="56">
        <f t="shared" si="30"/>
        <v>0</v>
      </c>
      <c r="R44" s="56">
        <f t="shared" si="30"/>
        <v>0</v>
      </c>
      <c r="S44" s="64">
        <f>IFERROR(up_RadSpec!$F$15*S15,".")*$B$44</f>
        <v>0</v>
      </c>
      <c r="T44" s="64">
        <f>IFERROR(up_RadSpec!$M$15*T15,".")*$B$44</f>
        <v>0</v>
      </c>
      <c r="U44" s="64">
        <f>IFERROR(up_RadSpec!$N$15*U15,".")*$B$44</f>
        <v>0</v>
      </c>
      <c r="V44" s="64">
        <f>IFERROR(up_RadSpec!$O$15*V15,".")*$B$44</f>
        <v>0</v>
      </c>
      <c r="W44" s="64">
        <f>IFERROR(up_RadSpec!$K$15*W15,".")*$B$44</f>
        <v>0</v>
      </c>
      <c r="X44" s="73">
        <f t="shared" si="16"/>
        <v>0</v>
      </c>
      <c r="Y44" s="73">
        <f t="shared" si="12"/>
        <v>0</v>
      </c>
      <c r="Z44" s="73">
        <f t="shared" si="12"/>
        <v>0</v>
      </c>
      <c r="AA44" s="73">
        <f t="shared" si="12"/>
        <v>0</v>
      </c>
      <c r="AB44" s="73">
        <f t="shared" si="12"/>
        <v>0</v>
      </c>
      <c r="AC44" s="56">
        <f t="shared" si="30"/>
        <v>2.9094400418959364E-11</v>
      </c>
      <c r="AD44" s="56">
        <f t="shared" si="30"/>
        <v>1.5929184229380251E-7</v>
      </c>
      <c r="AE44" s="56">
        <f t="shared" si="17"/>
        <v>2.9089087343645458E-11</v>
      </c>
      <c r="AF44" s="64">
        <f>IFERROR(up_RadSpec!$G$15*AF15,".")*$B$44</f>
        <v>1909473960.625</v>
      </c>
      <c r="AG44" s="64">
        <f>IFERROR(up_RadSpec!$J$15*AG15,".")*$B$44</f>
        <v>348762.36723744287</v>
      </c>
      <c r="AH44" s="73">
        <f t="shared" si="18"/>
        <v>1</v>
      </c>
      <c r="AI44" s="73">
        <f t="shared" si="18"/>
        <v>1</v>
      </c>
      <c r="AJ44" s="73">
        <f t="shared" si="19"/>
        <v>1</v>
      </c>
    </row>
    <row r="45" spans="1:36" x14ac:dyDescent="0.25">
      <c r="A45" s="52" t="s">
        <v>20</v>
      </c>
      <c r="B45" s="52" t="s">
        <v>289</v>
      </c>
      <c r="C45" s="53">
        <f>IFERROR(IF(AND(C46&lt;&gt;0,C47&lt;&gt;0),1/SUM(1/C46,1/C47),IF(AND(C46&lt;&gt;0,C47=0),1/(1/C46),IF(AND(C46=0,C47&lt;&gt;0),1/(1/C47),IF(AND(C46=0,C47=0),".")))),".")</f>
        <v>3.7411340967429217E-9</v>
      </c>
      <c r="D45" s="53">
        <f t="shared" ref="D45:F45" si="31">IFERROR(IF(AND(D46&lt;&gt;0,D47&lt;&gt;0),1/SUM(1/D46,1/D47),IF(AND(D46&lt;&gt;0,D47=0),1/(1/D46),IF(AND(D46=0,D47&lt;&gt;0),1/(1/D47),IF(AND(D46=0,D47=0),".")))),".")</f>
        <v>4.6425300999252675E-6</v>
      </c>
      <c r="E45" s="53">
        <f t="shared" si="31"/>
        <v>5.9048070637520463E-6</v>
      </c>
      <c r="F45" s="54">
        <f t="shared" si="31"/>
        <v>3.7357567968265676E-9</v>
      </c>
      <c r="G45" s="71"/>
      <c r="H45" s="71"/>
      <c r="I45" s="71"/>
      <c r="J45" s="72">
        <f>IFERROR(IF(SUM(G46:G47)&gt;0.01,1-EXP(-SUM(G46:G47)),SUM(G46:G47)),".")</f>
        <v>1</v>
      </c>
      <c r="K45" s="72">
        <f>IFERROR(IF(SUM(H46:H47)&gt;0.01,1-EXP(-SUM(H46:H47)),SUM(H46:H47)),".")</f>
        <v>1</v>
      </c>
      <c r="L45" s="72">
        <f>IFERROR(IF(SUM(I46:I47)&gt;0.01,1-EXP(-SUM(I46:I47)),SUM(I46:I47)),".")</f>
        <v>1</v>
      </c>
      <c r="M45" s="72">
        <f>IFERROR(IF(SUM(G46:I47)&gt;0.01,1-EXP(-SUM(G46:I47)),SUM(G46:I47)),".")</f>
        <v>1</v>
      </c>
      <c r="N45" s="53">
        <f t="shared" ref="N45:AE45" si="32">IFERROR(IF(AND(N46&lt;&gt;0,N47&lt;&gt;0),1/SUM(1/N46,1/N47),IF(AND(N46&lt;&gt;0,N47=0),1/(1/N46),IF(AND(N46=0,N47&lt;&gt;0),1/(1/N47),IF(AND(N46=0,N47=0),".")))),".")</f>
        <v>5.9048070637520463E-6</v>
      </c>
      <c r="O45" s="53">
        <f t="shared" si="32"/>
        <v>1.0076093638201964E-5</v>
      </c>
      <c r="P45" s="53">
        <f t="shared" si="32"/>
        <v>7.1593162965805564E-6</v>
      </c>
      <c r="Q45" s="53">
        <f t="shared" si="32"/>
        <v>6.2292726301887687E-6</v>
      </c>
      <c r="R45" s="53">
        <f t="shared" si="32"/>
        <v>1.6932322803805414E-5</v>
      </c>
      <c r="S45" s="71"/>
      <c r="T45" s="71"/>
      <c r="U45" s="71"/>
      <c r="V45" s="71"/>
      <c r="W45" s="71"/>
      <c r="X45" s="72">
        <f>IFERROR(IF(SUM(S46:S47)&gt;0.01,1-EXP(-SUM(S46:S47)),SUM(S46:S47)),".")</f>
        <v>1</v>
      </c>
      <c r="Y45" s="72">
        <f t="shared" ref="Y45:AB45" si="33">IFERROR(IF(SUM(T46:T47)&gt;0.01,1-EXP(-SUM(T46:T47)),SUM(T46:T47)),".")</f>
        <v>1</v>
      </c>
      <c r="Z45" s="72">
        <f t="shared" si="33"/>
        <v>1</v>
      </c>
      <c r="AA45" s="72">
        <f t="shared" si="33"/>
        <v>1</v>
      </c>
      <c r="AB45" s="72">
        <f t="shared" si="33"/>
        <v>1</v>
      </c>
      <c r="AC45" s="53">
        <f t="shared" si="32"/>
        <v>1.4964536386971686E-11</v>
      </c>
      <c r="AD45" s="53">
        <f t="shared" si="32"/>
        <v>8.1930836718669983E-8</v>
      </c>
      <c r="AE45" s="54">
        <f t="shared" si="32"/>
        <v>1.4961803637448867E-11</v>
      </c>
      <c r="AF45" s="71"/>
      <c r="AG45" s="71"/>
      <c r="AH45" s="72">
        <f>IFERROR(IF(SUM(AF46:AF47)&gt;0.01,1-EXP(-SUM(AF46:AF47)),SUM(AF46:AF47)),".")</f>
        <v>1</v>
      </c>
      <c r="AI45" s="72">
        <f>IFERROR(IF(SUM(AG46:AG47)&gt;0.01,1-EXP(-SUM(AG46:AG47)),SUM(AG46:AG47)),".")</f>
        <v>1</v>
      </c>
      <c r="AJ45" s="72">
        <f>IFERROR(IF(SUM(AF46:AG47)&gt;0.01,1-EXP(-SUM(AF46:AG47)),SUM(AF46:AG47)),".")</f>
        <v>1</v>
      </c>
    </row>
    <row r="46" spans="1:36" x14ac:dyDescent="0.25">
      <c r="A46" s="55" t="s">
        <v>303</v>
      </c>
      <c r="B46" s="50">
        <v>1</v>
      </c>
      <c r="C46" s="56">
        <f>IFERROR(C10/$B46,0)</f>
        <v>7.2727272727272728E-9</v>
      </c>
      <c r="D46" s="56">
        <f>IFERROR(D10/$B46,0)</f>
        <v>9.0250320889537196E-6</v>
      </c>
      <c r="E46" s="56">
        <f>IFERROR(E10/$B46,0)</f>
        <v>1.243844155844156E-5</v>
      </c>
      <c r="F46" s="56">
        <f t="shared" si="20"/>
        <v>7.2626283184640511E-9</v>
      </c>
      <c r="G46" s="64">
        <f>IFERROR(up_RadSpec!$I$10*G10,".")*$B$46</f>
        <v>7638812.5</v>
      </c>
      <c r="H46" s="64">
        <f>IFERROR(up_RadSpec!$G$10*H10,".")*$B$46</f>
        <v>6155.6567835362166</v>
      </c>
      <c r="I46" s="64">
        <f>IFERROR(up_RadSpec!$F$10*I10,".")*$B$46</f>
        <v>4466.3955479452043</v>
      </c>
      <c r="J46" s="73">
        <f t="shared" ref="J46:L47" si="34">IFERROR(IF(G46&gt;0.01,1-EXP(-G46),G46),".")</f>
        <v>1</v>
      </c>
      <c r="K46" s="73">
        <f t="shared" si="34"/>
        <v>1</v>
      </c>
      <c r="L46" s="73">
        <f t="shared" si="34"/>
        <v>1</v>
      </c>
      <c r="M46" s="73">
        <f t="shared" ref="M46:M47" si="35">IFERROR(IF(SUM(G46:I46)&gt;0.01,1-EXP(-SUM(G46:I46)),SUM(G46:I46)),".")</f>
        <v>1</v>
      </c>
      <c r="N46" s="56">
        <f t="shared" ref="N46:AD46" si="36">IFERROR(N10/$B46,0)</f>
        <v>1.243844155844156E-5</v>
      </c>
      <c r="O46" s="56">
        <f t="shared" si="36"/>
        <v>1.9382395382395374E-5</v>
      </c>
      <c r="P46" s="56">
        <f t="shared" si="36"/>
        <v>1.3841566354189985E-5</v>
      </c>
      <c r="Q46" s="56">
        <f t="shared" si="36"/>
        <v>1.2659729828404525E-5</v>
      </c>
      <c r="R46" s="56">
        <f t="shared" si="36"/>
        <v>3.2583425881855202E-5</v>
      </c>
      <c r="S46" s="64">
        <f>IFERROR(up_RadSpec!$F$10*S10,".")*$B46</f>
        <v>4466.3955479452043</v>
      </c>
      <c r="T46" s="64">
        <f>IFERROR(up_RadSpec!$M$10*T10,".")*$B46</f>
        <v>2866.2607951161408</v>
      </c>
      <c r="U46" s="64">
        <f>IFERROR(up_RadSpec!$N$10*U10,".")*$B46</f>
        <v>4013.635348660011</v>
      </c>
      <c r="V46" s="64">
        <f>IFERROR(up_RadSpec!$O$10*V10,".")*$B46</f>
        <v>4388.3242970439796</v>
      </c>
      <c r="W46" s="64">
        <f>IFERROR(up_RadSpec!$K$10*W10,".")*$B46</f>
        <v>1705.0079448808672</v>
      </c>
      <c r="X46" s="73">
        <f t="shared" ref="X46:AB47" si="37">IFERROR(IF(S46&gt;0.01,1-EXP(-S46),S46),".")</f>
        <v>1</v>
      </c>
      <c r="Y46" s="73">
        <f t="shared" si="37"/>
        <v>1</v>
      </c>
      <c r="Z46" s="73">
        <f t="shared" si="37"/>
        <v>1</v>
      </c>
      <c r="AA46" s="73">
        <f t="shared" si="37"/>
        <v>1</v>
      </c>
      <c r="AB46" s="73">
        <f t="shared" si="37"/>
        <v>1</v>
      </c>
      <c r="AC46" s="56">
        <f t="shared" si="36"/>
        <v>2.9090909090909089E-11</v>
      </c>
      <c r="AD46" s="56">
        <f t="shared" si="36"/>
        <v>1.5927272727272726E-7</v>
      </c>
      <c r="AE46" s="56">
        <f t="shared" ref="AE46:AE47" si="38">IFERROR(IF(AND(AC46&lt;&gt;0,AD46&lt;&gt;0),1/((1/AC46)+(1/AD46)),IF(AND(AC46&lt;&gt;0,AD46=0),1/((1/AC46)),IF(AND(AC46=0,AD46&lt;&gt;0),1/((1/AD46)),IF(AND(AC46=0,AD46=0),0)))),0)</f>
        <v>2.9085596653164224E-11</v>
      </c>
      <c r="AF46" s="64">
        <f>IFERROR(up_RadSpec!$G$10*AF10,".")*$B$46</f>
        <v>1909703125</v>
      </c>
      <c r="AG46" s="64">
        <f>IFERROR(up_RadSpec!$J$10*AG10,".")*$B$46</f>
        <v>348804.22374429216</v>
      </c>
      <c r="AH46" s="73">
        <f>IFERROR(IF(AF46&gt;0.01,1-EXP(-AF46),AF46),".")</f>
        <v>1</v>
      </c>
      <c r="AI46" s="73">
        <f>IFERROR(IF(AG46&gt;0.01,1-EXP(-AG46),AG46),".")</f>
        <v>1</v>
      </c>
      <c r="AJ46" s="73">
        <f>IFERROR(IF(SUM(AF46:AG46)&gt;0.01,1-EXP(-SUM(AF46:AG46)),SUM(AF46:AG46)),".")</f>
        <v>1</v>
      </c>
    </row>
    <row r="47" spans="1:36" x14ac:dyDescent="0.25">
      <c r="A47" s="55" t="s">
        <v>304</v>
      </c>
      <c r="B47" s="58">
        <v>0.94399</v>
      </c>
      <c r="C47" s="56">
        <f>IFERROR(C6/$B$47,0)</f>
        <v>7.7042418592646884E-9</v>
      </c>
      <c r="D47" s="56">
        <f>IFERROR(D6/$B$47,0)</f>
        <v>9.5605166251270878E-6</v>
      </c>
      <c r="E47" s="56">
        <f>IFERROR(E6/$B$47,0)</f>
        <v>1.1241307978897433E-5</v>
      </c>
      <c r="F47" s="56">
        <f t="shared" si="20"/>
        <v>7.6927704729460632E-9</v>
      </c>
      <c r="G47" s="64">
        <f>IFERROR(up_RadSpec!$I$6*G6,".")*$B$47</f>
        <v>7210962.6118750004</v>
      </c>
      <c r="H47" s="64">
        <f>IFERROR(up_RadSpec!$G$6*H6,".")*$B$47</f>
        <v>5810.8784470903529</v>
      </c>
      <c r="I47" s="64">
        <f>IFERROR(up_RadSpec!$F$6*I6,".")*$B$47</f>
        <v>4942.0405618536324</v>
      </c>
      <c r="J47" s="73">
        <f t="shared" si="34"/>
        <v>1</v>
      </c>
      <c r="K47" s="73">
        <f t="shared" si="34"/>
        <v>1</v>
      </c>
      <c r="L47" s="73">
        <f t="shared" si="34"/>
        <v>1</v>
      </c>
      <c r="M47" s="73">
        <f t="shared" si="35"/>
        <v>1</v>
      </c>
      <c r="N47" s="56">
        <f t="shared" ref="N47:AD47" si="39">IFERROR(N6/$B$47,0)</f>
        <v>1.1241307978897433E-5</v>
      </c>
      <c r="O47" s="56">
        <f t="shared" si="39"/>
        <v>2.0985654256001775E-5</v>
      </c>
      <c r="P47" s="56">
        <f t="shared" si="39"/>
        <v>1.4829758047876025E-5</v>
      </c>
      <c r="Q47" s="56">
        <f t="shared" si="39"/>
        <v>1.2263654992921188E-5</v>
      </c>
      <c r="R47" s="56">
        <f t="shared" si="39"/>
        <v>3.5250747652362082E-5</v>
      </c>
      <c r="S47" s="64">
        <f>IFERROR(up_RadSpec!$F$6*S6,".")*$B47</f>
        <v>4942.0405618536324</v>
      </c>
      <c r="T47" s="64">
        <f>IFERROR(up_RadSpec!$M$6*T6,".")*$B47</f>
        <v>2647.2846317913381</v>
      </c>
      <c r="U47" s="64">
        <f>IFERROR(up_RadSpec!$N$6*U6,".")*$B47</f>
        <v>3746.1838433673433</v>
      </c>
      <c r="V47" s="64">
        <f>IFERROR(up_RadSpec!$O$6*V6,".")*$B47</f>
        <v>4530.0524217345792</v>
      </c>
      <c r="W47" s="64">
        <f>IFERROR(up_RadSpec!$K$6*W6,".")*$B47</f>
        <v>1575.9949419477732</v>
      </c>
      <c r="X47" s="73">
        <f t="shared" si="37"/>
        <v>1</v>
      </c>
      <c r="Y47" s="73">
        <f t="shared" si="37"/>
        <v>1</v>
      </c>
      <c r="Z47" s="73">
        <f t="shared" si="37"/>
        <v>1</v>
      </c>
      <c r="AA47" s="73">
        <f t="shared" si="37"/>
        <v>1</v>
      </c>
      <c r="AB47" s="73">
        <f t="shared" si="37"/>
        <v>1</v>
      </c>
      <c r="AC47" s="56">
        <f t="shared" si="39"/>
        <v>3.0816967437058749E-11</v>
      </c>
      <c r="AD47" s="56">
        <f t="shared" si="39"/>
        <v>1.6872289671789665E-7</v>
      </c>
      <c r="AE47" s="56">
        <f t="shared" si="38"/>
        <v>3.0811339795087044E-11</v>
      </c>
      <c r="AF47" s="64">
        <f>IFERROR(up_RadSpec!$G$6*AF6,".")*$B$47</f>
        <v>1802740652.96875</v>
      </c>
      <c r="AG47" s="64">
        <f>IFERROR(up_RadSpec!$J$6*AG6,".")*$B$47</f>
        <v>329267.69917237438</v>
      </c>
      <c r="AH47" s="73">
        <f>IFERROR(IF(AF47&gt;0.01,1-EXP(-AF47),AF47),".")</f>
        <v>1</v>
      </c>
      <c r="AI47" s="73">
        <f>IFERROR(IF(AG47&gt;0.01,1-EXP(-AG47),AG47),".")</f>
        <v>1</v>
      </c>
      <c r="AJ47" s="73">
        <f>IFERROR(IF(SUM(AF47:AG47)&gt;0.01,1-EXP(-SUM(AF47:AG47)),SUM(AF47:AG47)),".")</f>
        <v>1</v>
      </c>
    </row>
    <row r="48" spans="1:36" x14ac:dyDescent="0.25">
      <c r="A48" s="52" t="s">
        <v>33</v>
      </c>
      <c r="B48" s="52" t="s">
        <v>289</v>
      </c>
      <c r="C48" s="53">
        <f>1/SUM(1/C49,1/C52,1/C54,1/C58,1/C59,1/C61)</f>
        <v>1.2121616579151978E-9</v>
      </c>
      <c r="D48" s="53">
        <f>1/SUM(1/D49,1/D50,1/D51,1/D52,1/D54,1/D58,1/D59,1/D61)</f>
        <v>1.1281572432542275E-6</v>
      </c>
      <c r="E48" s="53">
        <f>1/SUM(1/E49,1/E50,1/E52,1/E54,1/E55,1/E56,1/E57,1/E58,1/E59,1/E60,1/E61,1/E62)</f>
        <v>1.4932650814396889E-6</v>
      </c>
      <c r="F48" s="54">
        <f>1/SUM(1/F49,1/F50,1/F51,1/F52,1/F54,1/F55,1/F56,1/F57,1/F58,1/F59,1/F60,1/F61,1/F62)</f>
        <v>8.070117179186561E-10</v>
      </c>
      <c r="G48" s="71"/>
      <c r="H48" s="71"/>
      <c r="I48" s="71"/>
      <c r="J48" s="72">
        <f>IFERROR(IF(SUM(G49:G62)&gt;0.01,1-EXP(-SUM(G49:G62)),SUM(G49:G62)),".")</f>
        <v>1</v>
      </c>
      <c r="K48" s="72">
        <f>IFERROR(IF(SUM(H49:H62)&gt;0.01,1-EXP(-SUM(H49:H62)),SUM(H49:H62)),".")</f>
        <v>1</v>
      </c>
      <c r="L48" s="72">
        <f>IFERROR(IF(SUM(I49:I62)&gt;0.01,1-EXP(-SUM(I49:I62)),SUM(I49:I62)),".")</f>
        <v>1</v>
      </c>
      <c r="M48" s="72">
        <f>IFERROR(IF(SUM(G49:I62)&gt;0.01,1-EXP(-SUM(G49:I62)),SUM(G49:I62)),".")</f>
        <v>1</v>
      </c>
      <c r="N48" s="53">
        <f t="shared" ref="N48:R48" si="40">1/SUM(1/N49,1/N50,1/N52,1/N54,1/N55,1/N56,1/N57,1/N58,1/N59,1/N60,1/N61,1/N62)</f>
        <v>1.4932650814396889E-6</v>
      </c>
      <c r="O48" s="53">
        <f t="shared" si="40"/>
        <v>2.8109798395345643E-6</v>
      </c>
      <c r="P48" s="53">
        <f t="shared" si="40"/>
        <v>1.9992128403882061E-6</v>
      </c>
      <c r="Q48" s="53">
        <f t="shared" si="40"/>
        <v>1.6917345376476332E-6</v>
      </c>
      <c r="R48" s="53">
        <f t="shared" si="40"/>
        <v>4.8348143812754147E-6</v>
      </c>
      <c r="S48" s="71"/>
      <c r="T48" s="71"/>
      <c r="U48" s="71"/>
      <c r="V48" s="71"/>
      <c r="W48" s="71"/>
      <c r="X48" s="72">
        <f>IFERROR(IF(SUM(S49:S62)&gt;0.01,1-EXP(-SUM(S49:S62)),SUM(S49:S62)),".")</f>
        <v>1</v>
      </c>
      <c r="Y48" s="72">
        <f t="shared" ref="Y48:AB48" si="41">IFERROR(IF(SUM(T49:T62)&gt;0.01,1-EXP(-SUM(T49:T62)),SUM(T49:T62)),".")</f>
        <v>1</v>
      </c>
      <c r="Z48" s="72">
        <f t="shared" si="41"/>
        <v>1</v>
      </c>
      <c r="AA48" s="72">
        <f t="shared" si="41"/>
        <v>1</v>
      </c>
      <c r="AB48" s="72">
        <f t="shared" si="41"/>
        <v>1</v>
      </c>
      <c r="AC48" s="53">
        <f>1/SUM(1/AC49,1/AC50,1/AC51,1/AC52,1/AC54,1/AC58,1/AC59,1/AC61)</f>
        <v>3.6364546386409682E-12</v>
      </c>
      <c r="AD48" s="53">
        <f t="shared" ref="AD48:AE48" si="42">1/SUM(1/AD49,1/AD50,1/AD51,1/AD52,1/AD53,1/AD54,1/AD55,1/AD56,1/AD57,1/AD58,1/AD59,1/AD60,1/AD61,1/AD62)</f>
        <v>1.7696967026694004E-8</v>
      </c>
      <c r="AE48" s="54">
        <f t="shared" si="42"/>
        <v>3.2317324738301693E-12</v>
      </c>
      <c r="AF48" s="71"/>
      <c r="AG48" s="71"/>
      <c r="AH48" s="72">
        <f>IFERROR(IF(SUM(AF49:AF62)&gt;0.01,1-EXP(-SUM(AF49:AF62)),SUM(AF49:AF62)),".")</f>
        <v>1</v>
      </c>
      <c r="AI48" s="72">
        <f>IFERROR(IF(SUM(AG49:AG62)&gt;0.01,1-EXP(-SUM(AG49:AG62)),SUM(AG49:AG62)),".")</f>
        <v>1</v>
      </c>
      <c r="AJ48" s="72">
        <f>IFERROR(IF(SUM(AF49:AG62)&gt;0.01,1-EXP(-SUM(AF49:AG62)),SUM(AF49:AG62)),".")</f>
        <v>1</v>
      </c>
    </row>
    <row r="49" spans="1:36" x14ac:dyDescent="0.25">
      <c r="A49" s="55" t="s">
        <v>305</v>
      </c>
      <c r="B49" s="50">
        <v>1</v>
      </c>
      <c r="C49" s="56">
        <f>IFERROR(C23/$B49,0)</f>
        <v>7.2727272727272728E-9</v>
      </c>
      <c r="D49" s="56">
        <f>IFERROR(D23/$B49,0)</f>
        <v>9.0250320889537196E-6</v>
      </c>
      <c r="E49" s="56">
        <f>IFERROR(E23/$B49,0)</f>
        <v>8.7509808832122842E-6</v>
      </c>
      <c r="F49" s="56">
        <f t="shared" si="20"/>
        <v>7.2608418905717984E-9</v>
      </c>
      <c r="G49" s="64">
        <f>IFERROR(up_RadSpec!$I$23*G23,".")*$B$49</f>
        <v>7638812.5</v>
      </c>
      <c r="H49" s="64">
        <f>IFERROR(up_RadSpec!$G$23*H23,".")*$B$49</f>
        <v>6155.6567835362166</v>
      </c>
      <c r="I49" s="64">
        <f>IFERROR(up_RadSpec!$F$23*I23,".")*$B$49</f>
        <v>6348.4311920479277</v>
      </c>
      <c r="J49" s="73">
        <f t="shared" ref="J49:L62" si="43">IFERROR(IF(G49&gt;0.01,1-EXP(-G49),G49),".")</f>
        <v>1</v>
      </c>
      <c r="K49" s="73">
        <f t="shared" si="43"/>
        <v>1</v>
      </c>
      <c r="L49" s="73">
        <f t="shared" si="43"/>
        <v>1</v>
      </c>
      <c r="M49" s="73">
        <f t="shared" ref="M49:M62" si="44">IFERROR(IF(SUM(G49:I49)&gt;0.01,1-EXP(-SUM(G49:I49)),SUM(G49:I49)),".")</f>
        <v>1</v>
      </c>
      <c r="N49" s="56">
        <f t="shared" ref="N49:AD49" si="45">IFERROR(N23/$B49,0)</f>
        <v>8.7509808832122842E-6</v>
      </c>
      <c r="O49" s="56">
        <f t="shared" si="45"/>
        <v>1.5576910604259011E-5</v>
      </c>
      <c r="P49" s="56">
        <f t="shared" si="45"/>
        <v>1.1014828321418573E-5</v>
      </c>
      <c r="Q49" s="56">
        <f t="shared" si="45"/>
        <v>9.0137862137862116E-6</v>
      </c>
      <c r="R49" s="56">
        <f t="shared" si="45"/>
        <v>2.4520489219518339E-5</v>
      </c>
      <c r="S49" s="64">
        <f>IFERROR(up_RadSpec!$F$23*S23,".")*$B$49</f>
        <v>6348.4311920479277</v>
      </c>
      <c r="T49" s="64">
        <f>IFERROR(up_RadSpec!$M$23*T23,".")*$B$49</f>
        <v>3566.4966829051618</v>
      </c>
      <c r="U49" s="64">
        <f>IFERROR(up_RadSpec!$N$23*U23,".")*$B$49</f>
        <v>5043.6555503976479</v>
      </c>
      <c r="V49" s="64">
        <f>IFERROR(up_RadSpec!$O$23*V23,".")*$B$49</f>
        <v>6163.3367690739024</v>
      </c>
      <c r="W49" s="64">
        <f>IFERROR(up_RadSpec!$K$23*W23,".")*$B$49</f>
        <v>2265.6562641408532</v>
      </c>
      <c r="X49" s="73">
        <f t="shared" ref="X49:AB62" si="46">IFERROR(IF(S49&gt;0.01,1-EXP(-S49),S49),".")</f>
        <v>1</v>
      </c>
      <c r="Y49" s="73">
        <f t="shared" si="46"/>
        <v>1</v>
      </c>
      <c r="Z49" s="73">
        <f t="shared" si="46"/>
        <v>1</v>
      </c>
      <c r="AA49" s="73">
        <f t="shared" si="46"/>
        <v>1</v>
      </c>
      <c r="AB49" s="73">
        <f t="shared" si="46"/>
        <v>1</v>
      </c>
      <c r="AC49" s="56">
        <f t="shared" si="45"/>
        <v>2.9090909090909089E-11</v>
      </c>
      <c r="AD49" s="56">
        <f t="shared" si="45"/>
        <v>1.5927272727272726E-7</v>
      </c>
      <c r="AE49" s="56">
        <f t="shared" ref="AE49:AE62" si="47">IFERROR(IF(AND(AC49&lt;&gt;0,AD49&lt;&gt;0),1/((1/AC49)+(1/AD49)),IF(AND(AC49&lt;&gt;0,AD49=0),1/((1/AC49)),IF(AND(AC49=0,AD49&lt;&gt;0),1/((1/AD49)),IF(AND(AC49=0,AD49=0),0)))),0)</f>
        <v>2.9085596653164224E-11</v>
      </c>
      <c r="AF49" s="64">
        <f>IFERROR(up_RadSpec!$G$23*AF23,".")*$B$49</f>
        <v>1909703125</v>
      </c>
      <c r="AG49" s="64">
        <f>IFERROR(up_RadSpec!$J$23*AG23,".")*$B$49</f>
        <v>348804.22374429216</v>
      </c>
      <c r="AH49" s="73">
        <f t="shared" ref="AH49:AI62" si="48">IFERROR(IF(AF49&gt;0.01,1-EXP(-AF49),AF49),".")</f>
        <v>1</v>
      </c>
      <c r="AI49" s="73">
        <f t="shared" si="48"/>
        <v>1</v>
      </c>
      <c r="AJ49" s="73">
        <f t="shared" ref="AJ49:AJ62" si="49">IFERROR(IF(SUM(AF49:AG49)&gt;0.01,1-EXP(-SUM(AF49:AG49)),SUM(AF49:AG49)),".")</f>
        <v>1</v>
      </c>
    </row>
    <row r="50" spans="1:36" x14ac:dyDescent="0.25">
      <c r="A50" s="55" t="s">
        <v>306</v>
      </c>
      <c r="B50" s="50">
        <v>1</v>
      </c>
      <c r="C50" s="56">
        <f>IFERROR(C25/$B50,0)</f>
        <v>7.2727272727272728E-9</v>
      </c>
      <c r="D50" s="56">
        <f>IFERROR(D25/$B50,0)</f>
        <v>9.0250320889537196E-6</v>
      </c>
      <c r="E50" s="56">
        <f>IFERROR(E25/$B50,0)</f>
        <v>1.2792990142387735E-5</v>
      </c>
      <c r="F50" s="56">
        <f t="shared" si="20"/>
        <v>7.2627458440391863E-9</v>
      </c>
      <c r="G50" s="64">
        <f>IFERROR(up_RadSpec!$I$25*G25,".")*$B$50</f>
        <v>7638812.5</v>
      </c>
      <c r="H50" s="64">
        <f>IFERROR(up_RadSpec!$G$25*H25,".")*$B$50</f>
        <v>6155.6567835362166</v>
      </c>
      <c r="I50" s="64">
        <f>IFERROR(up_RadSpec!$F$25*I25,".")*$B$50</f>
        <v>4342.6125856164381</v>
      </c>
      <c r="J50" s="73">
        <f t="shared" si="43"/>
        <v>1</v>
      </c>
      <c r="K50" s="73">
        <f t="shared" si="43"/>
        <v>1</v>
      </c>
      <c r="L50" s="73">
        <f t="shared" si="43"/>
        <v>1</v>
      </c>
      <c r="M50" s="73">
        <f t="shared" si="44"/>
        <v>1</v>
      </c>
      <c r="N50" s="56">
        <f t="shared" ref="N50:AD50" si="50">IFERROR(N25/$B50,0)</f>
        <v>1.2792990142387735E-5</v>
      </c>
      <c r="O50" s="56">
        <f t="shared" si="50"/>
        <v>2.290959063840419E-5</v>
      </c>
      <c r="P50" s="56">
        <f t="shared" si="50"/>
        <v>1.6433173568005031E-5</v>
      </c>
      <c r="Q50" s="56">
        <f t="shared" si="50"/>
        <v>1.4674410335427284E-5</v>
      </c>
      <c r="R50" s="56">
        <f t="shared" si="50"/>
        <v>4.1074380165289243E-5</v>
      </c>
      <c r="S50" s="64">
        <f>IFERROR(up_RadSpec!$F$25*S25,".")*$B$50</f>
        <v>4342.6125856164381</v>
      </c>
      <c r="T50" s="64">
        <f>IFERROR(up_RadSpec!$M$25*T25,".")*$B$50</f>
        <v>2424.9669440566568</v>
      </c>
      <c r="U50" s="64">
        <f>IFERROR(up_RadSpec!$N$25*U25,".")*$B$50</f>
        <v>3380.6616701331595</v>
      </c>
      <c r="V50" s="64">
        <f>IFERROR(up_RadSpec!$O$25*V25,".")*$B$50</f>
        <v>3785.8420699793219</v>
      </c>
      <c r="W50" s="64">
        <f>IFERROR(up_RadSpec!$K$25*W25,".")*$B$50</f>
        <v>1352.5462776659961</v>
      </c>
      <c r="X50" s="73">
        <f t="shared" si="46"/>
        <v>1</v>
      </c>
      <c r="Y50" s="73">
        <f t="shared" si="46"/>
        <v>1</v>
      </c>
      <c r="Z50" s="73">
        <f t="shared" si="46"/>
        <v>1</v>
      </c>
      <c r="AA50" s="73">
        <f t="shared" si="46"/>
        <v>1</v>
      </c>
      <c r="AB50" s="73">
        <f t="shared" si="46"/>
        <v>1</v>
      </c>
      <c r="AC50" s="56">
        <f t="shared" si="50"/>
        <v>2.9090909090909089E-11</v>
      </c>
      <c r="AD50" s="56">
        <f t="shared" si="50"/>
        <v>1.5927272727272726E-7</v>
      </c>
      <c r="AE50" s="56">
        <f t="shared" si="47"/>
        <v>2.9085596653164224E-11</v>
      </c>
      <c r="AF50" s="64">
        <f>IFERROR(up_RadSpec!$G$25*AF$25,".")*$B$50</f>
        <v>1909703125</v>
      </c>
      <c r="AG50" s="64">
        <f>IFERROR(up_RadSpec!$J$25*AG25,".")*$B$50</f>
        <v>348804.22374429216</v>
      </c>
      <c r="AH50" s="73">
        <f t="shared" si="48"/>
        <v>1</v>
      </c>
      <c r="AI50" s="73">
        <f t="shared" si="48"/>
        <v>1</v>
      </c>
      <c r="AJ50" s="73">
        <f t="shared" si="49"/>
        <v>1</v>
      </c>
    </row>
    <row r="51" spans="1:36" x14ac:dyDescent="0.25">
      <c r="A51" s="55" t="s">
        <v>307</v>
      </c>
      <c r="B51" s="50">
        <v>1</v>
      </c>
      <c r="C51" s="56">
        <f>IFERROR(C21/$B51,0)</f>
        <v>7.2727272727272728E-9</v>
      </c>
      <c r="D51" s="56">
        <f>IFERROR(D21/$B51,0)</f>
        <v>9.0250320889537196E-6</v>
      </c>
      <c r="E51" s="56">
        <f>IFERROR(E21/$B51,0)</f>
        <v>0</v>
      </c>
      <c r="F51" s="56">
        <f t="shared" si="20"/>
        <v>7.2668713408184592E-9</v>
      </c>
      <c r="G51" s="64">
        <f>IFERROR(up_RadSpec!$I$21*G21,".")*$B$51</f>
        <v>7638812.5</v>
      </c>
      <c r="H51" s="64">
        <f>IFERROR(up_RadSpec!$G$21*H21,".")*$B$51</f>
        <v>6155.6567835362166</v>
      </c>
      <c r="I51" s="64">
        <f>IFERROR(up_RadSpec!$F$21*I21,".")*$B$51</f>
        <v>0</v>
      </c>
      <c r="J51" s="73">
        <f t="shared" si="43"/>
        <v>1</v>
      </c>
      <c r="K51" s="73">
        <f t="shared" si="43"/>
        <v>1</v>
      </c>
      <c r="L51" s="73">
        <f t="shared" si="43"/>
        <v>0</v>
      </c>
      <c r="M51" s="73">
        <f t="shared" si="44"/>
        <v>1</v>
      </c>
      <c r="N51" s="56">
        <f t="shared" ref="N51:AD51" si="51">IFERROR(N21/$B51,0)</f>
        <v>0</v>
      </c>
      <c r="O51" s="56">
        <f t="shared" si="51"/>
        <v>0</v>
      </c>
      <c r="P51" s="56">
        <f t="shared" si="51"/>
        <v>0</v>
      </c>
      <c r="Q51" s="56">
        <f t="shared" si="51"/>
        <v>0</v>
      </c>
      <c r="R51" s="56">
        <f t="shared" si="51"/>
        <v>0</v>
      </c>
      <c r="S51" s="64">
        <f>IFERROR(up_RadSpec!$F$21*S21,".")*$B$51</f>
        <v>0</v>
      </c>
      <c r="T51" s="64">
        <f>IFERROR(up_RadSpec!$M$21*T21,".")*$B$51</f>
        <v>0</v>
      </c>
      <c r="U51" s="64">
        <f>IFERROR(up_RadSpec!$N$21*U21,".")*$B$51</f>
        <v>0</v>
      </c>
      <c r="V51" s="64">
        <f>IFERROR(up_RadSpec!$O$21*V21,".")*$B$51</f>
        <v>0</v>
      </c>
      <c r="W51" s="64">
        <f>IFERROR(up_RadSpec!$K$21*W21,".")*$B$51</f>
        <v>0</v>
      </c>
      <c r="X51" s="73">
        <f t="shared" si="46"/>
        <v>0</v>
      </c>
      <c r="Y51" s="73">
        <f t="shared" si="46"/>
        <v>0</v>
      </c>
      <c r="Z51" s="73">
        <f t="shared" si="46"/>
        <v>0</v>
      </c>
      <c r="AA51" s="73">
        <f t="shared" si="46"/>
        <v>0</v>
      </c>
      <c r="AB51" s="73">
        <f t="shared" si="46"/>
        <v>0</v>
      </c>
      <c r="AC51" s="56">
        <f t="shared" si="51"/>
        <v>2.9090909090909089E-11</v>
      </c>
      <c r="AD51" s="56">
        <f t="shared" si="51"/>
        <v>1.5927272727272726E-7</v>
      </c>
      <c r="AE51" s="56">
        <f t="shared" si="47"/>
        <v>2.9085596653164224E-11</v>
      </c>
      <c r="AF51" s="64">
        <f>IFERROR(up_RadSpec!$G$21*AF21,".")*$B$51</f>
        <v>1909703125</v>
      </c>
      <c r="AG51" s="64">
        <f>IFERROR(up_RadSpec!$J$21*AG21,".")*$B$51</f>
        <v>348804.22374429216</v>
      </c>
      <c r="AH51" s="73">
        <f t="shared" si="48"/>
        <v>1</v>
      </c>
      <c r="AI51" s="73">
        <f t="shared" si="48"/>
        <v>1</v>
      </c>
      <c r="AJ51" s="73">
        <f t="shared" si="49"/>
        <v>1</v>
      </c>
    </row>
    <row r="52" spans="1:36" x14ac:dyDescent="0.25">
      <c r="A52" s="55" t="s">
        <v>308</v>
      </c>
      <c r="B52" s="58">
        <v>0.99980000000000002</v>
      </c>
      <c r="C52" s="56">
        <f>IFERROR(C17/$B52,0)</f>
        <v>7.2741821091491028E-9</v>
      </c>
      <c r="D52" s="56">
        <f>IFERROR(D17/$B52,0)</f>
        <v>9.0268374564450091E-6</v>
      </c>
      <c r="E52" s="56">
        <f>IFERROR(E17/$B52,0)</f>
        <v>1.7585571423611748E-5</v>
      </c>
      <c r="F52" s="56">
        <f t="shared" si="20"/>
        <v>7.2653221620976829E-9</v>
      </c>
      <c r="G52" s="64">
        <f>IFERROR(up_RadSpec!$I$17*G17,".")*$B$52</f>
        <v>7637284.7374999998</v>
      </c>
      <c r="H52" s="64">
        <f>IFERROR(up_RadSpec!$G$17*H17,".")*$B$52</f>
        <v>6154.4256521795096</v>
      </c>
      <c r="I52" s="64">
        <f>IFERROR(up_RadSpec!$F$17*I17,".")*$B$52</f>
        <v>3159.1239580311594</v>
      </c>
      <c r="J52" s="73">
        <f t="shared" si="43"/>
        <v>1</v>
      </c>
      <c r="K52" s="73">
        <f t="shared" si="43"/>
        <v>1</v>
      </c>
      <c r="L52" s="73">
        <f t="shared" si="43"/>
        <v>1</v>
      </c>
      <c r="M52" s="73">
        <f t="shared" si="44"/>
        <v>1</v>
      </c>
      <c r="N52" s="56">
        <f t="shared" ref="N52:AD52" si="52">IFERROR(N17/$B52,0)</f>
        <v>1.7585571423611748E-5</v>
      </c>
      <c r="O52" s="56">
        <f t="shared" si="52"/>
        <v>3.073446380198182E-5</v>
      </c>
      <c r="P52" s="56">
        <f t="shared" si="52"/>
        <v>2.3155788426489627E-5</v>
      </c>
      <c r="Q52" s="56">
        <f t="shared" si="52"/>
        <v>2.0590855862606458E-5</v>
      </c>
      <c r="R52" s="56">
        <f t="shared" si="52"/>
        <v>5.8891415779615851E-5</v>
      </c>
      <c r="S52" s="64">
        <f>IFERROR(up_RadSpec!$F$17*S17,".")*$B$52</f>
        <v>3159.1239580311594</v>
      </c>
      <c r="T52" s="64">
        <f>IFERROR(up_RadSpec!$M$17*T17,".")*$B$52</f>
        <v>1807.5799323500048</v>
      </c>
      <c r="U52" s="64">
        <f>IFERROR(up_RadSpec!$N$17*U17,".")*$B$52</f>
        <v>2399.184125229202</v>
      </c>
      <c r="V52" s="64">
        <f>IFERROR(up_RadSpec!$O$17*V17,".")*$B$52</f>
        <v>2698.0422946328017</v>
      </c>
      <c r="W52" s="64">
        <f>IFERROR(up_RadSpec!$K$17*W17,".")*$B$52</f>
        <v>943.34631396702321</v>
      </c>
      <c r="X52" s="73">
        <f t="shared" si="46"/>
        <v>1</v>
      </c>
      <c r="Y52" s="73">
        <f t="shared" si="46"/>
        <v>1</v>
      </c>
      <c r="Z52" s="73">
        <f t="shared" si="46"/>
        <v>1</v>
      </c>
      <c r="AA52" s="73">
        <f t="shared" si="46"/>
        <v>1</v>
      </c>
      <c r="AB52" s="73">
        <f t="shared" si="46"/>
        <v>1</v>
      </c>
      <c r="AC52" s="56">
        <f t="shared" si="52"/>
        <v>2.9096728436596409E-11</v>
      </c>
      <c r="AD52" s="56">
        <f t="shared" si="52"/>
        <v>1.5930458819036533E-7</v>
      </c>
      <c r="AE52" s="56">
        <f t="shared" si="47"/>
        <v>2.909141493615145E-11</v>
      </c>
      <c r="AF52" s="64">
        <f>IFERROR(up_RadSpec!$G$17*AF17,".")*$B$52</f>
        <v>1909321184.375</v>
      </c>
      <c r="AG52" s="64">
        <f>IFERROR(up_RadSpec!$J$17*AG17,".")*$B$52</f>
        <v>348734.46289954329</v>
      </c>
      <c r="AH52" s="73">
        <f t="shared" si="48"/>
        <v>1</v>
      </c>
      <c r="AI52" s="73">
        <f t="shared" si="48"/>
        <v>1</v>
      </c>
      <c r="AJ52" s="73">
        <f t="shared" si="49"/>
        <v>1</v>
      </c>
    </row>
    <row r="53" spans="1:36" x14ac:dyDescent="0.25">
      <c r="A53" s="55" t="s">
        <v>309</v>
      </c>
      <c r="B53" s="50">
        <v>2.0000000000000001E-4</v>
      </c>
      <c r="C53" s="56">
        <f>IFERROR(C5/$B53,0)</f>
        <v>3.6363636363636364E-5</v>
      </c>
      <c r="D53" s="56">
        <f>IFERROR(D5/$B53,0)</f>
        <v>4.5125160444768594E-2</v>
      </c>
      <c r="E53" s="56">
        <f>IFERROR(E5/$B53,0)</f>
        <v>0</v>
      </c>
      <c r="F53" s="56">
        <f t="shared" si="20"/>
        <v>3.6334356704092297E-5</v>
      </c>
      <c r="G53" s="64">
        <f>IFERROR(up_RadSpec!$I$5*G5,".")*$B$53</f>
        <v>1527.7625</v>
      </c>
      <c r="H53" s="64">
        <f>IFERROR(up_RadSpec!$G$5*H5,".")*$B$53</f>
        <v>1.2311313567072433</v>
      </c>
      <c r="I53" s="64">
        <f>IFERROR(up_RadSpec!$F$5*I5,".")*$B$53</f>
        <v>0</v>
      </c>
      <c r="J53" s="73">
        <f t="shared" si="43"/>
        <v>1</v>
      </c>
      <c r="K53" s="73">
        <f t="shared" si="43"/>
        <v>0.70803792249532926</v>
      </c>
      <c r="L53" s="73">
        <f t="shared" si="43"/>
        <v>0</v>
      </c>
      <c r="M53" s="73">
        <f t="shared" si="44"/>
        <v>1</v>
      </c>
      <c r="N53" s="56">
        <f t="shared" ref="N53:AD53" si="53">IFERROR(N5/$B53,0)</f>
        <v>0</v>
      </c>
      <c r="O53" s="56">
        <f t="shared" si="53"/>
        <v>0</v>
      </c>
      <c r="P53" s="56">
        <f t="shared" si="53"/>
        <v>0</v>
      </c>
      <c r="Q53" s="56">
        <f t="shared" si="53"/>
        <v>0</v>
      </c>
      <c r="R53" s="56">
        <f t="shared" si="53"/>
        <v>0</v>
      </c>
      <c r="S53" s="64">
        <f>IFERROR(up_RadSpec!$F$5*S5,".")*$B$53</f>
        <v>0</v>
      </c>
      <c r="T53" s="64">
        <f>IFERROR(up_RadSpec!$M$5*T5,".")*$B$53</f>
        <v>0</v>
      </c>
      <c r="U53" s="64">
        <f>IFERROR(up_RadSpec!$N$5*U5,".")*$B$53</f>
        <v>0</v>
      </c>
      <c r="V53" s="64">
        <f>IFERROR(up_RadSpec!$O$5*V5,".")*$B$53</f>
        <v>0</v>
      </c>
      <c r="W53" s="64">
        <f>IFERROR(up_RadSpec!$K$5*W5,".")*$B$53</f>
        <v>0</v>
      </c>
      <c r="X53" s="73">
        <f t="shared" si="46"/>
        <v>0</v>
      </c>
      <c r="Y53" s="73">
        <f t="shared" si="46"/>
        <v>0</v>
      </c>
      <c r="Z53" s="73">
        <f t="shared" si="46"/>
        <v>0</v>
      </c>
      <c r="AA53" s="73">
        <f t="shared" si="46"/>
        <v>0</v>
      </c>
      <c r="AB53" s="73">
        <f t="shared" si="46"/>
        <v>0</v>
      </c>
      <c r="AC53" s="56">
        <f t="shared" si="53"/>
        <v>1.4545454545454543E-7</v>
      </c>
      <c r="AD53" s="56">
        <f t="shared" si="53"/>
        <v>7.9636363636363628E-4</v>
      </c>
      <c r="AE53" s="56">
        <f t="shared" si="47"/>
        <v>1.4542798326582108E-7</v>
      </c>
      <c r="AF53" s="64">
        <f>IFERROR(up_RadSpec!$G$5*AF5,".")*$B$53</f>
        <v>381940.625</v>
      </c>
      <c r="AG53" s="64">
        <f>IFERROR(up_RadSpec!$J$5*AG5,".")*$B$53</f>
        <v>69.760844748858432</v>
      </c>
      <c r="AH53" s="73">
        <f t="shared" si="48"/>
        <v>1</v>
      </c>
      <c r="AI53" s="73">
        <f t="shared" si="48"/>
        <v>1</v>
      </c>
      <c r="AJ53" s="73">
        <f t="shared" si="49"/>
        <v>1</v>
      </c>
    </row>
    <row r="54" spans="1:36" x14ac:dyDescent="0.25">
      <c r="A54" s="55" t="s">
        <v>310</v>
      </c>
      <c r="B54" s="50">
        <v>0.99999979999999999</v>
      </c>
      <c r="C54" s="56">
        <f>IFERROR(C9/$B54,0)</f>
        <v>7.2727287272730187E-9</v>
      </c>
      <c r="D54" s="56">
        <f>IFERROR(D9/$B54,0)</f>
        <v>9.0250338939604981E-6</v>
      </c>
      <c r="E54" s="56">
        <f>IFERROR(E9/$B54,0)</f>
        <v>6.5005466263427216E-6</v>
      </c>
      <c r="F54" s="56">
        <f t="shared" si="20"/>
        <v>7.2587583268355892E-9</v>
      </c>
      <c r="G54" s="64">
        <f>IFERROR(up_RadSpec!$I$9*G9,".")*$B$54</f>
        <v>7638810.9722375004</v>
      </c>
      <c r="H54" s="64">
        <f>IFERROR(up_RadSpec!$G$9*H9,".")*$B$54</f>
        <v>6155.6555524048599</v>
      </c>
      <c r="I54" s="64">
        <f>IFERROR(up_RadSpec!$F$9*I9,".")*$B$54</f>
        <v>8546.204372239974</v>
      </c>
      <c r="J54" s="73">
        <f t="shared" si="43"/>
        <v>1</v>
      </c>
      <c r="K54" s="73">
        <f t="shared" si="43"/>
        <v>1</v>
      </c>
      <c r="L54" s="73">
        <f t="shared" si="43"/>
        <v>1</v>
      </c>
      <c r="M54" s="73">
        <f t="shared" si="44"/>
        <v>1</v>
      </c>
      <c r="N54" s="56">
        <f t="shared" ref="N54:AD54" si="54">IFERROR(N9/$B54,0)</f>
        <v>6.5005466263427216E-6</v>
      </c>
      <c r="O54" s="56">
        <f t="shared" si="54"/>
        <v>1.3314207208295994E-5</v>
      </c>
      <c r="P54" s="56">
        <f t="shared" si="54"/>
        <v>9.3681367295272965E-6</v>
      </c>
      <c r="Q54" s="56">
        <f t="shared" si="54"/>
        <v>7.7223155940498947E-6</v>
      </c>
      <c r="R54" s="56">
        <f t="shared" si="54"/>
        <v>2.3583182102630712E-5</v>
      </c>
      <c r="S54" s="64">
        <f>IFERROR(up_RadSpec!$F$9*S9,".")*$B$54</f>
        <v>8546.204372239974</v>
      </c>
      <c r="T54" s="64">
        <f>IFERROR(up_RadSpec!$M$9*T9,".")*$B$54</f>
        <v>4172.6104401758175</v>
      </c>
      <c r="U54" s="64">
        <f>IFERROR(up_RadSpec!$N$9*U9,".")*$B$54</f>
        <v>5930.2080663379911</v>
      </c>
      <c r="V54" s="64">
        <f>IFERROR(up_RadSpec!$O$9*V9,".")*$B$54</f>
        <v>7194.0856759086037</v>
      </c>
      <c r="W54" s="64">
        <f>IFERROR(up_RadSpec!$K$9*W9,".")*$B$54</f>
        <v>2355.7041521467454</v>
      </c>
      <c r="X54" s="73">
        <f t="shared" si="46"/>
        <v>1</v>
      </c>
      <c r="Y54" s="73">
        <f t="shared" si="46"/>
        <v>1</v>
      </c>
      <c r="Z54" s="73">
        <f t="shared" si="46"/>
        <v>1</v>
      </c>
      <c r="AA54" s="73">
        <f t="shared" si="46"/>
        <v>1</v>
      </c>
      <c r="AB54" s="73">
        <f t="shared" si="46"/>
        <v>1</v>
      </c>
      <c r="AC54" s="56">
        <f t="shared" si="54"/>
        <v>2.909091490909207E-11</v>
      </c>
      <c r="AD54" s="56">
        <f t="shared" si="54"/>
        <v>1.5927275912727909E-7</v>
      </c>
      <c r="AE54" s="56">
        <f t="shared" si="47"/>
        <v>2.9085602470284717E-11</v>
      </c>
      <c r="AF54" s="64">
        <f>IFERROR(up_RadSpec!$G$9*AF9,".")*$B$54</f>
        <v>1909702743.059375</v>
      </c>
      <c r="AG54" s="64">
        <f>IFERROR(up_RadSpec!$J$9*AG9,".")*$B$54</f>
        <v>348804.15398344741</v>
      </c>
      <c r="AH54" s="73">
        <f t="shared" si="48"/>
        <v>1</v>
      </c>
      <c r="AI54" s="73">
        <f t="shared" si="48"/>
        <v>1</v>
      </c>
      <c r="AJ54" s="73">
        <f t="shared" si="49"/>
        <v>1</v>
      </c>
    </row>
    <row r="55" spans="1:36" x14ac:dyDescent="0.25">
      <c r="A55" s="55" t="s">
        <v>311</v>
      </c>
      <c r="B55" s="50">
        <v>1.9999999999999999E-7</v>
      </c>
      <c r="C55" s="56">
        <f>IFERROR(C24/$B55,0)</f>
        <v>3.6363636363636369E-2</v>
      </c>
      <c r="D55" s="56">
        <f>IFERROR(D24/$B55,0)</f>
        <v>45.125160444768603</v>
      </c>
      <c r="E55" s="56">
        <f>IFERROR(E24/$B55,0)</f>
        <v>57.359202844475682</v>
      </c>
      <c r="F55" s="56">
        <f t="shared" si="20"/>
        <v>3.6311355168755631E-2</v>
      </c>
      <c r="G55" s="64">
        <f>IFERROR(up_RadSpec!$I$24*G24,".")*$B$55</f>
        <v>1.5277624999999999</v>
      </c>
      <c r="H55" s="64">
        <f>IFERROR(up_RadSpec!$G$24*H24,".")*$B$55</f>
        <v>1.2311313567072433E-3</v>
      </c>
      <c r="I55" s="64">
        <f>IFERROR(up_RadSpec!$F$24*I24,".")*$B$55</f>
        <v>9.6854553837912255E-4</v>
      </c>
      <c r="J55" s="73">
        <f t="shared" si="43"/>
        <v>0.7829792916911219</v>
      </c>
      <c r="K55" s="73">
        <f t="shared" si="43"/>
        <v>1.2311313567072433E-3</v>
      </c>
      <c r="L55" s="73">
        <f t="shared" si="43"/>
        <v>9.6854553837912255E-4</v>
      </c>
      <c r="M55" s="73">
        <f t="shared" si="44"/>
        <v>0.78345614247784201</v>
      </c>
      <c r="N55" s="56">
        <f t="shared" ref="N55:AD55" si="55">IFERROR(N24/$B55,0)</f>
        <v>57.359202844475682</v>
      </c>
      <c r="O55" s="56">
        <f t="shared" si="55"/>
        <v>103.99309302827544</v>
      </c>
      <c r="P55" s="56">
        <f t="shared" si="55"/>
        <v>73.425843503879179</v>
      </c>
      <c r="Q55" s="56">
        <f t="shared" si="55"/>
        <v>61.315340034157401</v>
      </c>
      <c r="R55" s="56">
        <f t="shared" si="55"/>
        <v>172.83716283716277</v>
      </c>
      <c r="S55" s="64">
        <f>IFERROR(up_RadSpec!$F$24*S24,".")*$B$55</f>
        <v>9.6854553837912255E-4</v>
      </c>
      <c r="T55" s="64">
        <f>IFERROR(up_RadSpec!$M$24*T24,".")*$B$55</f>
        <v>5.3421817144043155E-4</v>
      </c>
      <c r="U55" s="64">
        <f>IFERROR(up_RadSpec!$N$24*U24,".")*$B$55</f>
        <v>7.5661371186106917E-4</v>
      </c>
      <c r="V55" s="64">
        <f>IFERROR(up_RadSpec!$O$24*V24,".")*$B$55</f>
        <v>9.0605385159817336E-4</v>
      </c>
      <c r="W55" s="64">
        <f>IFERROR(up_RadSpec!$K$24*W24,".")*$B$55</f>
        <v>3.2142971504537309E-4</v>
      </c>
      <c r="X55" s="73">
        <f t="shared" si="46"/>
        <v>9.6854553837912255E-4</v>
      </c>
      <c r="Y55" s="73">
        <f t="shared" si="46"/>
        <v>5.3421817144043155E-4</v>
      </c>
      <c r="Z55" s="73">
        <f t="shared" si="46"/>
        <v>7.5661371186106917E-4</v>
      </c>
      <c r="AA55" s="73">
        <f t="shared" si="46"/>
        <v>9.0605385159817336E-4</v>
      </c>
      <c r="AB55" s="73">
        <f t="shared" si="46"/>
        <v>3.2142971504537309E-4</v>
      </c>
      <c r="AC55" s="56">
        <f t="shared" si="55"/>
        <v>1.4545454545454546E-4</v>
      </c>
      <c r="AD55" s="56">
        <f t="shared" si="55"/>
        <v>0.79636363636363638</v>
      </c>
      <c r="AE55" s="56">
        <f t="shared" si="47"/>
        <v>1.4542798326582112E-4</v>
      </c>
      <c r="AF55" s="64">
        <f>IFERROR(up_RadSpec!$G$24*AF24,".")*$B$55</f>
        <v>381.94062499999995</v>
      </c>
      <c r="AG55" s="64">
        <f>IFERROR(up_RadSpec!$J$24*AG24,".")*$B$55</f>
        <v>6.9760844748858436E-2</v>
      </c>
      <c r="AH55" s="73">
        <f t="shared" si="48"/>
        <v>1</v>
      </c>
      <c r="AI55" s="73">
        <f t="shared" si="48"/>
        <v>6.7383166549522144E-2</v>
      </c>
      <c r="AJ55" s="73">
        <f t="shared" si="49"/>
        <v>1</v>
      </c>
    </row>
    <row r="56" spans="1:36" x14ac:dyDescent="0.25">
      <c r="A56" s="55" t="s">
        <v>312</v>
      </c>
      <c r="B56" s="50">
        <v>0.99979000004200003</v>
      </c>
      <c r="C56" s="56">
        <f>IFERROR(C20/$B56,0)</f>
        <v>7.2742548659436024E-9</v>
      </c>
      <c r="D56" s="56">
        <f>IFERROR(D20/$B56,0)</f>
        <v>9.0269277434007028E-6</v>
      </c>
      <c r="E56" s="56">
        <f>IFERROR(E20/$B56,0)</f>
        <v>8.9867401056842018E-6</v>
      </c>
      <c r="F56" s="56">
        <f t="shared" si="20"/>
        <v>7.2625238375382385E-9</v>
      </c>
      <c r="G56" s="64">
        <f>IFERROR(up_RadSpec!$I$20*G20,".")*$B$56</f>
        <v>7637208.3496958306</v>
      </c>
      <c r="H56" s="64">
        <f>IFERROR(up_RadSpec!$G$20*H20,".")*$B$56</f>
        <v>6154.3640958702117</v>
      </c>
      <c r="I56" s="64">
        <f>IFERROR(up_RadSpec!$F$20*I20,".")*$B$56</f>
        <v>6181.8856834260632</v>
      </c>
      <c r="J56" s="73">
        <f t="shared" si="43"/>
        <v>1</v>
      </c>
      <c r="K56" s="73">
        <f t="shared" si="43"/>
        <v>1</v>
      </c>
      <c r="L56" s="73">
        <f t="shared" si="43"/>
        <v>1</v>
      </c>
      <c r="M56" s="73">
        <f t="shared" si="44"/>
        <v>1</v>
      </c>
      <c r="N56" s="56">
        <f t="shared" ref="N56:AD56" si="56">IFERROR(N20/$B56,0)</f>
        <v>8.9867401056842018E-6</v>
      </c>
      <c r="O56" s="56">
        <f t="shared" si="56"/>
        <v>1.7722702620115082E-5</v>
      </c>
      <c r="P56" s="56">
        <f t="shared" si="56"/>
        <v>1.2400206440434083E-5</v>
      </c>
      <c r="Q56" s="56">
        <f t="shared" si="56"/>
        <v>1.0412168729683984E-5</v>
      </c>
      <c r="R56" s="56">
        <f t="shared" si="56"/>
        <v>3.0198806940654387E-5</v>
      </c>
      <c r="S56" s="64">
        <f>IFERROR(up_RadSpec!$F$20*S20,".")*$B$56</f>
        <v>6181.8856834260632</v>
      </c>
      <c r="T56" s="64">
        <f>IFERROR(up_RadSpec!$M$20*T20,".")*$B$56</f>
        <v>3134.6799182279146</v>
      </c>
      <c r="U56" s="64">
        <f>IFERROR(up_RadSpec!$N$20*U20,".")*$B$56</f>
        <v>4480.1673477667709</v>
      </c>
      <c r="V56" s="64">
        <f>IFERROR(up_RadSpec!$O$20*V20,".")*$B$56</f>
        <v>5335.5839155409194</v>
      </c>
      <c r="W56" s="64">
        <f>IFERROR(up_RadSpec!$K$20*W20,".")*$B$56</f>
        <v>1839.6422119978015</v>
      </c>
      <c r="X56" s="73">
        <f t="shared" si="46"/>
        <v>1</v>
      </c>
      <c r="Y56" s="73">
        <f t="shared" si="46"/>
        <v>1</v>
      </c>
      <c r="Z56" s="73">
        <f t="shared" si="46"/>
        <v>1</v>
      </c>
      <c r="AA56" s="73">
        <f t="shared" si="46"/>
        <v>1</v>
      </c>
      <c r="AB56" s="73">
        <f t="shared" si="46"/>
        <v>1</v>
      </c>
      <c r="AC56" s="56">
        <f t="shared" si="56"/>
        <v>2.9097019463774407E-11</v>
      </c>
      <c r="AD56" s="56">
        <f t="shared" si="56"/>
        <v>1.5930618156416487E-7</v>
      </c>
      <c r="AE56" s="56">
        <f t="shared" si="47"/>
        <v>2.9091705910183507E-11</v>
      </c>
      <c r="AF56" s="64">
        <f>IFERROR(up_RadSpec!$G$20*AF20,".")*$B$56</f>
        <v>1909302087.4239576</v>
      </c>
      <c r="AG56" s="64">
        <f>IFERROR(up_RadSpec!$J$20*AG20,".")*$B$56</f>
        <v>348730.97487195564</v>
      </c>
      <c r="AH56" s="73">
        <f t="shared" si="48"/>
        <v>1</v>
      </c>
      <c r="AI56" s="73">
        <f t="shared" si="48"/>
        <v>1</v>
      </c>
      <c r="AJ56" s="73">
        <f t="shared" si="49"/>
        <v>1</v>
      </c>
    </row>
    <row r="57" spans="1:36" x14ac:dyDescent="0.25">
      <c r="A57" s="55" t="s">
        <v>313</v>
      </c>
      <c r="B57" s="50">
        <v>2.0999995799999999E-4</v>
      </c>
      <c r="C57" s="56">
        <f>IFERROR(C29/$B57,0)</f>
        <v>3.4632041558442949E-5</v>
      </c>
      <c r="D57" s="56">
        <f>IFERROR(D29/$B57,0)</f>
        <v>4.2976351876002378E-2</v>
      </c>
      <c r="E57" s="56">
        <f>IFERROR(E29/$B57,0)</f>
        <v>3.3673983031723739E-2</v>
      </c>
      <c r="F57" s="56">
        <f t="shared" si="20"/>
        <v>3.4568632644230058E-5</v>
      </c>
      <c r="G57" s="64">
        <f>IFERROR(up_RadSpec!$I$29*G29,".")*$B$57</f>
        <v>1604.150304169875</v>
      </c>
      <c r="H57" s="64">
        <f>IFERROR(up_RadSpec!$G$29*H29,".")*$B$57</f>
        <v>1.2926876660050206</v>
      </c>
      <c r="I57" s="64">
        <f>IFERROR(up_RadSpec!$F$29*I29,".")*$B$57</f>
        <v>1.6497899861641698</v>
      </c>
      <c r="J57" s="73">
        <f t="shared" si="43"/>
        <v>1</v>
      </c>
      <c r="K57" s="73">
        <f t="shared" si="43"/>
        <v>0.72546805951030835</v>
      </c>
      <c r="L57" s="73">
        <f t="shared" si="43"/>
        <v>0.80790975400571063</v>
      </c>
      <c r="M57" s="73">
        <f t="shared" si="44"/>
        <v>1</v>
      </c>
      <c r="N57" s="56">
        <f t="shared" ref="N57:AD57" si="57">IFERROR(N29/$B57,0)</f>
        <v>3.3673983031723739E-2</v>
      </c>
      <c r="O57" s="56">
        <f t="shared" si="57"/>
        <v>6.7195274318526232E-2</v>
      </c>
      <c r="P57" s="56">
        <f t="shared" si="57"/>
        <v>4.7869627640587928E-2</v>
      </c>
      <c r="Q57" s="56">
        <f t="shared" si="57"/>
        <v>4.0605802326954647E-2</v>
      </c>
      <c r="R57" s="56">
        <f t="shared" si="57"/>
        <v>0.12066118115702963</v>
      </c>
      <c r="S57" s="64">
        <f>IFERROR(up_RadSpec!$F$29*S29,".")*$B$57</f>
        <v>1.6497899861641698</v>
      </c>
      <c r="T57" s="64">
        <f>IFERROR(up_RadSpec!$M$29*T29,".")*$B$57</f>
        <v>0.82676945013502323</v>
      </c>
      <c r="U57" s="64">
        <f>IFERROR(up_RadSpec!$N$29*U29,".")*$B$57</f>
        <v>1.1605479870684381</v>
      </c>
      <c r="V57" s="64">
        <f>IFERROR(up_RadSpec!$O$29*V29,".")*$B$57</f>
        <v>1.3681542246764542</v>
      </c>
      <c r="W57" s="64">
        <f>IFERROR(up_RadSpec!$K$29*W29,".")*$B$57</f>
        <v>0.46042148325815052</v>
      </c>
      <c r="X57" s="73">
        <f t="shared" si="46"/>
        <v>0.80790975400571063</v>
      </c>
      <c r="Y57" s="73">
        <f t="shared" si="46"/>
        <v>0.56253975685934954</v>
      </c>
      <c r="Z57" s="73">
        <f t="shared" si="46"/>
        <v>0.68668555843089329</v>
      </c>
      <c r="AA57" s="73">
        <f t="shared" si="46"/>
        <v>0.74542358296848343</v>
      </c>
      <c r="AB57" s="73">
        <f t="shared" si="46"/>
        <v>0.36898237391549482</v>
      </c>
      <c r="AC57" s="56">
        <f t="shared" si="57"/>
        <v>1.3852816623377178E-7</v>
      </c>
      <c r="AD57" s="56">
        <f t="shared" si="57"/>
        <v>7.5844171012990041E-4</v>
      </c>
      <c r="AE57" s="56">
        <f t="shared" si="47"/>
        <v>1.3850286890611771E-7</v>
      </c>
      <c r="AF57" s="64">
        <f>IFERROR(up_RadSpec!$G$29*AF29,".")*$B$57</f>
        <v>401037.57604246872</v>
      </c>
      <c r="AG57" s="64">
        <f>IFERROR(up_RadSpec!$J$29*AG29,".")*$B$57</f>
        <v>73.248872336523945</v>
      </c>
      <c r="AH57" s="73">
        <f t="shared" si="48"/>
        <v>1</v>
      </c>
      <c r="AI57" s="73">
        <f t="shared" si="48"/>
        <v>1</v>
      </c>
      <c r="AJ57" s="73">
        <f t="shared" si="49"/>
        <v>1</v>
      </c>
    </row>
    <row r="58" spans="1:36" x14ac:dyDescent="0.25">
      <c r="A58" s="55" t="s">
        <v>314</v>
      </c>
      <c r="B58" s="50">
        <v>1</v>
      </c>
      <c r="C58" s="56">
        <f>IFERROR(C16/$B58,0)</f>
        <v>7.2727272727272728E-9</v>
      </c>
      <c r="D58" s="56">
        <f>IFERROR(D16/$B58,0)</f>
        <v>9.0250320889537196E-6</v>
      </c>
      <c r="E58" s="56">
        <f>IFERROR(E16/$B58,0)</f>
        <v>0.19123655075627641</v>
      </c>
      <c r="F58" s="56">
        <f t="shared" si="20"/>
        <v>7.2668710646818273E-9</v>
      </c>
      <c r="G58" s="64">
        <f>IFERROR(up_RadSpec!$I$16*G16,".")*$B$58</f>
        <v>7638812.5</v>
      </c>
      <c r="H58" s="64">
        <f>IFERROR(up_RadSpec!$G$16*H16,".")*$B$58</f>
        <v>6155.6567835362166</v>
      </c>
      <c r="I58" s="64">
        <f>IFERROR(up_RadSpec!$F$16*I16,".")*$B$58</f>
        <v>0.29050408920417459</v>
      </c>
      <c r="J58" s="73">
        <f t="shared" si="43"/>
        <v>1</v>
      </c>
      <c r="K58" s="73">
        <f t="shared" si="43"/>
        <v>1</v>
      </c>
      <c r="L58" s="73">
        <f t="shared" si="43"/>
        <v>0.25211352895459749</v>
      </c>
      <c r="M58" s="73">
        <f t="shared" si="44"/>
        <v>1</v>
      </c>
      <c r="N58" s="56">
        <f t="shared" ref="N58:AD58" si="58">IFERROR(N16/$B58,0)</f>
        <v>0.19123655075627641</v>
      </c>
      <c r="O58" s="56">
        <f t="shared" si="58"/>
        <v>0.34058573540280868</v>
      </c>
      <c r="P58" s="56">
        <f t="shared" si="58"/>
        <v>0.20460345140494443</v>
      </c>
      <c r="Q58" s="56">
        <f t="shared" si="58"/>
        <v>0.20566062345115443</v>
      </c>
      <c r="R58" s="56">
        <f t="shared" si="58"/>
        <v>7.963636363636363</v>
      </c>
      <c r="S58" s="64">
        <f>IFERROR(up_RadSpec!$F$16*S16,".")*$B$58</f>
        <v>0.29050408920417459</v>
      </c>
      <c r="T58" s="64">
        <f>IFERROR(up_RadSpec!$M$16*T16,".")*$B$58</f>
        <v>0.1631160504543604</v>
      </c>
      <c r="U58" s="64">
        <f>IFERROR(up_RadSpec!$N$16*U16,".")*$B$58</f>
        <v>0.27152523390256683</v>
      </c>
      <c r="V58" s="64">
        <f>IFERROR(up_RadSpec!$O$16*V16,".")*$B$58</f>
        <v>0.27012949327752395</v>
      </c>
      <c r="W58" s="64">
        <f>IFERROR(up_RadSpec!$K$16*W16,".")*$B$58</f>
        <v>6.9760844748858429E-3</v>
      </c>
      <c r="X58" s="73">
        <f t="shared" si="46"/>
        <v>0.25211352895459749</v>
      </c>
      <c r="Y58" s="73">
        <f t="shared" si="46"/>
        <v>0.15050740130804419</v>
      </c>
      <c r="Z58" s="73">
        <f t="shared" si="46"/>
        <v>0.23778395046016243</v>
      </c>
      <c r="AA58" s="73">
        <f t="shared" si="46"/>
        <v>0.23671935177577141</v>
      </c>
      <c r="AB58" s="73">
        <f t="shared" si="46"/>
        <v>6.9760844748858429E-3</v>
      </c>
      <c r="AC58" s="56">
        <f t="shared" si="58"/>
        <v>2.9090909090909089E-11</v>
      </c>
      <c r="AD58" s="56">
        <f t="shared" si="58"/>
        <v>1.5927272727272726E-7</v>
      </c>
      <c r="AE58" s="56">
        <f t="shared" si="47"/>
        <v>2.9085596653164224E-11</v>
      </c>
      <c r="AF58" s="64">
        <f>IFERROR(up_RadSpec!$G$16*AF16,".")*$B$58</f>
        <v>1909703125</v>
      </c>
      <c r="AG58" s="64">
        <f>IFERROR(up_RadSpec!$J$16*AG16,".")*$B$58</f>
        <v>348804.22374429216</v>
      </c>
      <c r="AH58" s="73">
        <f t="shared" si="48"/>
        <v>1</v>
      </c>
      <c r="AI58" s="73">
        <f t="shared" si="48"/>
        <v>1</v>
      </c>
      <c r="AJ58" s="73">
        <f t="shared" si="49"/>
        <v>1</v>
      </c>
    </row>
    <row r="59" spans="1:36" x14ac:dyDescent="0.25">
      <c r="A59" s="55" t="s">
        <v>315</v>
      </c>
      <c r="B59" s="50">
        <v>1</v>
      </c>
      <c r="C59" s="56">
        <f>IFERROR(C7/$B59,0)</f>
        <v>7.2727272727272728E-9</v>
      </c>
      <c r="D59" s="56">
        <f>IFERROR(D7/$B59,0)</f>
        <v>9.0250320889537196E-6</v>
      </c>
      <c r="E59" s="56">
        <f>IFERROR(E7/$B59,0)</f>
        <v>2.2960849369608488E-5</v>
      </c>
      <c r="F59" s="56">
        <f t="shared" si="20"/>
        <v>7.264572178861508E-9</v>
      </c>
      <c r="G59" s="64">
        <f>IFERROR(up_RadSpec!$I$7*G7,".")*$B$59</f>
        <v>7638812.5</v>
      </c>
      <c r="H59" s="64">
        <f>IFERROR(up_RadSpec!$G$7*H7,".")*$B$59</f>
        <v>6155.6567835362166</v>
      </c>
      <c r="I59" s="64">
        <f>IFERROR(up_RadSpec!$F$7*I7,".")*$B$59</f>
        <v>2419.553349517369</v>
      </c>
      <c r="J59" s="73">
        <f t="shared" si="43"/>
        <v>1</v>
      </c>
      <c r="K59" s="73">
        <f t="shared" si="43"/>
        <v>1</v>
      </c>
      <c r="L59" s="73">
        <f t="shared" si="43"/>
        <v>1</v>
      </c>
      <c r="M59" s="73">
        <f t="shared" si="44"/>
        <v>1</v>
      </c>
      <c r="N59" s="56">
        <f t="shared" ref="N59:AD59" si="59">IFERROR(N7/$B59,0)</f>
        <v>2.2960849369608488E-5</v>
      </c>
      <c r="O59" s="56">
        <f t="shared" si="59"/>
        <v>3.6527883880825083E-5</v>
      </c>
      <c r="P59" s="56">
        <f t="shared" si="59"/>
        <v>2.6761363636363635E-5</v>
      </c>
      <c r="Q59" s="56">
        <f t="shared" si="59"/>
        <v>2.4617839919508715E-5</v>
      </c>
      <c r="R59" s="56">
        <f t="shared" si="59"/>
        <v>6.2510591013264786E-5</v>
      </c>
      <c r="S59" s="64">
        <f>IFERROR(up_RadSpec!$F$7*S7,".")*$B$59</f>
        <v>2419.553349517369</v>
      </c>
      <c r="T59" s="64">
        <f>IFERROR(up_RadSpec!$M$7*T7,".")*$B$59</f>
        <v>1520.8929206316</v>
      </c>
      <c r="U59" s="64">
        <f>IFERROR(up_RadSpec!$N$7*U7,".")*$B$59</f>
        <v>2075.9405520169848</v>
      </c>
      <c r="V59" s="64">
        <f>IFERROR(up_RadSpec!$O$7*V7,".")*$B$59</f>
        <v>2256.6967768758109</v>
      </c>
      <c r="W59" s="64">
        <f>IFERROR(up_RadSpec!$K$7*W7,".")*$B$59</f>
        <v>888.72939928229425</v>
      </c>
      <c r="X59" s="73">
        <f t="shared" si="46"/>
        <v>1</v>
      </c>
      <c r="Y59" s="73">
        <f t="shared" si="46"/>
        <v>1</v>
      </c>
      <c r="Z59" s="73">
        <f t="shared" si="46"/>
        <v>1</v>
      </c>
      <c r="AA59" s="73">
        <f t="shared" si="46"/>
        <v>1</v>
      </c>
      <c r="AB59" s="73">
        <f t="shared" si="46"/>
        <v>1</v>
      </c>
      <c r="AC59" s="56">
        <f t="shared" si="59"/>
        <v>2.9090909090909089E-11</v>
      </c>
      <c r="AD59" s="56">
        <f t="shared" si="59"/>
        <v>1.5927272727272726E-7</v>
      </c>
      <c r="AE59" s="56">
        <f t="shared" si="47"/>
        <v>2.9085596653164224E-11</v>
      </c>
      <c r="AF59" s="64">
        <f>IFERROR(up_RadSpec!$G$7*AF7,".")*$B$59</f>
        <v>1909703125</v>
      </c>
      <c r="AG59" s="64">
        <f>IFERROR(up_RadSpec!$J$7*AG7,".")*$B$59</f>
        <v>348804.22374429216</v>
      </c>
      <c r="AH59" s="73">
        <f t="shared" si="48"/>
        <v>1</v>
      </c>
      <c r="AI59" s="73">
        <f t="shared" si="48"/>
        <v>1</v>
      </c>
      <c r="AJ59" s="73">
        <f t="shared" si="49"/>
        <v>1</v>
      </c>
    </row>
    <row r="60" spans="1:36" x14ac:dyDescent="0.25">
      <c r="A60" s="55" t="s">
        <v>316</v>
      </c>
      <c r="B60" s="59">
        <v>1.9000000000000001E-8</v>
      </c>
      <c r="C60" s="56">
        <f>IFERROR(C12/$B60,0)</f>
        <v>0.38277511961722488</v>
      </c>
      <c r="D60" s="56">
        <f>IFERROR(D12/$B60,0)</f>
        <v>475.00168889230099</v>
      </c>
      <c r="E60" s="56">
        <f>IFERROR(E12/$B60,0)</f>
        <v>937.921819987361</v>
      </c>
      <c r="F60" s="56">
        <f t="shared" si="20"/>
        <v>0.3823110134196559</v>
      </c>
      <c r="G60" s="64">
        <f>IFERROR(up_RadSpec!$I$12*G12,".")*$B$60</f>
        <v>0.14513743750000002</v>
      </c>
      <c r="H60" s="64">
        <f>IFERROR(up_RadSpec!$G$12*H12,".")*$B$60</f>
        <v>1.1695747888718812E-4</v>
      </c>
      <c r="I60" s="64">
        <f>IFERROR(up_RadSpec!$F$12*I12,".")*$B$60</f>
        <v>5.9232015735329223E-5</v>
      </c>
      <c r="J60" s="73">
        <f t="shared" si="43"/>
        <v>0.13509658522131063</v>
      </c>
      <c r="K60" s="73">
        <f t="shared" si="43"/>
        <v>1.1695747888718812E-4</v>
      </c>
      <c r="L60" s="73">
        <f t="shared" si="43"/>
        <v>5.9232015735329223E-5</v>
      </c>
      <c r="M60" s="73">
        <f t="shared" si="44"/>
        <v>0.13524895869316111</v>
      </c>
      <c r="N60" s="56">
        <f t="shared" ref="N60:AD60" si="60">IFERROR(N12/$B60,0)</f>
        <v>937.921819987361</v>
      </c>
      <c r="O60" s="56">
        <f t="shared" si="60"/>
        <v>1682.6919002655904</v>
      </c>
      <c r="P60" s="56">
        <f t="shared" si="60"/>
        <v>1220.0990908705899</v>
      </c>
      <c r="Q60" s="56">
        <f t="shared" si="60"/>
        <v>1077.5176662697249</v>
      </c>
      <c r="R60" s="56">
        <f t="shared" si="60"/>
        <v>2904.74563030954</v>
      </c>
      <c r="S60" s="64">
        <f>IFERROR(up_RadSpec!$F$12*S12,".")*$B$60</f>
        <v>5.9232015735329223E-5</v>
      </c>
      <c r="T60" s="64">
        <f>IFERROR(up_RadSpec!$M$12*T12,".")*$B$60</f>
        <v>3.3015550851128114E-5</v>
      </c>
      <c r="U60" s="64">
        <f>IFERROR(up_RadSpec!$N$12*U12,".")*$B$60</f>
        <v>4.5533186948249645E-5</v>
      </c>
      <c r="V60" s="64">
        <f>IFERROR(up_RadSpec!$O$12*V12,".")*$B$60</f>
        <v>5.1558319403083853E-5</v>
      </c>
      <c r="W60" s="64">
        <f>IFERROR(up_RadSpec!$K$12*W12,".")*$B$60</f>
        <v>1.9125598957895621E-5</v>
      </c>
      <c r="X60" s="73">
        <f t="shared" si="46"/>
        <v>5.9232015735329223E-5</v>
      </c>
      <c r="Y60" s="73">
        <f t="shared" si="46"/>
        <v>3.3015550851128114E-5</v>
      </c>
      <c r="Z60" s="73">
        <f t="shared" si="46"/>
        <v>4.5533186948249645E-5</v>
      </c>
      <c r="AA60" s="73">
        <f t="shared" si="46"/>
        <v>5.1558319403083853E-5</v>
      </c>
      <c r="AB60" s="73">
        <f t="shared" si="46"/>
        <v>1.9125598957895621E-5</v>
      </c>
      <c r="AC60" s="56">
        <f t="shared" si="60"/>
        <v>1.5311004784688993E-3</v>
      </c>
      <c r="AD60" s="56">
        <f t="shared" si="60"/>
        <v>8.3827751196172233</v>
      </c>
      <c r="AE60" s="56">
        <f t="shared" si="47"/>
        <v>1.5308208764823273E-3</v>
      </c>
      <c r="AF60" s="64">
        <f>IFERROR(up_RadSpec!$G$12*AF12,".")*$B$60</f>
        <v>36.284359375000001</v>
      </c>
      <c r="AG60" s="64">
        <f>IFERROR(up_RadSpec!$J$12*AG12,".")*$B$60</f>
        <v>6.6272802511415513E-3</v>
      </c>
      <c r="AH60" s="73">
        <f t="shared" si="48"/>
        <v>0.99999999999999978</v>
      </c>
      <c r="AI60" s="73">
        <f t="shared" si="48"/>
        <v>6.6272802511415513E-3</v>
      </c>
      <c r="AJ60" s="73">
        <f t="shared" si="49"/>
        <v>0.99999999999999978</v>
      </c>
    </row>
    <row r="61" spans="1:36" x14ac:dyDescent="0.25">
      <c r="A61" s="55" t="s">
        <v>317</v>
      </c>
      <c r="B61" s="50">
        <v>1</v>
      </c>
      <c r="C61" s="56">
        <f>IFERROR(C18/$B61,0)</f>
        <v>7.2727272727272728E-9</v>
      </c>
      <c r="D61" s="56">
        <f>IFERROR(D18/$B61,0)</f>
        <v>9.0250320889537196E-6</v>
      </c>
      <c r="E61" s="56">
        <f>IFERROR(E18/$B61,0)</f>
        <v>8.954776245426401E-6</v>
      </c>
      <c r="F61" s="56">
        <f t="shared" si="20"/>
        <v>7.2609789992624117E-9</v>
      </c>
      <c r="G61" s="64">
        <f>IFERROR(up_RadSpec!$I$18*G18,".")*$B$61</f>
        <v>7638812.5</v>
      </c>
      <c r="H61" s="64">
        <f>IFERROR(up_RadSpec!$G$18*H18,".")*$B$61</f>
        <v>6155.6567835362166</v>
      </c>
      <c r="I61" s="64">
        <f>IFERROR(up_RadSpec!$F$18*I18,".")*$B$61</f>
        <v>6203.9517769496897</v>
      </c>
      <c r="J61" s="73">
        <f t="shared" si="43"/>
        <v>1</v>
      </c>
      <c r="K61" s="73">
        <f t="shared" si="43"/>
        <v>1</v>
      </c>
      <c r="L61" s="73">
        <f t="shared" si="43"/>
        <v>1</v>
      </c>
      <c r="M61" s="73">
        <f t="shared" si="44"/>
        <v>1</v>
      </c>
      <c r="N61" s="56">
        <f t="shared" ref="N61:AD61" si="61">IFERROR(N18/$B61,0)</f>
        <v>8.954776245426401E-6</v>
      </c>
      <c r="O61" s="56">
        <f t="shared" si="61"/>
        <v>1.7718902910121041E-5</v>
      </c>
      <c r="P61" s="56">
        <f t="shared" si="61"/>
        <v>1.2408469260888121E-5</v>
      </c>
      <c r="Q61" s="56">
        <f t="shared" si="61"/>
        <v>1.0280640881722628E-5</v>
      </c>
      <c r="R61" s="56">
        <f t="shared" si="61"/>
        <v>3.0118881118881113E-5</v>
      </c>
      <c r="S61" s="64">
        <f>IFERROR(up_RadSpec!$F$18*S18,".")*$B$61</f>
        <v>6203.9517769496897</v>
      </c>
      <c r="T61" s="64">
        <f>IFERROR(up_RadSpec!$M$18*T18,".")*$B$61</f>
        <v>3135.3521310998867</v>
      </c>
      <c r="U61" s="64">
        <f>IFERROR(up_RadSpec!$N$18*U18,".")*$B$61</f>
        <v>4477.1839968295726</v>
      </c>
      <c r="V61" s="64">
        <f>IFERROR(up_RadSpec!$O$18*V18,".")*$B$61</f>
        <v>5403.8459896763925</v>
      </c>
      <c r="W61" s="64">
        <f>IFERROR(up_RadSpec!$K$18*W18,".")*$B$61</f>
        <v>1844.5240306477829</v>
      </c>
      <c r="X61" s="73">
        <f t="shared" si="46"/>
        <v>1</v>
      </c>
      <c r="Y61" s="73">
        <f t="shared" si="46"/>
        <v>1</v>
      </c>
      <c r="Z61" s="73">
        <f t="shared" si="46"/>
        <v>1</v>
      </c>
      <c r="AA61" s="73">
        <f t="shared" si="46"/>
        <v>1</v>
      </c>
      <c r="AB61" s="73">
        <f t="shared" si="46"/>
        <v>1</v>
      </c>
      <c r="AC61" s="56">
        <f t="shared" si="61"/>
        <v>2.9090909090909089E-11</v>
      </c>
      <c r="AD61" s="56">
        <f t="shared" si="61"/>
        <v>1.5927272727272726E-7</v>
      </c>
      <c r="AE61" s="56">
        <f t="shared" si="47"/>
        <v>2.9085596653164224E-11</v>
      </c>
      <c r="AF61" s="64">
        <f>IFERROR(up_RadSpec!$G$18*AF18,".")*$B$61</f>
        <v>1909703125</v>
      </c>
      <c r="AG61" s="64">
        <f>IFERROR(up_RadSpec!$J$18*AG18,".")*$B$61</f>
        <v>348804.22374429216</v>
      </c>
      <c r="AH61" s="73">
        <f t="shared" si="48"/>
        <v>1</v>
      </c>
      <c r="AI61" s="73">
        <f t="shared" si="48"/>
        <v>1</v>
      </c>
      <c r="AJ61" s="73">
        <f t="shared" si="49"/>
        <v>1</v>
      </c>
    </row>
    <row r="62" spans="1:36" x14ac:dyDescent="0.25">
      <c r="A62" s="55" t="s">
        <v>318</v>
      </c>
      <c r="B62" s="50">
        <v>1.339E-6</v>
      </c>
      <c r="C62" s="56">
        <f>IFERROR(C27/$B62,0)</f>
        <v>5.4314617421413539E-3</v>
      </c>
      <c r="D62" s="56">
        <f>IFERROR(D27/$B62,0)</f>
        <v>6.7401285205031511</v>
      </c>
      <c r="E62" s="56">
        <f>IFERROR(E27/$B62,0)</f>
        <v>10.975250882704344</v>
      </c>
      <c r="F62" s="56">
        <f t="shared" ref="F62" si="62">IFERROR(SUM(C62:E62),0)</f>
        <v>17.720810864949637</v>
      </c>
      <c r="G62" s="64">
        <f>IFERROR(up_RadSpec!$I$27*G27,".")*$B$62</f>
        <v>10.2283699375</v>
      </c>
      <c r="H62" s="64">
        <f>IFERROR(up_RadSpec!$G$27*H27,".")*$B$62</f>
        <v>8.2424244331549944E-3</v>
      </c>
      <c r="I62" s="64">
        <f>IFERROR(up_RadSpec!$F$27*I27,".")*$B$62</f>
        <v>5.0618432866576099E-3</v>
      </c>
      <c r="J62" s="73">
        <f t="shared" si="43"/>
        <v>0.99996386938306392</v>
      </c>
      <c r="K62" s="73">
        <f t="shared" si="43"/>
        <v>8.2424244331549944E-3</v>
      </c>
      <c r="L62" s="73">
        <f t="shared" si="43"/>
        <v>5.0618432866576099E-3</v>
      </c>
      <c r="M62" s="73">
        <f t="shared" si="44"/>
        <v>0.99996434689097469</v>
      </c>
      <c r="N62" s="56">
        <f t="shared" ref="N62:AD62" si="63">IFERROR(N27/$B62,0)</f>
        <v>10.975250882704344</v>
      </c>
      <c r="O62" s="56">
        <f t="shared" si="63"/>
        <v>32.554466483950399</v>
      </c>
      <c r="P62" s="56">
        <f t="shared" si="63"/>
        <v>19.958335933622781</v>
      </c>
      <c r="Q62" s="56">
        <f t="shared" si="63"/>
        <v>14.518918352806814</v>
      </c>
      <c r="R62" s="56">
        <f t="shared" si="63"/>
        <v>101.82979948572957</v>
      </c>
      <c r="S62" s="64">
        <f>IFERROR(up_RadSpec!$F$27*S27,".")*$B$62</f>
        <v>5.0618432866576099E-3</v>
      </c>
      <c r="T62" s="64">
        <f>IFERROR(up_RadSpec!$M$27*T27,".")*$B$62</f>
        <v>1.7065246646689484E-3</v>
      </c>
      <c r="U62" s="64">
        <f>IFERROR(up_RadSpec!$N$27*U27,".")*$B$62</f>
        <v>2.7835486978856458E-3</v>
      </c>
      <c r="V62" s="64">
        <f>IFERROR(up_RadSpec!$O$27*V27,".")*$B$62</f>
        <v>3.82638696974696E-3</v>
      </c>
      <c r="W62" s="64">
        <f>IFERROR(up_RadSpec!$K$27*W27,".")*$B$62</f>
        <v>5.4556721392528596E-4</v>
      </c>
      <c r="X62" s="73">
        <f t="shared" si="46"/>
        <v>5.0618432866576099E-3</v>
      </c>
      <c r="Y62" s="73">
        <f t="shared" si="46"/>
        <v>1.7065246646689484E-3</v>
      </c>
      <c r="Z62" s="73">
        <f t="shared" si="46"/>
        <v>2.7835486978856458E-3</v>
      </c>
      <c r="AA62" s="73">
        <f t="shared" si="46"/>
        <v>3.82638696974696E-3</v>
      </c>
      <c r="AB62" s="73">
        <f t="shared" si="46"/>
        <v>5.4556721392528596E-4</v>
      </c>
      <c r="AC62" s="56">
        <f t="shared" si="63"/>
        <v>2.1725846968565415E-5</v>
      </c>
      <c r="AD62" s="56">
        <f t="shared" si="63"/>
        <v>0.11894901215289563</v>
      </c>
      <c r="AE62" s="56">
        <f t="shared" si="47"/>
        <v>2.1721879501989711E-5</v>
      </c>
      <c r="AF62" s="64">
        <f>IFERROR(up_RadSpec!$G$27*AF27,".")*$B$62</f>
        <v>2557.0924843749999</v>
      </c>
      <c r="AG62" s="64">
        <f>IFERROR(up_RadSpec!$J$27*AG27,".")*$B$62</f>
        <v>0.4670488555936072</v>
      </c>
      <c r="AH62" s="73">
        <f t="shared" si="48"/>
        <v>1</v>
      </c>
      <c r="AI62" s="73">
        <f t="shared" si="48"/>
        <v>0.37315053543843246</v>
      </c>
      <c r="AJ62" s="73">
        <f t="shared" si="49"/>
        <v>1</v>
      </c>
    </row>
    <row r="63" spans="1:36" x14ac:dyDescent="0.25">
      <c r="A63" s="52" t="s">
        <v>35</v>
      </c>
      <c r="B63" s="52" t="s">
        <v>289</v>
      </c>
      <c r="C63" s="53">
        <f>1/SUM(1/C66,1/C68,1/C72,1/C73,1/C75)</f>
        <v>1.4546036968774774E-9</v>
      </c>
      <c r="D63" s="53">
        <f>1/SUM(1/D64,1/D65,1/D66,1/D68,1/D72,1/D73,1/D75)</f>
        <v>1.289327173179113E-6</v>
      </c>
      <c r="E63" s="53">
        <f>1/SUM(1/E64,1/E66,1/E68,1/E69,1/E70,1/E71,1/E72,1/E73,1/E74,1/E75,1/E76)</f>
        <v>1.8005023258220707E-6</v>
      </c>
      <c r="F63" s="54">
        <f>1/SUM(1/F64,1/F65,1/F66,1/F68,1/F69,1/F70,1/F71,1/F72,1/F73,1/F74,1/F75,1/F76)</f>
        <v>9.0792341143600032E-10</v>
      </c>
      <c r="G63" s="71"/>
      <c r="H63" s="71"/>
      <c r="I63" s="71"/>
      <c r="J63" s="72">
        <f>IFERROR(IF(SUM(G64:G76)&gt;0.01,1-EXP(-SUM(G64:G76)),SUM(G64:G76)),".")</f>
        <v>1</v>
      </c>
      <c r="K63" s="72">
        <f>IFERROR(IF(SUM(H64:H76)&gt;0.01,1-EXP(-SUM(H64:H76)),SUM(H64:H76)),".")</f>
        <v>1</v>
      </c>
      <c r="L63" s="72">
        <f>IFERROR(IF(SUM(I64:I76)&gt;0.01,1-EXP(-SUM(I64:I76)),SUM(I64:I76)),".")</f>
        <v>1</v>
      </c>
      <c r="M63" s="72">
        <f>IFERROR(IF(SUM(G64:I76)&gt;0.01,1-EXP(-SUM(G64:I76)),SUM(G64:I76)),".")</f>
        <v>1</v>
      </c>
      <c r="N63" s="53">
        <f t="shared" ref="N63:R63" si="64">1/SUM(1/N64,1/N66,1/N68,1/N69,1/N70,1/N71,1/N72,1/N73,1/N74,1/N75,1/N76)</f>
        <v>1.8005023258220707E-6</v>
      </c>
      <c r="O63" s="53">
        <f t="shared" si="64"/>
        <v>3.4299403997863825E-6</v>
      </c>
      <c r="P63" s="53">
        <f t="shared" si="64"/>
        <v>2.4425383115757025E-6</v>
      </c>
      <c r="Q63" s="53">
        <f t="shared" si="64"/>
        <v>2.0826039103941475E-6</v>
      </c>
      <c r="R63" s="53">
        <f t="shared" si="64"/>
        <v>6.0222478979550992E-6</v>
      </c>
      <c r="S63" s="71"/>
      <c r="T63" s="71"/>
      <c r="U63" s="71"/>
      <c r="V63" s="71"/>
      <c r="W63" s="71"/>
      <c r="X63" s="72">
        <f>IFERROR(IF(SUM(S64:S76)&gt;0.01,1-EXP(-SUM(S64:S76)),SUM(S64:S76)),".")</f>
        <v>1</v>
      </c>
      <c r="Y63" s="72">
        <f t="shared" ref="Y63:AB63" si="65">IFERROR(IF(SUM(T64:T76)&gt;0.01,1-EXP(-SUM(T64:T76)),SUM(T64:T76)),".")</f>
        <v>1</v>
      </c>
      <c r="Z63" s="72">
        <f t="shared" si="65"/>
        <v>1</v>
      </c>
      <c r="AA63" s="72">
        <f t="shared" si="65"/>
        <v>1</v>
      </c>
      <c r="AB63" s="72">
        <f t="shared" si="65"/>
        <v>1</v>
      </c>
      <c r="AC63" s="53">
        <f>1/SUM(1/AC64,1/AC65,1/AC66,1/AC68,1/AC72,1/AC73,1/AC75)</f>
        <v>4.1559630163864246E-12</v>
      </c>
      <c r="AD63" s="53">
        <f t="shared" ref="AD63:AE63" si="66">1/SUM(1/AD64,1/AD65,1/AD66,1/AD67,1/AD68,1/AD69,1/AD70,1/AD71,1/AD72,1/AD73,1/AD74,1/AD75,1/AD76)</f>
        <v>1.99090875295233E-8</v>
      </c>
      <c r="AE63" s="54">
        <f t="shared" si="66"/>
        <v>3.6356989644856286E-12</v>
      </c>
      <c r="AF63" s="71"/>
      <c r="AG63" s="71"/>
      <c r="AH63" s="72">
        <f>IFERROR(IF(SUM(AF64:AF76)&gt;0.01,1-EXP(-SUM(AF64:AF76)),SUM(AF64:AF76)),".")</f>
        <v>1</v>
      </c>
      <c r="AI63" s="72">
        <f>IFERROR(IF(SUM(AG64:AG76)&gt;0.01,1-EXP(-SUM(AG64:AG76)),SUM(AG64:AG76)),".")</f>
        <v>1</v>
      </c>
      <c r="AJ63" s="72">
        <f>IFERROR(IF(SUM(AF64:AG76)&gt;0.01,1-EXP(-SUM(AF64:AG76)),SUM(AF64:AG76)),".")</f>
        <v>1</v>
      </c>
    </row>
    <row r="64" spans="1:36" x14ac:dyDescent="0.25">
      <c r="A64" s="55" t="s">
        <v>306</v>
      </c>
      <c r="B64" s="60">
        <v>1</v>
      </c>
      <c r="C64" s="56">
        <f>IFERROR(C25/$B50,0)</f>
        <v>7.2727272727272728E-9</v>
      </c>
      <c r="D64" s="56">
        <f>IFERROR(D25/$B50,0)</f>
        <v>9.0250320889537196E-6</v>
      </c>
      <c r="E64" s="56">
        <f>IFERROR(E25/$B50,0)</f>
        <v>1.2792990142387735E-5</v>
      </c>
      <c r="F64" s="56">
        <f t="shared" ref="F64:F76" si="67">IF(AND(C64&lt;&gt;0,D64&lt;&gt;0,E64&lt;&gt;0),1/((1/C64)+(1/D64)+(1/E64)),IF(AND(C64&lt;&gt;0,D64&lt;&gt;0,E64=0), 1/((1/C64)+(1/D64)),IF(AND(C64&lt;&gt;0,D64=0,E64&lt;&gt;0),1/((1/C64)+(1/E64)),IF(AND(C64=0,D64&lt;&gt;0,E64&lt;&gt;0),1/((1/D64)+(1/E64)),IF(AND(C64&lt;&gt;0,D64=0,E64=0),1/((1/C64)),IF(AND(C64=0,D64&lt;&gt;0,E64=0),1/((1/D64)),IF(AND(C64=0,D64=0,E64&lt;&gt;0),1/((1/E64)),IF(AND(C64=0,D64=0,E64=0),0))))))))</f>
        <v>7.2627458440391863E-9</v>
      </c>
      <c r="G64" s="64">
        <f>IFERROR(up_RadSpec!$I$25*G25,".")*$B$64</f>
        <v>7638812.5</v>
      </c>
      <c r="H64" s="64">
        <f>IFERROR(up_RadSpec!$G$25*H25,".")*$B$64</f>
        <v>6155.6567835362166</v>
      </c>
      <c r="I64" s="64">
        <f>IFERROR(up_RadSpec!$F$25*I25,".")*$B$64</f>
        <v>4342.6125856164381</v>
      </c>
      <c r="J64" s="73">
        <f t="shared" ref="J64:L76" si="68">IFERROR(IF(G64&gt;0.01,1-EXP(-G64),G64),".")</f>
        <v>1</v>
      </c>
      <c r="K64" s="73">
        <f t="shared" si="68"/>
        <v>1</v>
      </c>
      <c r="L64" s="73">
        <f t="shared" si="68"/>
        <v>1</v>
      </c>
      <c r="M64" s="73">
        <f t="shared" ref="M64:M76" si="69">IFERROR(IF(SUM(G64:I64)&gt;0.01,1-EXP(-SUM(G64:I64)),SUM(G64:I64)),".")</f>
        <v>1</v>
      </c>
      <c r="N64" s="56">
        <f t="shared" ref="N64:AD64" si="70">IFERROR(N25/$B50,0)</f>
        <v>1.2792990142387735E-5</v>
      </c>
      <c r="O64" s="56">
        <f t="shared" si="70"/>
        <v>2.290959063840419E-5</v>
      </c>
      <c r="P64" s="56">
        <f t="shared" si="70"/>
        <v>1.6433173568005031E-5</v>
      </c>
      <c r="Q64" s="56">
        <f t="shared" si="70"/>
        <v>1.4674410335427284E-5</v>
      </c>
      <c r="R64" s="56">
        <f t="shared" si="70"/>
        <v>4.1074380165289243E-5</v>
      </c>
      <c r="S64" s="64">
        <f>IFERROR(up_RadSpec!$F$25*S25,".")*$B$64</f>
        <v>4342.6125856164381</v>
      </c>
      <c r="T64" s="64">
        <f>IFERROR(up_RadSpec!$M$25*T25,".")*$B$64</f>
        <v>2424.9669440566568</v>
      </c>
      <c r="U64" s="64">
        <f>IFERROR(up_RadSpec!$N$25*U25,".")*$B$64</f>
        <v>3380.6616701331595</v>
      </c>
      <c r="V64" s="64">
        <f>IFERROR(up_RadSpec!$O$25*V25,".")*$B$64</f>
        <v>3785.8420699793219</v>
      </c>
      <c r="W64" s="64">
        <f>IFERROR(up_RadSpec!$K$25*W25,".")*$B$64</f>
        <v>1352.5462776659961</v>
      </c>
      <c r="X64" s="73">
        <f t="shared" ref="X64:AB76" si="71">IFERROR(IF(S64&gt;0.01,1-EXP(-S64),S64),".")</f>
        <v>1</v>
      </c>
      <c r="Y64" s="73">
        <f t="shared" si="71"/>
        <v>1</v>
      </c>
      <c r="Z64" s="73">
        <f t="shared" si="71"/>
        <v>1</v>
      </c>
      <c r="AA64" s="73">
        <f t="shared" si="71"/>
        <v>1</v>
      </c>
      <c r="AB64" s="73">
        <f t="shared" si="71"/>
        <v>1</v>
      </c>
      <c r="AC64" s="56">
        <f t="shared" si="70"/>
        <v>2.9090909090909089E-11</v>
      </c>
      <c r="AD64" s="56">
        <f t="shared" si="70"/>
        <v>1.5927272727272726E-7</v>
      </c>
      <c r="AE64" s="56">
        <f t="shared" ref="AE64:AE76" si="72">IFERROR(IF(AND(AC64&lt;&gt;0,AD64&lt;&gt;0),1/((1/AC64)+(1/AD64)),IF(AND(AC64&lt;&gt;0,AD64=0),1/((1/AC64)),IF(AND(AC64=0,AD64&lt;&gt;0),1/((1/AD64)),IF(AND(AC64=0,AD64=0),0)))),0)</f>
        <v>2.9085596653164224E-11</v>
      </c>
      <c r="AF64" s="64">
        <f>IFERROR(up_RadSpec!$G$25*AF25,".")*$B$64</f>
        <v>1909703125</v>
      </c>
      <c r="AG64" s="64">
        <f>IFERROR(up_RadSpec!$J$25*AG25,".")*$B$64</f>
        <v>348804.22374429216</v>
      </c>
      <c r="AH64" s="73">
        <f t="shared" ref="AH64:AI76" si="73">IFERROR(IF(AF64&gt;0.01,1-EXP(-AF64),AF64),".")</f>
        <v>1</v>
      </c>
      <c r="AI64" s="73">
        <f t="shared" si="73"/>
        <v>1</v>
      </c>
      <c r="AJ64" s="73">
        <f t="shared" ref="AJ64:AJ76" si="74">IFERROR(IF(SUM(AF64:AG64)&gt;0.01,1-EXP(-SUM(AF64:AG64)),SUM(AF64:AG64)),".")</f>
        <v>1</v>
      </c>
    </row>
    <row r="65" spans="1:36" x14ac:dyDescent="0.25">
      <c r="A65" s="55" t="s">
        <v>307</v>
      </c>
      <c r="B65" s="60">
        <v>1</v>
      </c>
      <c r="C65" s="56">
        <f>IFERROR(C21/$B51,0)</f>
        <v>7.2727272727272728E-9</v>
      </c>
      <c r="D65" s="56">
        <f>IFERROR(D21/$B51,0)</f>
        <v>9.0250320889537196E-6</v>
      </c>
      <c r="E65" s="56">
        <f>IFERROR(E21/$B51,0)</f>
        <v>0</v>
      </c>
      <c r="F65" s="56">
        <f t="shared" si="67"/>
        <v>7.2668713408184592E-9</v>
      </c>
      <c r="G65" s="64">
        <f>IFERROR(up_RadSpec!$I$21*G21,".")*$B$65</f>
        <v>7638812.5</v>
      </c>
      <c r="H65" s="64">
        <f>IFERROR(up_RadSpec!$G$21*H21,".")*$B$65</f>
        <v>6155.6567835362166</v>
      </c>
      <c r="I65" s="64">
        <f>IFERROR(up_RadSpec!$F$21*I21,".")*$B$65</f>
        <v>0</v>
      </c>
      <c r="J65" s="73">
        <f t="shared" si="68"/>
        <v>1</v>
      </c>
      <c r="K65" s="73">
        <f t="shared" si="68"/>
        <v>1</v>
      </c>
      <c r="L65" s="73">
        <f t="shared" si="68"/>
        <v>0</v>
      </c>
      <c r="M65" s="73">
        <f t="shared" si="69"/>
        <v>1</v>
      </c>
      <c r="N65" s="56">
        <f t="shared" ref="N65:AD65" si="75">IFERROR(N21/$B51,0)</f>
        <v>0</v>
      </c>
      <c r="O65" s="56">
        <f t="shared" si="75"/>
        <v>0</v>
      </c>
      <c r="P65" s="56">
        <f t="shared" si="75"/>
        <v>0</v>
      </c>
      <c r="Q65" s="56">
        <f t="shared" si="75"/>
        <v>0</v>
      </c>
      <c r="R65" s="56">
        <f t="shared" si="75"/>
        <v>0</v>
      </c>
      <c r="S65" s="64">
        <f>IFERROR(up_RadSpec!$F$21*S21,".")*$B$65</f>
        <v>0</v>
      </c>
      <c r="T65" s="64">
        <f>IFERROR(up_RadSpec!$M$21*T21,".")*$B$65</f>
        <v>0</v>
      </c>
      <c r="U65" s="64">
        <f>IFERROR(up_RadSpec!$N$21*U21,".")*$B$65</f>
        <v>0</v>
      </c>
      <c r="V65" s="64">
        <f>IFERROR(up_RadSpec!$O$21*V21,".")*$B$65</f>
        <v>0</v>
      </c>
      <c r="W65" s="64">
        <f>IFERROR(up_RadSpec!$K$21*W21,".")*$B$65</f>
        <v>0</v>
      </c>
      <c r="X65" s="73">
        <f t="shared" si="71"/>
        <v>0</v>
      </c>
      <c r="Y65" s="73">
        <f t="shared" si="71"/>
        <v>0</v>
      </c>
      <c r="Z65" s="73">
        <f t="shared" si="71"/>
        <v>0</v>
      </c>
      <c r="AA65" s="73">
        <f t="shared" si="71"/>
        <v>0</v>
      </c>
      <c r="AB65" s="73">
        <f t="shared" si="71"/>
        <v>0</v>
      </c>
      <c r="AC65" s="56">
        <f t="shared" si="75"/>
        <v>2.9090909090909089E-11</v>
      </c>
      <c r="AD65" s="56">
        <f t="shared" si="75"/>
        <v>1.5927272727272726E-7</v>
      </c>
      <c r="AE65" s="56">
        <f t="shared" si="72"/>
        <v>2.9085596653164224E-11</v>
      </c>
      <c r="AF65" s="64">
        <f>IFERROR(up_RadSpec!$G$21*AF21,".")*$B$65</f>
        <v>1909703125</v>
      </c>
      <c r="AG65" s="64">
        <f>IFERROR(up_RadSpec!$J$21*AG21,".")*$B$65</f>
        <v>348804.22374429216</v>
      </c>
      <c r="AH65" s="73">
        <f t="shared" si="73"/>
        <v>1</v>
      </c>
      <c r="AI65" s="73">
        <f t="shared" si="73"/>
        <v>1</v>
      </c>
      <c r="AJ65" s="73">
        <f t="shared" si="74"/>
        <v>1</v>
      </c>
    </row>
    <row r="66" spans="1:36" x14ac:dyDescent="0.25">
      <c r="A66" s="55" t="s">
        <v>308</v>
      </c>
      <c r="B66" s="61">
        <v>0.99980000000000002</v>
      </c>
      <c r="C66" s="56">
        <f>IFERROR(C17/$B52,0)</f>
        <v>7.2741821091491028E-9</v>
      </c>
      <c r="D66" s="56">
        <f>IFERROR(D17/$B52,0)</f>
        <v>9.0268374564450091E-6</v>
      </c>
      <c r="E66" s="56">
        <f>IFERROR(E17/$B52,0)</f>
        <v>1.7585571423611748E-5</v>
      </c>
      <c r="F66" s="56">
        <f t="shared" si="67"/>
        <v>7.2653221620976829E-9</v>
      </c>
      <c r="G66" s="64">
        <f>IFERROR(up_RadSpec!$I$17*G17,".")*$B$66</f>
        <v>7637284.7374999998</v>
      </c>
      <c r="H66" s="64">
        <f>IFERROR(up_RadSpec!$G$17*H17,".")*$B$66</f>
        <v>6154.4256521795096</v>
      </c>
      <c r="I66" s="64">
        <f>IFERROR(up_RadSpec!$F$17*I17,".")*$B$66</f>
        <v>3159.1239580311594</v>
      </c>
      <c r="J66" s="73">
        <f t="shared" si="68"/>
        <v>1</v>
      </c>
      <c r="K66" s="73">
        <f t="shared" si="68"/>
        <v>1</v>
      </c>
      <c r="L66" s="73">
        <f t="shared" si="68"/>
        <v>1</v>
      </c>
      <c r="M66" s="73">
        <f t="shared" si="69"/>
        <v>1</v>
      </c>
      <c r="N66" s="56">
        <f t="shared" ref="N66:AD66" si="76">IFERROR(N17/$B52,0)</f>
        <v>1.7585571423611748E-5</v>
      </c>
      <c r="O66" s="56">
        <f t="shared" si="76"/>
        <v>3.073446380198182E-5</v>
      </c>
      <c r="P66" s="56">
        <f t="shared" si="76"/>
        <v>2.3155788426489627E-5</v>
      </c>
      <c r="Q66" s="56">
        <f t="shared" si="76"/>
        <v>2.0590855862606458E-5</v>
      </c>
      <c r="R66" s="56">
        <f t="shared" si="76"/>
        <v>5.8891415779615851E-5</v>
      </c>
      <c r="S66" s="64">
        <f>IFERROR(up_RadSpec!$F$17*S17,".")*$B$66</f>
        <v>3159.1239580311594</v>
      </c>
      <c r="T66" s="64">
        <f>IFERROR(up_RadSpec!$M$17*T17,".")*$B$66</f>
        <v>1807.5799323500048</v>
      </c>
      <c r="U66" s="64">
        <f>IFERROR(up_RadSpec!$N$17*U17,".")*$B$66</f>
        <v>2399.184125229202</v>
      </c>
      <c r="V66" s="64">
        <f>IFERROR(up_RadSpec!$O$17*V17,".")*$B$66</f>
        <v>2698.0422946328017</v>
      </c>
      <c r="W66" s="64">
        <f>IFERROR(up_RadSpec!$K$17*W17,".")*$B$66</f>
        <v>943.34631396702321</v>
      </c>
      <c r="X66" s="73">
        <f t="shared" si="71"/>
        <v>1</v>
      </c>
      <c r="Y66" s="73">
        <f t="shared" si="71"/>
        <v>1</v>
      </c>
      <c r="Z66" s="73">
        <f t="shared" si="71"/>
        <v>1</v>
      </c>
      <c r="AA66" s="73">
        <f t="shared" si="71"/>
        <v>1</v>
      </c>
      <c r="AB66" s="73">
        <f t="shared" si="71"/>
        <v>1</v>
      </c>
      <c r="AC66" s="56">
        <f t="shared" si="76"/>
        <v>2.9096728436596409E-11</v>
      </c>
      <c r="AD66" s="56">
        <f t="shared" si="76"/>
        <v>1.5930458819036533E-7</v>
      </c>
      <c r="AE66" s="56">
        <f t="shared" si="72"/>
        <v>2.909141493615145E-11</v>
      </c>
      <c r="AF66" s="64">
        <f>IFERROR(up_RadSpec!$G$17*AF17,".")*$B$66</f>
        <v>1909321184.375</v>
      </c>
      <c r="AG66" s="64">
        <f>IFERROR(up_RadSpec!$J$17*AG17,".")*$B$66</f>
        <v>348734.46289954329</v>
      </c>
      <c r="AH66" s="73">
        <f t="shared" si="73"/>
        <v>1</v>
      </c>
      <c r="AI66" s="73">
        <f t="shared" si="73"/>
        <v>1</v>
      </c>
      <c r="AJ66" s="73">
        <f t="shared" si="74"/>
        <v>1</v>
      </c>
    </row>
    <row r="67" spans="1:36" x14ac:dyDescent="0.25">
      <c r="A67" s="55" t="s">
        <v>309</v>
      </c>
      <c r="B67" s="60">
        <v>2.0000000000000001E-4</v>
      </c>
      <c r="C67" s="56">
        <f>IFERROR(C5/$B53,0)</f>
        <v>3.6363636363636364E-5</v>
      </c>
      <c r="D67" s="56">
        <f>IFERROR(D5/$B53,0)</f>
        <v>4.5125160444768594E-2</v>
      </c>
      <c r="E67" s="56">
        <f>IFERROR(E5/$B53,0)</f>
        <v>0</v>
      </c>
      <c r="F67" s="56">
        <f t="shared" si="67"/>
        <v>3.6334356704092297E-5</v>
      </c>
      <c r="G67" s="64">
        <f>IFERROR(up_RadSpec!$I$5*G5,".")*$B$67</f>
        <v>1527.7625</v>
      </c>
      <c r="H67" s="64">
        <f>IFERROR(up_RadSpec!$G$5*H5,".")*$B$67</f>
        <v>1.2311313567072433</v>
      </c>
      <c r="I67" s="64">
        <f>IFERROR(up_RadSpec!$F$5*I5,".")*$B$67</f>
        <v>0</v>
      </c>
      <c r="J67" s="73">
        <f t="shared" si="68"/>
        <v>1</v>
      </c>
      <c r="K67" s="73">
        <f t="shared" si="68"/>
        <v>0.70803792249532926</v>
      </c>
      <c r="L67" s="73">
        <f t="shared" si="68"/>
        <v>0</v>
      </c>
      <c r="M67" s="73">
        <f t="shared" si="69"/>
        <v>1</v>
      </c>
      <c r="N67" s="56">
        <f t="shared" ref="N67:AD67" si="77">IFERROR(N5/$B53,0)</f>
        <v>0</v>
      </c>
      <c r="O67" s="56">
        <f t="shared" si="77"/>
        <v>0</v>
      </c>
      <c r="P67" s="56">
        <f t="shared" si="77"/>
        <v>0</v>
      </c>
      <c r="Q67" s="56">
        <f t="shared" si="77"/>
        <v>0</v>
      </c>
      <c r="R67" s="56">
        <f t="shared" si="77"/>
        <v>0</v>
      </c>
      <c r="S67" s="64">
        <f>IFERROR(up_RadSpec!$F$5*S5,".")*$B$67</f>
        <v>0</v>
      </c>
      <c r="T67" s="64">
        <f>IFERROR(up_RadSpec!$M$5*T5,".")*$B$67</f>
        <v>0</v>
      </c>
      <c r="U67" s="64">
        <f>IFERROR(up_RadSpec!$N$5*U5,".")*$B$67</f>
        <v>0</v>
      </c>
      <c r="V67" s="64">
        <f>IFERROR(up_RadSpec!$O$5*V5,".")*$B$67</f>
        <v>0</v>
      </c>
      <c r="W67" s="64">
        <f>IFERROR(up_RadSpec!$K$5*W5,".")*$B$67</f>
        <v>0</v>
      </c>
      <c r="X67" s="73">
        <f t="shared" si="71"/>
        <v>0</v>
      </c>
      <c r="Y67" s="73">
        <f t="shared" si="71"/>
        <v>0</v>
      </c>
      <c r="Z67" s="73">
        <f t="shared" si="71"/>
        <v>0</v>
      </c>
      <c r="AA67" s="73">
        <f t="shared" si="71"/>
        <v>0</v>
      </c>
      <c r="AB67" s="73">
        <f t="shared" si="71"/>
        <v>0</v>
      </c>
      <c r="AC67" s="56">
        <f t="shared" si="77"/>
        <v>1.4545454545454543E-7</v>
      </c>
      <c r="AD67" s="56">
        <f t="shared" si="77"/>
        <v>7.9636363636363628E-4</v>
      </c>
      <c r="AE67" s="56">
        <f t="shared" si="72"/>
        <v>1.4542798326582108E-7</v>
      </c>
      <c r="AF67" s="64">
        <f>IFERROR(up_RadSpec!$G$5*AF5,".")*$B$67</f>
        <v>381940.625</v>
      </c>
      <c r="AG67" s="64">
        <f>IFERROR(up_RadSpec!$J$5*AG5,".")*$B$67</f>
        <v>69.760844748858432</v>
      </c>
      <c r="AH67" s="73">
        <f t="shared" si="73"/>
        <v>1</v>
      </c>
      <c r="AI67" s="73">
        <f t="shared" si="73"/>
        <v>1</v>
      </c>
      <c r="AJ67" s="73">
        <f t="shared" si="74"/>
        <v>1</v>
      </c>
    </row>
    <row r="68" spans="1:36" x14ac:dyDescent="0.25">
      <c r="A68" s="55" t="s">
        <v>310</v>
      </c>
      <c r="B68" s="60">
        <v>0.99999979999999999</v>
      </c>
      <c r="C68" s="56">
        <f>IFERROR(C9/$B54,0)</f>
        <v>7.2727287272730187E-9</v>
      </c>
      <c r="D68" s="56">
        <f>IFERROR(D9/$B54,0)</f>
        <v>9.0250338939604981E-6</v>
      </c>
      <c r="E68" s="56">
        <f>IFERROR(E9/$B54,0)</f>
        <v>6.5005466263427216E-6</v>
      </c>
      <c r="F68" s="56">
        <f t="shared" si="67"/>
        <v>7.2587583268355892E-9</v>
      </c>
      <c r="G68" s="64">
        <f>IFERROR(up_RadSpec!$I$9*G9,".")*$B$68</f>
        <v>7638810.9722375004</v>
      </c>
      <c r="H68" s="64">
        <f>IFERROR(up_RadSpec!$G$9*H9,".")*$B$68</f>
        <v>6155.6555524048599</v>
      </c>
      <c r="I68" s="64">
        <f>IFERROR(up_RadSpec!$F$9*I9,".")*$B$68</f>
        <v>8546.204372239974</v>
      </c>
      <c r="J68" s="73">
        <f t="shared" si="68"/>
        <v>1</v>
      </c>
      <c r="K68" s="73">
        <f t="shared" si="68"/>
        <v>1</v>
      </c>
      <c r="L68" s="73">
        <f t="shared" si="68"/>
        <v>1</v>
      </c>
      <c r="M68" s="73">
        <f t="shared" si="69"/>
        <v>1</v>
      </c>
      <c r="N68" s="56">
        <f t="shared" ref="N68:AD68" si="78">IFERROR(N9/$B54,0)</f>
        <v>6.5005466263427216E-6</v>
      </c>
      <c r="O68" s="56">
        <f t="shared" si="78"/>
        <v>1.3314207208295994E-5</v>
      </c>
      <c r="P68" s="56">
        <f t="shared" si="78"/>
        <v>9.3681367295272965E-6</v>
      </c>
      <c r="Q68" s="56">
        <f t="shared" si="78"/>
        <v>7.7223155940498947E-6</v>
      </c>
      <c r="R68" s="56">
        <f t="shared" si="78"/>
        <v>2.3583182102630712E-5</v>
      </c>
      <c r="S68" s="64">
        <f>IFERROR(up_RadSpec!$F$9*S9,".")*$B$68</f>
        <v>8546.204372239974</v>
      </c>
      <c r="T68" s="64">
        <f>IFERROR(up_RadSpec!$M$9*T9,".")*$B$68</f>
        <v>4172.6104401758175</v>
      </c>
      <c r="U68" s="64">
        <f>IFERROR(up_RadSpec!$N$9*U9,".")*$B$68</f>
        <v>5930.2080663379911</v>
      </c>
      <c r="V68" s="64">
        <f>IFERROR(up_RadSpec!$O$9*V9,".")*$B$68</f>
        <v>7194.0856759086037</v>
      </c>
      <c r="W68" s="64">
        <f>IFERROR(up_RadSpec!$K$9*W9,".")*$B$68</f>
        <v>2355.7041521467454</v>
      </c>
      <c r="X68" s="73">
        <f t="shared" si="71"/>
        <v>1</v>
      </c>
      <c r="Y68" s="73">
        <f t="shared" si="71"/>
        <v>1</v>
      </c>
      <c r="Z68" s="73">
        <f t="shared" si="71"/>
        <v>1</v>
      </c>
      <c r="AA68" s="73">
        <f t="shared" si="71"/>
        <v>1</v>
      </c>
      <c r="AB68" s="73">
        <f t="shared" si="71"/>
        <v>1</v>
      </c>
      <c r="AC68" s="56">
        <f t="shared" si="78"/>
        <v>2.909091490909207E-11</v>
      </c>
      <c r="AD68" s="56">
        <f t="shared" si="78"/>
        <v>1.5927275912727909E-7</v>
      </c>
      <c r="AE68" s="56">
        <f t="shared" si="72"/>
        <v>2.9085602470284717E-11</v>
      </c>
      <c r="AF68" s="64">
        <f>IFERROR(up_RadSpec!$G$9*AF9,".")*$B$68</f>
        <v>1909702743.059375</v>
      </c>
      <c r="AG68" s="64">
        <f>IFERROR(up_RadSpec!$J$9*AG9,".")*$B$68</f>
        <v>348804.15398344741</v>
      </c>
      <c r="AH68" s="73">
        <f t="shared" si="73"/>
        <v>1</v>
      </c>
      <c r="AI68" s="73">
        <f t="shared" si="73"/>
        <v>1</v>
      </c>
      <c r="AJ68" s="73">
        <f t="shared" si="74"/>
        <v>1</v>
      </c>
    </row>
    <row r="69" spans="1:36" x14ac:dyDescent="0.25">
      <c r="A69" s="55" t="s">
        <v>311</v>
      </c>
      <c r="B69" s="60">
        <v>1.9999999999999999E-7</v>
      </c>
      <c r="C69" s="56">
        <f>IFERROR(C24/$B55,0)</f>
        <v>3.6363636363636369E-2</v>
      </c>
      <c r="D69" s="56">
        <f>IFERROR(D24/$B55,0)</f>
        <v>45.125160444768603</v>
      </c>
      <c r="E69" s="56">
        <f>IFERROR(E24/$B55,0)</f>
        <v>57.359202844475682</v>
      </c>
      <c r="F69" s="56">
        <f t="shared" si="67"/>
        <v>3.6311355168755631E-2</v>
      </c>
      <c r="G69" s="64">
        <f>IFERROR(up_RadSpec!$I$24*G24,".")*$B$69</f>
        <v>1.5277624999999999</v>
      </c>
      <c r="H69" s="64">
        <f>IFERROR(up_RadSpec!$G$24*H24,".")*$B$69</f>
        <v>1.2311313567072433E-3</v>
      </c>
      <c r="I69" s="64">
        <f>IFERROR(up_RadSpec!$F$24*I24,".")*$B$69</f>
        <v>9.6854553837912255E-4</v>
      </c>
      <c r="J69" s="73">
        <f t="shared" si="68"/>
        <v>0.7829792916911219</v>
      </c>
      <c r="K69" s="73">
        <f t="shared" si="68"/>
        <v>1.2311313567072433E-3</v>
      </c>
      <c r="L69" s="73">
        <f t="shared" si="68"/>
        <v>9.6854553837912255E-4</v>
      </c>
      <c r="M69" s="73">
        <f t="shared" si="69"/>
        <v>0.78345614247784201</v>
      </c>
      <c r="N69" s="56">
        <f t="shared" ref="N69:AD69" si="79">IFERROR(N24/$B55,0)</f>
        <v>57.359202844475682</v>
      </c>
      <c r="O69" s="56">
        <f t="shared" si="79"/>
        <v>103.99309302827544</v>
      </c>
      <c r="P69" s="56">
        <f t="shared" si="79"/>
        <v>73.425843503879179</v>
      </c>
      <c r="Q69" s="56">
        <f t="shared" si="79"/>
        <v>61.315340034157401</v>
      </c>
      <c r="R69" s="56">
        <f t="shared" si="79"/>
        <v>172.83716283716277</v>
      </c>
      <c r="S69" s="64">
        <f>IFERROR(up_RadSpec!$F$24*S24,".")*$B$69</f>
        <v>9.6854553837912255E-4</v>
      </c>
      <c r="T69" s="64">
        <f>IFERROR(up_RadSpec!$M$24*T24,".")*$B$69</f>
        <v>5.3421817144043155E-4</v>
      </c>
      <c r="U69" s="64">
        <f>IFERROR(up_RadSpec!$N$24*U24,".")*$B$69</f>
        <v>7.5661371186106917E-4</v>
      </c>
      <c r="V69" s="64">
        <f>IFERROR(up_RadSpec!$O$24*V24,".")*$B$69</f>
        <v>9.0605385159817336E-4</v>
      </c>
      <c r="W69" s="64">
        <f>IFERROR(up_RadSpec!$K$24*W24,".")*$B$69</f>
        <v>3.2142971504537309E-4</v>
      </c>
      <c r="X69" s="73">
        <f t="shared" si="71"/>
        <v>9.6854553837912255E-4</v>
      </c>
      <c r="Y69" s="73">
        <f t="shared" si="71"/>
        <v>5.3421817144043155E-4</v>
      </c>
      <c r="Z69" s="73">
        <f t="shared" si="71"/>
        <v>7.5661371186106917E-4</v>
      </c>
      <c r="AA69" s="73">
        <f t="shared" si="71"/>
        <v>9.0605385159817336E-4</v>
      </c>
      <c r="AB69" s="73">
        <f t="shared" si="71"/>
        <v>3.2142971504537309E-4</v>
      </c>
      <c r="AC69" s="56">
        <f t="shared" si="79"/>
        <v>1.4545454545454546E-4</v>
      </c>
      <c r="AD69" s="56">
        <f t="shared" si="79"/>
        <v>0.79636363636363638</v>
      </c>
      <c r="AE69" s="56">
        <f t="shared" si="72"/>
        <v>1.4542798326582112E-4</v>
      </c>
      <c r="AF69" s="64">
        <f>IFERROR(up_RadSpec!$G$24*AF24,".")*$B$69</f>
        <v>381.94062499999995</v>
      </c>
      <c r="AG69" s="64">
        <f>IFERROR(up_RadSpec!$J$24*AG24,".")*$B$69</f>
        <v>6.9760844748858436E-2</v>
      </c>
      <c r="AH69" s="73">
        <f t="shared" si="73"/>
        <v>1</v>
      </c>
      <c r="AI69" s="73">
        <f t="shared" si="73"/>
        <v>6.7383166549522144E-2</v>
      </c>
      <c r="AJ69" s="73">
        <f t="shared" si="74"/>
        <v>1</v>
      </c>
    </row>
    <row r="70" spans="1:36" x14ac:dyDescent="0.25">
      <c r="A70" s="55" t="s">
        <v>312</v>
      </c>
      <c r="B70" s="60">
        <v>0.99979000004200003</v>
      </c>
      <c r="C70" s="56">
        <f>IFERROR(C20/$B56,0)</f>
        <v>7.2742548659436024E-9</v>
      </c>
      <c r="D70" s="56">
        <f>IFERROR(D20/$B56,0)</f>
        <v>9.0269277434007028E-6</v>
      </c>
      <c r="E70" s="56">
        <f>IFERROR(E20/$B56,0)</f>
        <v>8.9867401056842018E-6</v>
      </c>
      <c r="F70" s="56">
        <f t="shared" si="67"/>
        <v>7.2625238375382385E-9</v>
      </c>
      <c r="G70" s="64">
        <f>IFERROR(up_RadSpec!$I$20*G20,".")*$B$70</f>
        <v>7637208.3496958306</v>
      </c>
      <c r="H70" s="64">
        <f>IFERROR(up_RadSpec!$G$20*H20,".")*$B$70</f>
        <v>6154.3640958702117</v>
      </c>
      <c r="I70" s="64">
        <f>IFERROR(up_RadSpec!$F$20*I20,".")*$B$70</f>
        <v>6181.8856834260632</v>
      </c>
      <c r="J70" s="73">
        <f t="shared" si="68"/>
        <v>1</v>
      </c>
      <c r="K70" s="73">
        <f t="shared" si="68"/>
        <v>1</v>
      </c>
      <c r="L70" s="73">
        <f t="shared" si="68"/>
        <v>1</v>
      </c>
      <c r="M70" s="73">
        <f t="shared" si="69"/>
        <v>1</v>
      </c>
      <c r="N70" s="56">
        <f t="shared" ref="N70:AD70" si="80">IFERROR(N20/$B56,0)</f>
        <v>8.9867401056842018E-6</v>
      </c>
      <c r="O70" s="56">
        <f t="shared" si="80"/>
        <v>1.7722702620115082E-5</v>
      </c>
      <c r="P70" s="56">
        <f t="shared" si="80"/>
        <v>1.2400206440434083E-5</v>
      </c>
      <c r="Q70" s="56">
        <f t="shared" si="80"/>
        <v>1.0412168729683984E-5</v>
      </c>
      <c r="R70" s="56">
        <f t="shared" si="80"/>
        <v>3.0198806940654387E-5</v>
      </c>
      <c r="S70" s="64">
        <f>IFERROR(up_RadSpec!$F$20*S20,".")*$B$70</f>
        <v>6181.8856834260632</v>
      </c>
      <c r="T70" s="64">
        <f>IFERROR(up_RadSpec!$M$20*T20,".")*$B$70</f>
        <v>3134.6799182279146</v>
      </c>
      <c r="U70" s="64">
        <f>IFERROR(up_RadSpec!$N$20*U20,".")*$B$70</f>
        <v>4480.1673477667709</v>
      </c>
      <c r="V70" s="64">
        <f>IFERROR(up_RadSpec!$O$20*V20,".")*$B$70</f>
        <v>5335.5839155409194</v>
      </c>
      <c r="W70" s="64">
        <f>IFERROR(up_RadSpec!$K$20*W20,".")*$B$70</f>
        <v>1839.6422119978015</v>
      </c>
      <c r="X70" s="73">
        <f t="shared" si="71"/>
        <v>1</v>
      </c>
      <c r="Y70" s="73">
        <f t="shared" si="71"/>
        <v>1</v>
      </c>
      <c r="Z70" s="73">
        <f t="shared" si="71"/>
        <v>1</v>
      </c>
      <c r="AA70" s="73">
        <f t="shared" si="71"/>
        <v>1</v>
      </c>
      <c r="AB70" s="73">
        <f t="shared" si="71"/>
        <v>1</v>
      </c>
      <c r="AC70" s="56">
        <f t="shared" si="80"/>
        <v>2.9097019463774407E-11</v>
      </c>
      <c r="AD70" s="56">
        <f t="shared" si="80"/>
        <v>1.5930618156416487E-7</v>
      </c>
      <c r="AE70" s="56">
        <f t="shared" si="72"/>
        <v>2.9091705910183507E-11</v>
      </c>
      <c r="AF70" s="64">
        <f>IFERROR(up_RadSpec!$G$20*AF20,".")*$B$70</f>
        <v>1909302087.4239576</v>
      </c>
      <c r="AG70" s="64">
        <f>IFERROR(up_RadSpec!$J$20*AG20,".")*$B$70</f>
        <v>348730.97487195564</v>
      </c>
      <c r="AH70" s="73">
        <f t="shared" si="73"/>
        <v>1</v>
      </c>
      <c r="AI70" s="73">
        <f t="shared" si="73"/>
        <v>1</v>
      </c>
      <c r="AJ70" s="73">
        <f t="shared" si="74"/>
        <v>1</v>
      </c>
    </row>
    <row r="71" spans="1:36" x14ac:dyDescent="0.25">
      <c r="A71" s="55" t="s">
        <v>313</v>
      </c>
      <c r="B71" s="60">
        <v>2.0999995799999999E-4</v>
      </c>
      <c r="C71" s="56">
        <f>IFERROR(C29/$B57,0)</f>
        <v>3.4632041558442949E-5</v>
      </c>
      <c r="D71" s="56">
        <f>IFERROR(D29/$B57,0)</f>
        <v>4.2976351876002378E-2</v>
      </c>
      <c r="E71" s="56">
        <f>IFERROR(E29/$B57,0)</f>
        <v>3.3673983031723739E-2</v>
      </c>
      <c r="F71" s="56">
        <f t="shared" si="67"/>
        <v>3.4568632644230058E-5</v>
      </c>
      <c r="G71" s="64">
        <f>IFERROR(up_RadSpec!$I$29*G29,".")*$B$71</f>
        <v>1604.150304169875</v>
      </c>
      <c r="H71" s="64">
        <f>IFERROR(up_RadSpec!$G$29*H29,".")*$B$71</f>
        <v>1.2926876660050206</v>
      </c>
      <c r="I71" s="64">
        <f>IFERROR(up_RadSpec!$F$29*I29,".")*$B$71</f>
        <v>1.6497899861641698</v>
      </c>
      <c r="J71" s="73">
        <f t="shared" si="68"/>
        <v>1</v>
      </c>
      <c r="K71" s="73">
        <f t="shared" si="68"/>
        <v>0.72546805951030835</v>
      </c>
      <c r="L71" s="73">
        <f t="shared" si="68"/>
        <v>0.80790975400571063</v>
      </c>
      <c r="M71" s="73">
        <f t="shared" si="69"/>
        <v>1</v>
      </c>
      <c r="N71" s="56">
        <f t="shared" ref="N71:AD71" si="81">IFERROR(N29/$B57,0)</f>
        <v>3.3673983031723739E-2</v>
      </c>
      <c r="O71" s="56">
        <f t="shared" si="81"/>
        <v>6.7195274318526232E-2</v>
      </c>
      <c r="P71" s="56">
        <f t="shared" si="81"/>
        <v>4.7869627640587928E-2</v>
      </c>
      <c r="Q71" s="56">
        <f t="shared" si="81"/>
        <v>4.0605802326954647E-2</v>
      </c>
      <c r="R71" s="56">
        <f t="shared" si="81"/>
        <v>0.12066118115702963</v>
      </c>
      <c r="S71" s="64">
        <f>IFERROR(up_RadSpec!$F$29*S29,".")*$B$71</f>
        <v>1.6497899861641698</v>
      </c>
      <c r="T71" s="64">
        <f>IFERROR(up_RadSpec!$M$29*T29,".")*$B$71</f>
        <v>0.82676945013502323</v>
      </c>
      <c r="U71" s="64">
        <f>IFERROR(up_RadSpec!$N$29*U29,".")*$B$71</f>
        <v>1.1605479870684381</v>
      </c>
      <c r="V71" s="64">
        <f>IFERROR(up_RadSpec!$O$29*V29,".")*$B$71</f>
        <v>1.3681542246764542</v>
      </c>
      <c r="W71" s="64">
        <f>IFERROR(up_RadSpec!$K$29*W29,".")*$B$71</f>
        <v>0.46042148325815052</v>
      </c>
      <c r="X71" s="73">
        <f t="shared" si="71"/>
        <v>0.80790975400571063</v>
      </c>
      <c r="Y71" s="73">
        <f t="shared" si="71"/>
        <v>0.56253975685934954</v>
      </c>
      <c r="Z71" s="73">
        <f t="shared" si="71"/>
        <v>0.68668555843089329</v>
      </c>
      <c r="AA71" s="73">
        <f t="shared" si="71"/>
        <v>0.74542358296848343</v>
      </c>
      <c r="AB71" s="73">
        <f t="shared" si="71"/>
        <v>0.36898237391549482</v>
      </c>
      <c r="AC71" s="56">
        <f t="shared" si="81"/>
        <v>1.3852816623377178E-7</v>
      </c>
      <c r="AD71" s="56">
        <f t="shared" si="81"/>
        <v>7.5844171012990041E-4</v>
      </c>
      <c r="AE71" s="56">
        <f t="shared" si="72"/>
        <v>1.3850286890611771E-7</v>
      </c>
      <c r="AF71" s="64">
        <f>IFERROR(up_RadSpec!$G$29*AF29,".")*$B$71</f>
        <v>401037.57604246872</v>
      </c>
      <c r="AG71" s="64">
        <f>IFERROR(up_RadSpec!$J$29*AG29,".")*$B$71</f>
        <v>73.248872336523945</v>
      </c>
      <c r="AH71" s="73">
        <f t="shared" si="73"/>
        <v>1</v>
      </c>
      <c r="AI71" s="73">
        <f t="shared" si="73"/>
        <v>1</v>
      </c>
      <c r="AJ71" s="73">
        <f t="shared" si="74"/>
        <v>1</v>
      </c>
    </row>
    <row r="72" spans="1:36" x14ac:dyDescent="0.25">
      <c r="A72" s="55" t="s">
        <v>314</v>
      </c>
      <c r="B72" s="60">
        <v>1</v>
      </c>
      <c r="C72" s="56">
        <f>IFERROR(C16/$B58,0)</f>
        <v>7.2727272727272728E-9</v>
      </c>
      <c r="D72" s="56">
        <f>IFERROR(D16/$B58,0)</f>
        <v>9.0250320889537196E-6</v>
      </c>
      <c r="E72" s="56">
        <f>IFERROR(E16/$B58,0)</f>
        <v>0.19123655075627641</v>
      </c>
      <c r="F72" s="56">
        <f t="shared" si="67"/>
        <v>7.2668710646818273E-9</v>
      </c>
      <c r="G72" s="64">
        <f>IFERROR(up_RadSpec!$I$16*G16,".")*$B$72</f>
        <v>7638812.5</v>
      </c>
      <c r="H72" s="64">
        <f>IFERROR(up_RadSpec!$G$16*H16,".")*$B$72</f>
        <v>6155.6567835362166</v>
      </c>
      <c r="I72" s="64">
        <f>IFERROR(up_RadSpec!$F$16*I16,".")*$B$72</f>
        <v>0.29050408920417459</v>
      </c>
      <c r="J72" s="73">
        <f t="shared" si="68"/>
        <v>1</v>
      </c>
      <c r="K72" s="73">
        <f t="shared" si="68"/>
        <v>1</v>
      </c>
      <c r="L72" s="73">
        <f t="shared" si="68"/>
        <v>0.25211352895459749</v>
      </c>
      <c r="M72" s="73">
        <f t="shared" si="69"/>
        <v>1</v>
      </c>
      <c r="N72" s="56">
        <f t="shared" ref="N72:AD72" si="82">IFERROR(N16/$B58,0)</f>
        <v>0.19123655075627641</v>
      </c>
      <c r="O72" s="56">
        <f t="shared" si="82"/>
        <v>0.34058573540280868</v>
      </c>
      <c r="P72" s="56">
        <f t="shared" si="82"/>
        <v>0.20460345140494443</v>
      </c>
      <c r="Q72" s="56">
        <f t="shared" si="82"/>
        <v>0.20566062345115443</v>
      </c>
      <c r="R72" s="56">
        <f t="shared" si="82"/>
        <v>7.963636363636363</v>
      </c>
      <c r="S72" s="64">
        <f>IFERROR(up_RadSpec!$F$16*S16,".")*$B$72</f>
        <v>0.29050408920417459</v>
      </c>
      <c r="T72" s="64">
        <f>IFERROR(up_RadSpec!$M$16*T16,".")*$B$72</f>
        <v>0.1631160504543604</v>
      </c>
      <c r="U72" s="64">
        <f>IFERROR(up_RadSpec!$N$16*U16,".")*$B$72</f>
        <v>0.27152523390256683</v>
      </c>
      <c r="V72" s="64">
        <f>IFERROR(up_RadSpec!$O$16*V16,".")*$B$72</f>
        <v>0.27012949327752395</v>
      </c>
      <c r="W72" s="64">
        <f>IFERROR(up_RadSpec!$K$16*W16,".")*$B$72</f>
        <v>6.9760844748858429E-3</v>
      </c>
      <c r="X72" s="73">
        <f t="shared" si="71"/>
        <v>0.25211352895459749</v>
      </c>
      <c r="Y72" s="73">
        <f t="shared" si="71"/>
        <v>0.15050740130804419</v>
      </c>
      <c r="Z72" s="73">
        <f t="shared" si="71"/>
        <v>0.23778395046016243</v>
      </c>
      <c r="AA72" s="73">
        <f t="shared" si="71"/>
        <v>0.23671935177577141</v>
      </c>
      <c r="AB72" s="73">
        <f t="shared" si="71"/>
        <v>6.9760844748858429E-3</v>
      </c>
      <c r="AC72" s="56">
        <f t="shared" si="82"/>
        <v>2.9090909090909089E-11</v>
      </c>
      <c r="AD72" s="56">
        <f t="shared" si="82"/>
        <v>1.5927272727272726E-7</v>
      </c>
      <c r="AE72" s="56">
        <f t="shared" si="72"/>
        <v>2.9085596653164224E-11</v>
      </c>
      <c r="AF72" s="64">
        <f>IFERROR(up_RadSpec!$G$16*AF16,".")*$B$72</f>
        <v>1909703125</v>
      </c>
      <c r="AG72" s="64">
        <f>IFERROR(up_RadSpec!$J$16*AG16,".")*$B$72</f>
        <v>348804.22374429216</v>
      </c>
      <c r="AH72" s="73">
        <f t="shared" si="73"/>
        <v>1</v>
      </c>
      <c r="AI72" s="73">
        <f t="shared" si="73"/>
        <v>1</v>
      </c>
      <c r="AJ72" s="73">
        <f t="shared" si="74"/>
        <v>1</v>
      </c>
    </row>
    <row r="73" spans="1:36" x14ac:dyDescent="0.25">
      <c r="A73" s="55" t="s">
        <v>315</v>
      </c>
      <c r="B73" s="60">
        <v>1</v>
      </c>
      <c r="C73" s="56">
        <f>IFERROR(C7/$B59,0)</f>
        <v>7.2727272727272728E-9</v>
      </c>
      <c r="D73" s="56">
        <f>IFERROR(D7/$B59,0)</f>
        <v>9.0250320889537196E-6</v>
      </c>
      <c r="E73" s="56">
        <f>IFERROR(E7/$B59,0)</f>
        <v>2.2960849369608488E-5</v>
      </c>
      <c r="F73" s="56">
        <f t="shared" si="67"/>
        <v>7.264572178861508E-9</v>
      </c>
      <c r="G73" s="64">
        <f>IFERROR(up_RadSpec!$I$7*G7,".")*$B$73</f>
        <v>7638812.5</v>
      </c>
      <c r="H73" s="64">
        <f>IFERROR(up_RadSpec!$G$7*H7,".")*$B$73</f>
        <v>6155.6567835362166</v>
      </c>
      <c r="I73" s="64">
        <f>IFERROR(up_RadSpec!$F$7*I7,".")*$B$73</f>
        <v>2419.553349517369</v>
      </c>
      <c r="J73" s="73">
        <f t="shared" si="68"/>
        <v>1</v>
      </c>
      <c r="K73" s="73">
        <f t="shared" si="68"/>
        <v>1</v>
      </c>
      <c r="L73" s="73">
        <f t="shared" si="68"/>
        <v>1</v>
      </c>
      <c r="M73" s="73">
        <f t="shared" si="69"/>
        <v>1</v>
      </c>
      <c r="N73" s="56">
        <f t="shared" ref="N73:AD73" si="83">IFERROR(N7/$B59,0)</f>
        <v>2.2960849369608488E-5</v>
      </c>
      <c r="O73" s="56">
        <f t="shared" si="83"/>
        <v>3.6527883880825083E-5</v>
      </c>
      <c r="P73" s="56">
        <f t="shared" si="83"/>
        <v>2.6761363636363635E-5</v>
      </c>
      <c r="Q73" s="56">
        <f t="shared" si="83"/>
        <v>2.4617839919508715E-5</v>
      </c>
      <c r="R73" s="56">
        <f t="shared" si="83"/>
        <v>6.2510591013264786E-5</v>
      </c>
      <c r="S73" s="64">
        <f>IFERROR(up_RadSpec!$F$7*S7,".")*$B$73</f>
        <v>2419.553349517369</v>
      </c>
      <c r="T73" s="64">
        <f>IFERROR(up_RadSpec!$M$7*T7,".")*$B$73</f>
        <v>1520.8929206316</v>
      </c>
      <c r="U73" s="64">
        <f>IFERROR(up_RadSpec!$N$7*U7,".")*$B$73</f>
        <v>2075.9405520169848</v>
      </c>
      <c r="V73" s="64">
        <f>IFERROR(up_RadSpec!$O$7*V7,".")*$B$73</f>
        <v>2256.6967768758109</v>
      </c>
      <c r="W73" s="64">
        <f>IFERROR(up_RadSpec!$K$7*W7,".")*$B$73</f>
        <v>888.72939928229425</v>
      </c>
      <c r="X73" s="73">
        <f t="shared" si="71"/>
        <v>1</v>
      </c>
      <c r="Y73" s="73">
        <f t="shared" si="71"/>
        <v>1</v>
      </c>
      <c r="Z73" s="73">
        <f t="shared" si="71"/>
        <v>1</v>
      </c>
      <c r="AA73" s="73">
        <f t="shared" si="71"/>
        <v>1</v>
      </c>
      <c r="AB73" s="73">
        <f t="shared" si="71"/>
        <v>1</v>
      </c>
      <c r="AC73" s="56">
        <f t="shared" si="83"/>
        <v>2.9090909090909089E-11</v>
      </c>
      <c r="AD73" s="56">
        <f t="shared" si="83"/>
        <v>1.5927272727272726E-7</v>
      </c>
      <c r="AE73" s="56">
        <f t="shared" si="72"/>
        <v>2.9085596653164224E-11</v>
      </c>
      <c r="AF73" s="64">
        <f>IFERROR(up_RadSpec!$G$7*AF7,".")*$B$73</f>
        <v>1909703125</v>
      </c>
      <c r="AG73" s="64">
        <f>IFERROR(up_RadSpec!$J$7*AG7,".")*$B$73</f>
        <v>348804.22374429216</v>
      </c>
      <c r="AH73" s="73">
        <f t="shared" si="73"/>
        <v>1</v>
      </c>
      <c r="AI73" s="73">
        <f t="shared" si="73"/>
        <v>1</v>
      </c>
      <c r="AJ73" s="73">
        <f t="shared" si="74"/>
        <v>1</v>
      </c>
    </row>
    <row r="74" spans="1:36" x14ac:dyDescent="0.25">
      <c r="A74" s="55" t="s">
        <v>316</v>
      </c>
      <c r="B74" s="62">
        <v>1.9000000000000001E-8</v>
      </c>
      <c r="C74" s="56">
        <f>IFERROR(C12/$B60,0)</f>
        <v>0.38277511961722488</v>
      </c>
      <c r="D74" s="56">
        <f>IFERROR(D12/$B60,0)</f>
        <v>475.00168889230099</v>
      </c>
      <c r="E74" s="56">
        <f>IFERROR(E12/$B60,0)</f>
        <v>937.921819987361</v>
      </c>
      <c r="F74" s="56">
        <f t="shared" si="67"/>
        <v>0.3823110134196559</v>
      </c>
      <c r="G74" s="64">
        <f>IFERROR(up_RadSpec!$I$12*G12,".")*$B$74</f>
        <v>0.14513743750000002</v>
      </c>
      <c r="H74" s="64">
        <f>IFERROR(up_RadSpec!$G$12*H12,".")*$B$74</f>
        <v>1.1695747888718812E-4</v>
      </c>
      <c r="I74" s="64">
        <f>IFERROR(up_RadSpec!$F$12*I12,".")*$B$74</f>
        <v>5.9232015735329223E-5</v>
      </c>
      <c r="J74" s="73">
        <f t="shared" si="68"/>
        <v>0.13509658522131063</v>
      </c>
      <c r="K74" s="73">
        <f t="shared" si="68"/>
        <v>1.1695747888718812E-4</v>
      </c>
      <c r="L74" s="73">
        <f t="shared" si="68"/>
        <v>5.9232015735329223E-5</v>
      </c>
      <c r="M74" s="73">
        <f t="shared" si="69"/>
        <v>0.13524895869316111</v>
      </c>
      <c r="N74" s="56">
        <f t="shared" ref="N74:AD74" si="84">IFERROR(N12/$B60,0)</f>
        <v>937.921819987361</v>
      </c>
      <c r="O74" s="56">
        <f t="shared" si="84"/>
        <v>1682.6919002655904</v>
      </c>
      <c r="P74" s="56">
        <f t="shared" si="84"/>
        <v>1220.0990908705899</v>
      </c>
      <c r="Q74" s="56">
        <f t="shared" si="84"/>
        <v>1077.5176662697249</v>
      </c>
      <c r="R74" s="56">
        <f t="shared" si="84"/>
        <v>2904.74563030954</v>
      </c>
      <c r="S74" s="64">
        <f>IFERROR(up_RadSpec!$F$12*S12,".")*$B$74</f>
        <v>5.9232015735329223E-5</v>
      </c>
      <c r="T74" s="64">
        <f>IFERROR(up_RadSpec!$M$12*T12,".")*$B$74</f>
        <v>3.3015550851128114E-5</v>
      </c>
      <c r="U74" s="64">
        <f>IFERROR(up_RadSpec!$N$12*U12,".")*$B$74</f>
        <v>4.5533186948249645E-5</v>
      </c>
      <c r="V74" s="64">
        <f>IFERROR(up_RadSpec!$O$12*V12,".")*$B$74</f>
        <v>5.1558319403083853E-5</v>
      </c>
      <c r="W74" s="64">
        <f>IFERROR(up_RadSpec!$K$12*W12,".")*$B$74</f>
        <v>1.9125598957895621E-5</v>
      </c>
      <c r="X74" s="73">
        <f t="shared" si="71"/>
        <v>5.9232015735329223E-5</v>
      </c>
      <c r="Y74" s="73">
        <f t="shared" si="71"/>
        <v>3.3015550851128114E-5</v>
      </c>
      <c r="Z74" s="73">
        <f t="shared" si="71"/>
        <v>4.5533186948249645E-5</v>
      </c>
      <c r="AA74" s="73">
        <f t="shared" si="71"/>
        <v>5.1558319403083853E-5</v>
      </c>
      <c r="AB74" s="73">
        <f t="shared" si="71"/>
        <v>1.9125598957895621E-5</v>
      </c>
      <c r="AC74" s="56">
        <f t="shared" si="84"/>
        <v>1.5311004784688993E-3</v>
      </c>
      <c r="AD74" s="56">
        <f t="shared" si="84"/>
        <v>8.3827751196172233</v>
      </c>
      <c r="AE74" s="56">
        <f t="shared" si="72"/>
        <v>1.5308208764823273E-3</v>
      </c>
      <c r="AF74" s="64">
        <f>IFERROR(up_RadSpec!$G$12*AF12,".")*$B$74</f>
        <v>36.284359375000001</v>
      </c>
      <c r="AG74" s="64">
        <f>IFERROR(up_RadSpec!$J$12*AG12,".")*$B$74</f>
        <v>6.6272802511415513E-3</v>
      </c>
      <c r="AH74" s="73">
        <f t="shared" si="73"/>
        <v>0.99999999999999978</v>
      </c>
      <c r="AI74" s="73">
        <f t="shared" si="73"/>
        <v>6.6272802511415513E-3</v>
      </c>
      <c r="AJ74" s="73">
        <f t="shared" si="74"/>
        <v>0.99999999999999978</v>
      </c>
    </row>
    <row r="75" spans="1:36" x14ac:dyDescent="0.25">
      <c r="A75" s="55" t="s">
        <v>317</v>
      </c>
      <c r="B75" s="60">
        <v>1</v>
      </c>
      <c r="C75" s="56">
        <f>IFERROR(C18/$B61,0)</f>
        <v>7.2727272727272728E-9</v>
      </c>
      <c r="D75" s="56">
        <f>IFERROR(D18/$B61,0)</f>
        <v>9.0250320889537196E-6</v>
      </c>
      <c r="E75" s="56">
        <f>IFERROR(E18/$B61,0)</f>
        <v>8.954776245426401E-6</v>
      </c>
      <c r="F75" s="56">
        <f t="shared" si="67"/>
        <v>7.2609789992624117E-9</v>
      </c>
      <c r="G75" s="64">
        <f>IFERROR(up_RadSpec!$I$18*G18,".")*$B$75</f>
        <v>7638812.5</v>
      </c>
      <c r="H75" s="64">
        <f>IFERROR(up_RadSpec!$G$18*H18,".")*$B$75</f>
        <v>6155.6567835362166</v>
      </c>
      <c r="I75" s="64">
        <f>IFERROR(up_RadSpec!$F$18*I18,".")*$B$75</f>
        <v>6203.9517769496897</v>
      </c>
      <c r="J75" s="73">
        <f t="shared" si="68"/>
        <v>1</v>
      </c>
      <c r="K75" s="73">
        <f t="shared" si="68"/>
        <v>1</v>
      </c>
      <c r="L75" s="73">
        <f t="shared" si="68"/>
        <v>1</v>
      </c>
      <c r="M75" s="73">
        <f t="shared" si="69"/>
        <v>1</v>
      </c>
      <c r="N75" s="56">
        <f t="shared" ref="N75:AD75" si="85">IFERROR(N18/$B61,0)</f>
        <v>8.954776245426401E-6</v>
      </c>
      <c r="O75" s="56">
        <f t="shared" si="85"/>
        <v>1.7718902910121041E-5</v>
      </c>
      <c r="P75" s="56">
        <f t="shared" si="85"/>
        <v>1.2408469260888121E-5</v>
      </c>
      <c r="Q75" s="56">
        <f t="shared" si="85"/>
        <v>1.0280640881722628E-5</v>
      </c>
      <c r="R75" s="56">
        <f t="shared" si="85"/>
        <v>3.0118881118881113E-5</v>
      </c>
      <c r="S75" s="64">
        <f>IFERROR(up_RadSpec!$F$18*S18,".")*$B$75</f>
        <v>6203.9517769496897</v>
      </c>
      <c r="T75" s="64">
        <f>IFERROR(up_RadSpec!$M$18*T18,".")*$B$75</f>
        <v>3135.3521310998867</v>
      </c>
      <c r="U75" s="64">
        <f>IFERROR(up_RadSpec!$N$18*U18,".")*$B$75</f>
        <v>4477.1839968295726</v>
      </c>
      <c r="V75" s="64">
        <f>IFERROR(up_RadSpec!$O$18*V18,".")*$B$75</f>
        <v>5403.8459896763925</v>
      </c>
      <c r="W75" s="64">
        <f>IFERROR(up_RadSpec!$K$18*W18,".")*$B$75</f>
        <v>1844.5240306477829</v>
      </c>
      <c r="X75" s="73">
        <f t="shared" si="71"/>
        <v>1</v>
      </c>
      <c r="Y75" s="73">
        <f t="shared" si="71"/>
        <v>1</v>
      </c>
      <c r="Z75" s="73">
        <f t="shared" si="71"/>
        <v>1</v>
      </c>
      <c r="AA75" s="73">
        <f t="shared" si="71"/>
        <v>1</v>
      </c>
      <c r="AB75" s="73">
        <f t="shared" si="71"/>
        <v>1</v>
      </c>
      <c r="AC75" s="56">
        <f t="shared" si="85"/>
        <v>2.9090909090909089E-11</v>
      </c>
      <c r="AD75" s="56">
        <f t="shared" si="85"/>
        <v>1.5927272727272726E-7</v>
      </c>
      <c r="AE75" s="56">
        <f t="shared" si="72"/>
        <v>2.9085596653164224E-11</v>
      </c>
      <c r="AF75" s="64">
        <f>IFERROR(up_RadSpec!$G$18*AF18,".")*$B$75</f>
        <v>1909703125</v>
      </c>
      <c r="AG75" s="64">
        <f>IFERROR(up_RadSpec!$J$18*AG18,".")*$B$75</f>
        <v>348804.22374429216</v>
      </c>
      <c r="AH75" s="73">
        <f t="shared" si="73"/>
        <v>1</v>
      </c>
      <c r="AI75" s="73">
        <f t="shared" si="73"/>
        <v>1</v>
      </c>
      <c r="AJ75" s="73">
        <f t="shared" si="74"/>
        <v>1</v>
      </c>
    </row>
    <row r="76" spans="1:36" x14ac:dyDescent="0.25">
      <c r="A76" s="55" t="s">
        <v>318</v>
      </c>
      <c r="B76" s="60">
        <v>1.339E-6</v>
      </c>
      <c r="C76" s="56">
        <f>IFERROR(C27/$B62,0)</f>
        <v>5.4314617421413539E-3</v>
      </c>
      <c r="D76" s="56">
        <f>IFERROR(D27/$B62,0)</f>
        <v>6.7401285205031511</v>
      </c>
      <c r="E76" s="56">
        <f>IFERROR(E27/$B62,0)</f>
        <v>10.975250882704344</v>
      </c>
      <c r="F76" s="56">
        <f t="shared" si="67"/>
        <v>5.4244060967771858E-3</v>
      </c>
      <c r="G76" s="64">
        <f>IFERROR(up_RadSpec!$I$27*G27,".")*$B$76</f>
        <v>10.2283699375</v>
      </c>
      <c r="H76" s="64">
        <f>IFERROR(up_RadSpec!$G$27*H27,".")*$B$76</f>
        <v>8.2424244331549944E-3</v>
      </c>
      <c r="I76" s="64">
        <f>IFERROR(up_RadSpec!$F$27*I27,".")*$B$76</f>
        <v>5.0618432866576099E-3</v>
      </c>
      <c r="J76" s="73">
        <f t="shared" si="68"/>
        <v>0.99996386938306392</v>
      </c>
      <c r="K76" s="73">
        <f t="shared" si="68"/>
        <v>8.2424244331549944E-3</v>
      </c>
      <c r="L76" s="73">
        <f t="shared" si="68"/>
        <v>5.0618432866576099E-3</v>
      </c>
      <c r="M76" s="73">
        <f t="shared" si="69"/>
        <v>0.99996434689097469</v>
      </c>
      <c r="N76" s="56">
        <f t="shared" ref="N76:AD76" si="86">IFERROR(N27/$B62,0)</f>
        <v>10.975250882704344</v>
      </c>
      <c r="O76" s="56">
        <f t="shared" si="86"/>
        <v>32.554466483950399</v>
      </c>
      <c r="P76" s="56">
        <f t="shared" si="86"/>
        <v>19.958335933622781</v>
      </c>
      <c r="Q76" s="56">
        <f t="shared" si="86"/>
        <v>14.518918352806814</v>
      </c>
      <c r="R76" s="56">
        <f t="shared" si="86"/>
        <v>101.82979948572957</v>
      </c>
      <c r="S76" s="64">
        <f>IFERROR(up_RadSpec!$F$27*S27,".")*$B$76</f>
        <v>5.0618432866576099E-3</v>
      </c>
      <c r="T76" s="64">
        <f>IFERROR(up_RadSpec!$M$27*T27,".")*$B$76</f>
        <v>1.7065246646689484E-3</v>
      </c>
      <c r="U76" s="64">
        <f>IFERROR(up_RadSpec!$N$27*U27,".")*$B$76</f>
        <v>2.7835486978856458E-3</v>
      </c>
      <c r="V76" s="64">
        <f>IFERROR(up_RadSpec!$O$27*V27,".")*$B$76</f>
        <v>3.82638696974696E-3</v>
      </c>
      <c r="W76" s="64">
        <f>IFERROR(up_RadSpec!$K$27*W27,".")*$B$76</f>
        <v>5.4556721392528596E-4</v>
      </c>
      <c r="X76" s="73">
        <f t="shared" si="71"/>
        <v>5.0618432866576099E-3</v>
      </c>
      <c r="Y76" s="73">
        <f t="shared" si="71"/>
        <v>1.7065246646689484E-3</v>
      </c>
      <c r="Z76" s="73">
        <f t="shared" si="71"/>
        <v>2.7835486978856458E-3</v>
      </c>
      <c r="AA76" s="73">
        <f t="shared" si="71"/>
        <v>3.82638696974696E-3</v>
      </c>
      <c r="AB76" s="73">
        <f t="shared" si="71"/>
        <v>5.4556721392528596E-4</v>
      </c>
      <c r="AC76" s="56">
        <f t="shared" si="86"/>
        <v>2.1725846968565415E-5</v>
      </c>
      <c r="AD76" s="56">
        <f t="shared" si="86"/>
        <v>0.11894901215289563</v>
      </c>
      <c r="AE76" s="56">
        <f t="shared" si="72"/>
        <v>2.1721879501989711E-5</v>
      </c>
      <c r="AF76" s="64">
        <f>IFERROR(up_RadSpec!$G$27*AF27,".")*$B$76</f>
        <v>2557.0924843749999</v>
      </c>
      <c r="AG76" s="64">
        <f>IFERROR(up_RadSpec!$J$27*AG27,".")*$B$76</f>
        <v>0.4670488555936072</v>
      </c>
      <c r="AH76" s="73">
        <f t="shared" si="73"/>
        <v>1</v>
      </c>
      <c r="AI76" s="73">
        <f t="shared" si="73"/>
        <v>0.37315053543843246</v>
      </c>
      <c r="AJ76" s="73">
        <f t="shared" si="74"/>
        <v>1</v>
      </c>
    </row>
  </sheetData>
  <sheetProtection algorithmName="SHA-512" hashValue="k8vVK7MEBLCvH+HY04fy3gqLFgPa0fUI/w4766GDeO4gdTzdNQv1sWJLTIIwlXTVtFvltL1bNabDGTj1mhjeVw==" saltValue="pab8S3yGxBsWWGDeK+ygQQ==" spinCount="100000" sheet="1" objects="1" scenarios="1" formatColumns="0" formatRows="0" autoFilter="0"/>
  <autoFilter ref="A1:AJ76" xr:uid="{00000000-0009-0000-0000-000007000000}"/>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tabColor theme="9" tint="-0.499984740745262"/>
  </sheetPr>
  <dimension ref="A1:AJ76"/>
  <sheetViews>
    <sheetView zoomScale="90" zoomScaleNormal="90" workbookViewId="0">
      <pane xSplit="2" ySplit="1" topLeftCell="C2" activePane="bottomRight" state="frozen"/>
      <selection pane="topRight" activeCell="C1" sqref="C1"/>
      <selection pane="bottomLeft" activeCell="A2" sqref="A2"/>
      <selection pane="bottomRight" activeCell="C2" sqref="C2"/>
    </sheetView>
  </sheetViews>
  <sheetFormatPr defaultColWidth="9.140625" defaultRowHeight="15" x14ac:dyDescent="0.25"/>
  <cols>
    <col min="1" max="1" width="15.42578125" style="3" customWidth="1"/>
    <col min="2" max="2" width="13.28515625" style="3" bestFit="1" customWidth="1"/>
    <col min="3" max="3" width="14.42578125" style="2" bestFit="1" customWidth="1"/>
    <col min="4" max="4" width="14.5703125" style="2" bestFit="1" customWidth="1"/>
    <col min="5" max="5" width="14.28515625" style="2" bestFit="1" customWidth="1"/>
    <col min="6" max="8" width="14.140625" style="2" bestFit="1" customWidth="1"/>
    <col min="9" max="9" width="14" style="2" bestFit="1" customWidth="1"/>
    <col min="10" max="11" width="14.5703125" style="2" bestFit="1" customWidth="1"/>
    <col min="12" max="12" width="14.42578125" style="2" bestFit="1" customWidth="1"/>
    <col min="13" max="13" width="14.28515625" style="2" bestFit="1" customWidth="1"/>
    <col min="14" max="14" width="13.5703125" style="2" bestFit="1" customWidth="1"/>
    <col min="15" max="16" width="15.42578125" style="2" bestFit="1" customWidth="1"/>
    <col min="17" max="17" width="16.42578125" style="2" bestFit="1" customWidth="1"/>
    <col min="18" max="18" width="13.85546875" style="2" bestFit="1" customWidth="1"/>
    <col min="19" max="19" width="13.140625" style="2" bestFit="1" customWidth="1"/>
    <col min="20" max="21" width="14.85546875" style="2" bestFit="1" customWidth="1"/>
    <col min="22" max="22" width="16" style="2" bestFit="1" customWidth="1"/>
    <col min="23" max="24" width="13.5703125" style="2" bestFit="1" customWidth="1"/>
    <col min="25" max="26" width="15.42578125" style="2" bestFit="1" customWidth="1"/>
    <col min="27" max="27" width="16.42578125" style="2" bestFit="1" customWidth="1"/>
    <col min="28" max="28" width="14.140625" style="2" bestFit="1" customWidth="1"/>
    <col min="29" max="29" width="13.85546875" style="2" bestFit="1" customWidth="1"/>
    <col min="30" max="30" width="14.140625" style="2" bestFit="1" customWidth="1"/>
    <col min="31" max="31" width="13.28515625" style="2" bestFit="1" customWidth="1"/>
    <col min="32" max="32" width="13.42578125" style="2" bestFit="1" customWidth="1"/>
    <col min="33" max="33" width="13.85546875" style="2" bestFit="1" customWidth="1"/>
    <col min="34" max="34" width="14" style="2" bestFit="1" customWidth="1"/>
    <col min="35" max="35" width="14.28515625" style="2" bestFit="1" customWidth="1"/>
    <col min="36" max="36" width="13.7109375" style="2" bestFit="1" customWidth="1"/>
    <col min="37" max="16384" width="9.140625" style="2"/>
  </cols>
  <sheetData>
    <row r="1" spans="1:36" x14ac:dyDescent="0.25">
      <c r="A1" s="47" t="s">
        <v>51</v>
      </c>
      <c r="B1" s="47" t="s">
        <v>274</v>
      </c>
      <c r="C1" s="48" t="s">
        <v>364</v>
      </c>
      <c r="D1" s="48" t="s">
        <v>365</v>
      </c>
      <c r="E1" s="48" t="s">
        <v>366</v>
      </c>
      <c r="F1" s="48" t="s">
        <v>367</v>
      </c>
      <c r="G1" s="65" t="s">
        <v>376</v>
      </c>
      <c r="H1" s="65" t="s">
        <v>377</v>
      </c>
      <c r="I1" s="65" t="s">
        <v>378</v>
      </c>
      <c r="J1" s="66" t="s">
        <v>379</v>
      </c>
      <c r="K1" s="66" t="s">
        <v>380</v>
      </c>
      <c r="L1" s="66" t="s">
        <v>381</v>
      </c>
      <c r="M1" s="66" t="s">
        <v>382</v>
      </c>
      <c r="N1" s="48" t="s">
        <v>368</v>
      </c>
      <c r="O1" s="50" t="s">
        <v>369</v>
      </c>
      <c r="P1" s="50" t="s">
        <v>370</v>
      </c>
      <c r="Q1" s="50" t="s">
        <v>371</v>
      </c>
      <c r="R1" s="50" t="s">
        <v>372</v>
      </c>
      <c r="S1" s="67" t="s">
        <v>394</v>
      </c>
      <c r="T1" s="67" t="s">
        <v>395</v>
      </c>
      <c r="U1" s="67" t="s">
        <v>396</v>
      </c>
      <c r="V1" s="67" t="s">
        <v>397</v>
      </c>
      <c r="W1" s="67" t="s">
        <v>398</v>
      </c>
      <c r="X1" s="68" t="s">
        <v>399</v>
      </c>
      <c r="Y1" s="68" t="s">
        <v>400</v>
      </c>
      <c r="Z1" s="68" t="s">
        <v>401</v>
      </c>
      <c r="AA1" s="68" t="s">
        <v>402</v>
      </c>
      <c r="AB1" s="68" t="s">
        <v>403</v>
      </c>
      <c r="AC1" s="50" t="s">
        <v>373</v>
      </c>
      <c r="AD1" s="50" t="s">
        <v>374</v>
      </c>
      <c r="AE1" s="50" t="s">
        <v>375</v>
      </c>
      <c r="AF1" s="67" t="s">
        <v>404</v>
      </c>
      <c r="AG1" s="67" t="s">
        <v>405</v>
      </c>
      <c r="AH1" s="68" t="s">
        <v>406</v>
      </c>
      <c r="AI1" s="68" t="s">
        <v>407</v>
      </c>
      <c r="AJ1" s="68" t="s">
        <v>408</v>
      </c>
    </row>
    <row r="2" spans="1:36" x14ac:dyDescent="0.25">
      <c r="A2" s="49" t="s">
        <v>12</v>
      </c>
      <c r="B2" s="50" t="s">
        <v>289</v>
      </c>
      <c r="C2" s="48">
        <f>IFERROR((s_TR/(up_RadSpec!I2*s_EF_ow*s_ED_out*s_IRS_ow*(1/1000)))*1,".")</f>
        <v>3.6363636363636364E-9</v>
      </c>
      <c r="D2" s="48">
        <f>IFERROR(IF(A2="H-3",(s_TR/(up_RadSpec!G2*s_EF_ow*s_ED_out*(s_ET_ow_o+s_ET_ow_i)*(1/24)*s_IRA_ow*(1/17)*1000))*1,(s_TR/(up_RadSpec!G2*s_EF_ow*s_ED_out*(s_ET_ow_o+s_ET_ow_i)*(1/24)*s_IRA_ow*(1/s_PEF_wind)*1000))*1),".")</f>
        <v>9.0250320889537196E-6</v>
      </c>
      <c r="E2" s="48">
        <f>IFERROR((s_TR/(up_RadSpec!F2*s_EF_ow*(1/365)*s_ED_out*up_RadSpec!Q2*(s_ET_ow_o+s_ET_ow_i)*(1/24)*up_RadSpec!V2))*1,".")</f>
        <v>1.6909254955570751E-5</v>
      </c>
      <c r="F2" s="48">
        <f t="shared" ref="F2:F30" si="0">(IF(AND(ISNUMBER(C2),ISNUMBER(D2),ISNUMBER(E2)),1/((1/C2)+(1/D2)+(1/E2)),IF(AND(ISNUMBER(C2),ISNUMBER(D2),NOT(ISNUMBER(E2))), 1/((1/C2)+(1/D2)),IF(AND(ISNUMBER(C2),NOT(ISNUMBER(D2)),ISNUMBER(E2)),1/((1/C2)+(1/E2)),IF(AND(NOT(ISNUMBER(C2)),ISNUMBER(D2),ISNUMBER(E2)),1/((1/D2)+(1/E2)),IF(AND(ISNUMBER(C2),NOT(ISNUMBER(D2)),NOT(ISNUMBER(E2))),1/((1/C2)),IF(AND(NOT(ISNUMBER(C2)),NOT(ISNUMBER(D2)),ISNUMBER(E2)),1/((1/E2)),IF(AND(NOT(ISNUMBER(C2)),ISNUMBER(D2),NOT(ISNUMBER(E2))),1/((1/D2)),IF(AND(NOT(ISNUMBER(C2)),NOT(ISNUMBER(D2)),NOT(ISNUMBER(E2))),".")))))))))</f>
        <v>3.6341178553811329E-9</v>
      </c>
      <c r="G2" s="69">
        <f t="shared" ref="G2:G30" si="1">s_C*s_EF_ow*s_ED_out*s_IRS_ow*(1/1000)*1</f>
        <v>3055525</v>
      </c>
      <c r="H2" s="69">
        <f t="shared" ref="H2:H30" si="2">s_C*s_EF_ow*s_ED_out*(s_ET_ow_o+s_ET_ow_i)*(1/24)*s_IRA_ow*(1/s_PEF_wind)*1000*1</f>
        <v>1231.1313567072434</v>
      </c>
      <c r="I2" s="69">
        <f>s_C*s_EF_ow*(1/365)*s_ED_out*(s_ET_ow_o+s_ET_ow_i)*(1/24)*up_RadSpec!V2*up_RadSpec!Q2*1</f>
        <v>657.09577560893558</v>
      </c>
      <c r="J2" s="11"/>
      <c r="K2" s="11"/>
      <c r="L2" s="11"/>
      <c r="M2" s="11"/>
      <c r="N2" s="48">
        <f>IFERROR((s_TR/(up_RadSpec!F2*s_EF_ow*(1/365)*s_ED_out*up_RadSpec!Q2*(s_ET_ow_o+s_ET_ow_i)*(1/24)*up_RadSpec!V2))*1,".")</f>
        <v>1.6909254955570751E-5</v>
      </c>
      <c r="O2" s="48">
        <f>IFERROR((s_TR/(up_RadSpec!M2*s_EF_ow*(1/365)*s_ED_out*up_RadSpec!R2*(s_ET_ow_o+s_ET_ow_i)*(1/24)*up_RadSpec!W2))*1,".")</f>
        <v>3.4189433603046162E-5</v>
      </c>
      <c r="P2" s="48">
        <f>IFERROR((s_TR/(up_RadSpec!N2*s_EF_ow*(1/365)*s_ED_out*up_RadSpec!S2*(s_ET_ow_o+s_ET_ow_i)*(1/24)*up_RadSpec!X2))*1,".")</f>
        <v>2.322107051826677E-5</v>
      </c>
      <c r="Q2" s="48">
        <f>IFERROR((s_TR/(up_RadSpec!O2*s_EF_ow*(1/365)*s_ED_out*up_RadSpec!T2*(s_ET_ow_o+s_ET_ow_i)*(1/24)*up_RadSpec!Y2))*1,".")</f>
        <v>1.9301841948900769E-5</v>
      </c>
      <c r="R2" s="48">
        <f>IFERROR((s_TR/(up_RadSpec!K2*s_EF_ow*(1/365)*s_ED_out*up_RadSpec!P2*(s_ET_ow_o+s_ET_ow_i)*(1/24)*up_RadSpec!U2))*1,".")</f>
        <v>2.705519000939976E-4</v>
      </c>
      <c r="S2" s="69">
        <f>s_C*s_EF_ow*(1/365)*s_ED_out*(s_ET_ow_o+s_ET_ow_i)*(1/24)*up_RadSpec!V2*up_RadSpec!Q2*1</f>
        <v>657.09577560893558</v>
      </c>
      <c r="T2" s="69">
        <f>s_C*s_EF_ow*(1/365)*s_ED_out*(s_ET_ow_o+s_ET_ow_i)*(1/24)*up_RadSpec!W2*up_RadSpec!R2*1</f>
        <v>324.98344748858455</v>
      </c>
      <c r="U2" s="69">
        <f>s_C*s_EF_ow*(1/365)*s_ED_out*(s_ET_ow_o+s_ET_ow_i)*(1/24)*up_RadSpec!X2*up_RadSpec!S2*1</f>
        <v>478.48784539281121</v>
      </c>
      <c r="V2" s="69">
        <f>s_C*s_EF_ow*(1/365)*s_ED_out*(s_ET_ow_o+s_ET_ow_i)*(1/24)*up_RadSpec!Y2*up_RadSpec!T2*1</f>
        <v>575.64454363552409</v>
      </c>
      <c r="W2" s="69">
        <f>s_C*s_EF_ow*(1/365)*s_ED_out*(s_ET_ow_o+s_ET_ow_i)*(1/24)*up_RadSpec!U2*up_RadSpec!P2*1</f>
        <v>41.067905995632309</v>
      </c>
      <c r="X2" s="11"/>
      <c r="Y2" s="11"/>
      <c r="Z2" s="11"/>
      <c r="AA2" s="11"/>
      <c r="AB2" s="11"/>
      <c r="AC2" s="48">
        <f>IFERROR(s_TR/(up_RadSpec!G2*s_EF_ow*s_ED_out*(s_ET_ow_o+s_ET_ow_i)*(1/24)*s_IRA_ow),".")</f>
        <v>2.9090909090909089E-11</v>
      </c>
      <c r="AD2" s="48">
        <f>IFERROR(s_TR/(up_RadSpec!J2*s_EF_ow*(1/365)*s_ED_out*(s_ET_ow_o+s_ET_ow_i)*(1/24)*s_GSF_a),".")</f>
        <v>1.5927272727272726E-7</v>
      </c>
      <c r="AE2" s="48">
        <f t="shared" ref="AE2" si="3">IFERROR(IF(AND(ISNUMBER(AC2),ISNUMBER(AD2)),1/((1/AC2)+(1/AD2)),IF(AND(ISNUMBER(AC2),NOT(ISNUMBER(AD2))),1/((1/AC2)),IF(AND(NOT(ISNUMBER(AC2)),ISNUMBER(AD2)),1/((1/AD2)),IF(AND(NOT(ISNUMBER(AC2)),NOT(ISNUMBER(AD2))),".")))),".")</f>
        <v>2.9085596653164224E-11</v>
      </c>
      <c r="AF2" s="69">
        <f t="shared" ref="AF2:AF30" si="4">s_C*s_EF_ow*s_ED_out*(s_ET_ow_o+s_ET_ow_i)*(1/24)*s_IRA_ow*1</f>
        <v>381940625</v>
      </c>
      <c r="AG2" s="69">
        <f t="shared" ref="AG2:AG30" si="5">s_C*s_EF_ow*(1/365)*s_ED_out*(s_ET_ow_o+s_ET_ow_i)*(1/24)*s_GSF_a*1</f>
        <v>69760.844748858435</v>
      </c>
      <c r="AH2" s="11"/>
      <c r="AI2" s="11"/>
      <c r="AJ2" s="11"/>
    </row>
    <row r="3" spans="1:36" x14ac:dyDescent="0.25">
      <c r="A3" s="51" t="s">
        <v>13</v>
      </c>
      <c r="B3" s="50" t="s">
        <v>275</v>
      </c>
      <c r="C3" s="48">
        <f>IFERROR((s_TR/(up_RadSpec!I3*s_EF_ow*s_ED_out*s_IRS_ow*(1/1000)))*1,".")</f>
        <v>3.6363636363636364E-9</v>
      </c>
      <c r="D3" s="48">
        <f>IFERROR(IF(A3="H-3",(s_TR/(up_RadSpec!G3*s_EF_ow*s_ED_out*(s_ET_ow_o+s_ET_ow_i)*(1/24)*s_IRA_ow*(1/17)*1000))*1,(s_TR/(up_RadSpec!G3*s_EF_ow*s_ED_out*(s_ET_ow_o+s_ET_ow_i)*(1/24)*s_IRA_ow*(1/s_PEF_wind)*1000))*1),".")</f>
        <v>9.0250320889537196E-6</v>
      </c>
      <c r="E3" s="48">
        <f>IFERROR((s_TR/(up_RadSpec!F3*s_EF_ow*(1/365)*s_ED_out*up_RadSpec!Q3*(s_ET_ow_o+s_ET_ow_i)*(1/24)*up_RadSpec!V3))*1,".")</f>
        <v>2.2184415584415593E-3</v>
      </c>
      <c r="F3" s="48">
        <f t="shared" si="0"/>
        <v>3.6348931080125592E-9</v>
      </c>
      <c r="G3" s="69">
        <f t="shared" si="1"/>
        <v>3055525</v>
      </c>
      <c r="H3" s="69">
        <f t="shared" si="2"/>
        <v>1231.1313567072434</v>
      </c>
      <c r="I3" s="69">
        <f>s_C*s_EF_ow*(1/365)*s_ED_out*(s_ET_ow_o+s_ET_ow_i)*(1/24)*up_RadSpec!V3*up_RadSpec!Q3*1</f>
        <v>5.008470905046245</v>
      </c>
      <c r="J3" s="4"/>
      <c r="K3" s="4"/>
      <c r="L3" s="4"/>
      <c r="M3" s="4"/>
      <c r="N3" s="48">
        <f>IFERROR((s_TR/(up_RadSpec!F3*s_EF_ow*(1/365)*s_ED_out*up_RadSpec!Q3*(s_ET_ow_o+s_ET_ow_i)*(1/24)*up_RadSpec!V3))*1,".")</f>
        <v>2.2184415584415593E-3</v>
      </c>
      <c r="O3" s="48">
        <f>IFERROR((s_TR/(up_RadSpec!M3*s_EF_ow*(1/365)*s_ED_out*up_RadSpec!R3*(s_ET_ow_o+s_ET_ow_i)*(1/24)*up_RadSpec!W3))*1,".")</f>
        <v>3.1106175132324275E-3</v>
      </c>
      <c r="P3" s="48">
        <f>IFERROR((s_TR/(up_RadSpec!N3*s_EF_ow*(1/365)*s_ED_out*up_RadSpec!S3*(s_ET_ow_o+s_ET_ow_i)*(1/24)*up_RadSpec!X3))*1,".")</f>
        <v>2.3582923154193873E-3</v>
      </c>
      <c r="Q3" s="48">
        <f>IFERROR((s_TR/(up_RadSpec!O3*s_EF_ow*(1/365)*s_ED_out*up_RadSpec!T3*(s_ET_ow_o+s_ET_ow_i)*(1/24)*up_RadSpec!Y3))*1,".")</f>
        <v>2.430968353680217E-3</v>
      </c>
      <c r="R3" s="48">
        <f>IFERROR((s_TR/(up_RadSpec!K3*s_EF_ow*(1/365)*s_ED_out*up_RadSpec!P3*(s_ET_ow_o+s_ET_ow_i)*(1/24)*up_RadSpec!U3))*1,".")</f>
        <v>4.8228185429946419E-3</v>
      </c>
      <c r="S3" s="69">
        <f>s_C*s_EF_ow*(1/365)*s_ED_out*(s_ET_ow_o+s_ET_ow_i)*(1/24)*up_RadSpec!V3*up_RadSpec!Q3*1</f>
        <v>5.008470905046245</v>
      </c>
      <c r="T3" s="69">
        <f>s_C*s_EF_ow*(1/365)*s_ED_out*(s_ET_ow_o+s_ET_ow_i)*(1/24)*up_RadSpec!W3*up_RadSpec!R3*1</f>
        <v>3.5719595716073429</v>
      </c>
      <c r="U3" s="69">
        <f>s_C*s_EF_ow*(1/365)*s_ED_out*(s_ET_ow_o+s_ET_ow_i)*(1/24)*up_RadSpec!X3*up_RadSpec!S3*1</f>
        <v>4.7114600371430511</v>
      </c>
      <c r="V3" s="69">
        <f>s_C*s_EF_ow*(1/365)*s_ED_out*(s_ET_ow_o+s_ET_ow_i)*(1/24)*up_RadSpec!Y3*up_RadSpec!T3*1</f>
        <v>4.5706065992916667</v>
      </c>
      <c r="W3" s="69">
        <f>s_C*s_EF_ow*(1/365)*s_ED_out*(s_ET_ow_o+s_ET_ow_i)*(1/24)*up_RadSpec!U3*up_RadSpec!P3*1</f>
        <v>2.3038395288869444</v>
      </c>
      <c r="X3" s="11"/>
      <c r="Y3" s="11"/>
      <c r="Z3" s="11"/>
      <c r="AA3" s="11"/>
      <c r="AB3" s="11"/>
      <c r="AC3" s="48">
        <f>IFERROR(s_TR/(up_RadSpec!G3*s_EF_ow*s_ED_out*(s_ET_ow_o+s_ET_ow_i)*(1/24)*s_IRA_ow),".")</f>
        <v>2.9090909090909089E-11</v>
      </c>
      <c r="AD3" s="48">
        <f>IFERROR(s_TR/(up_RadSpec!J3*s_EF_ow*(1/365)*s_ED_out*(s_ET_ow_o+s_ET_ow_i)*(1/24)*s_GSF_a),".")</f>
        <v>1.5927272727272726E-7</v>
      </c>
      <c r="AE3" s="48">
        <f>IFERROR(IF(AND(ISNUMBER(AC3),ISNUMBER(AD3)),1/((1/AC3)+(1/AD3)),IF(AND(ISNUMBER(AC3),NOT(ISNUMBER(AD3))),1/((1/AC3)),IF(AND(NOT(ISNUMBER(AC3)),ISNUMBER(AD3)),1/((1/AD3)),IF(AND(NOT(ISNUMBER(AC3)),NOT(ISNUMBER(AD3))),".")))),".")</f>
        <v>2.9085596653164224E-11</v>
      </c>
      <c r="AF3" s="69">
        <f t="shared" si="4"/>
        <v>381940625</v>
      </c>
      <c r="AG3" s="69">
        <f t="shared" si="5"/>
        <v>69760.844748858435</v>
      </c>
      <c r="AH3" s="10"/>
      <c r="AI3" s="10"/>
      <c r="AJ3" s="10"/>
    </row>
    <row r="4" spans="1:36" x14ac:dyDescent="0.25">
      <c r="A4" s="49" t="s">
        <v>14</v>
      </c>
      <c r="B4" s="50" t="s">
        <v>289</v>
      </c>
      <c r="C4" s="48">
        <f>IFERROR((s_TR/(up_RadSpec!I4*s_EF_ow*s_ED_out*s_IRS_ow*(1/1000)))*1,".")</f>
        <v>3.6363636363636364E-9</v>
      </c>
      <c r="D4" s="48">
        <f>IFERROR(IF(A4="H-3",(s_TR/(up_RadSpec!G4*s_EF_ow*s_ED_out*(s_ET_ow_o+s_ET_ow_i)*(1/24)*s_IRA_ow*(1/17)*1000))*1,(s_TR/(up_RadSpec!G4*s_EF_ow*s_ED_out*(s_ET_ow_o+s_ET_ow_i)*(1/24)*s_IRA_ow*(1/s_PEF_wind)*1000))*1),".")</f>
        <v>9.0250320889537196E-6</v>
      </c>
      <c r="E4" s="48">
        <f>IFERROR((s_TR/(up_RadSpec!F4*s_EF_ow*(1/365)*s_ED_out*up_RadSpec!Q4*(s_ET_ow_o+s_ET_ow_i)*(1/24)*up_RadSpec!V4))*1,".")</f>
        <v>8.2585858585858615E-6</v>
      </c>
      <c r="F4" s="48">
        <f t="shared" si="0"/>
        <v>3.6332999184912709E-9</v>
      </c>
      <c r="G4" s="69">
        <f t="shared" si="1"/>
        <v>3055525</v>
      </c>
      <c r="H4" s="69">
        <f t="shared" si="2"/>
        <v>1231.1313567072434</v>
      </c>
      <c r="I4" s="69">
        <f>s_C*s_EF_ow*(1/365)*s_ED_out*(s_ET_ow_o+s_ET_ow_i)*(1/24)*up_RadSpec!V4*up_RadSpec!Q4*1</f>
        <v>1345.3877201565551</v>
      </c>
      <c r="J4" s="4"/>
      <c r="K4" s="4"/>
      <c r="L4" s="4"/>
      <c r="M4" s="4"/>
      <c r="N4" s="48">
        <f>IFERROR((s_TR/(up_RadSpec!F4*s_EF_ow*(1/365)*s_ED_out*up_RadSpec!Q4*(s_ET_ow_o+s_ET_ow_i)*(1/24)*up_RadSpec!V4))*1,".")</f>
        <v>8.2585858585858615E-6</v>
      </c>
      <c r="O4" s="48">
        <f>IFERROR((s_TR/(up_RadSpec!M4*s_EF_ow*(1/365)*s_ED_out*up_RadSpec!R4*(s_ET_ow_o+s_ET_ow_i)*(1/24)*up_RadSpec!W4))*1,".")</f>
        <v>1.3476923076923083E-5</v>
      </c>
      <c r="P4" s="48">
        <f>IFERROR((s_TR/(up_RadSpec!N4*s_EF_ow*(1/365)*s_ED_out*up_RadSpec!S4*(s_ET_ow_o+s_ET_ow_i)*(1/24)*up_RadSpec!X4))*1,".")</f>
        <v>9.694861660079048E-6</v>
      </c>
      <c r="Q4" s="48">
        <f>IFERROR((s_TR/(up_RadSpec!O4*s_EF_ow*(1/365)*s_ED_out*up_RadSpec!T4*(s_ET_ow_o+s_ET_ow_i)*(1/24)*up_RadSpec!Y4))*1,".")</f>
        <v>8.4393416567329615E-6</v>
      </c>
      <c r="R4" s="48">
        <f>IFERROR((s_TR/(up_RadSpec!K4*s_EF_ow*(1/365)*s_ED_out*up_RadSpec!P4*(s_ET_ow_o+s_ET_ow_i)*(1/24)*up_RadSpec!U4))*1,".")</f>
        <v>2.4888664733324919E-5</v>
      </c>
      <c r="S4" s="69">
        <f>s_C*s_EF_ow*(1/365)*s_ED_out*(s_ET_ow_o+s_ET_ow_i)*(1/24)*up_RadSpec!V4*up_RadSpec!Q4*1</f>
        <v>1345.3877201565551</v>
      </c>
      <c r="T4" s="69">
        <f>s_C*s_EF_ow*(1/365)*s_ED_out*(s_ET_ow_o+s_ET_ow_i)*(1/24)*up_RadSpec!W4*up_RadSpec!R4*1</f>
        <v>824.44634703196311</v>
      </c>
      <c r="U4" s="69">
        <f>s_C*s_EF_ow*(1/365)*s_ED_out*(s_ET_ow_o+s_ET_ow_i)*(1/24)*up_RadSpec!X4*up_RadSpec!S4*1</f>
        <v>1146.0710208741032</v>
      </c>
      <c r="V4" s="69">
        <f>s_C*s_EF_ow*(1/365)*s_ED_out*(s_ET_ow_o+s_ET_ow_i)*(1/24)*up_RadSpec!Y4*up_RadSpec!T4*1</f>
        <v>1316.5718905497292</v>
      </c>
      <c r="W4" s="69">
        <f>s_C*s_EF_ow*(1/365)*s_ED_out*(s_ET_ow_o+s_ET_ow_i)*(1/24)*up_RadSpec!U4*up_RadSpec!P4*1</f>
        <v>446.4281277863339</v>
      </c>
      <c r="X4" s="11"/>
      <c r="Y4" s="11"/>
      <c r="Z4" s="11"/>
      <c r="AA4" s="11"/>
      <c r="AB4" s="11"/>
      <c r="AC4" s="48">
        <f>IFERROR(s_TR/(up_RadSpec!G4*s_EF_ow*s_ED_out*(s_ET_ow_o+s_ET_ow_i)*(1/24)*s_IRA_ow),".")</f>
        <v>2.9090909090909089E-11</v>
      </c>
      <c r="AD4" s="48">
        <f>IFERROR(s_TR/(up_RadSpec!J4*s_EF_ow*(1/365)*s_ED_out*(s_ET_ow_o+s_ET_ow_i)*(1/24)*s_GSF_a),".")</f>
        <v>1.5927272727272726E-7</v>
      </c>
      <c r="AE4" s="48">
        <f t="shared" ref="AE4:AE30" si="6">IFERROR(IF(AND(ISNUMBER(AC4),ISNUMBER(AD4)),1/((1/AC4)+(1/AD4)),IF(AND(ISNUMBER(AC4),NOT(ISNUMBER(AD4))),1/((1/AC4)),IF(AND(NOT(ISNUMBER(AC4)),ISNUMBER(AD4)),1/((1/AD4)),IF(AND(NOT(ISNUMBER(AC4)),NOT(ISNUMBER(AD4))),".")))),".")</f>
        <v>2.9085596653164224E-11</v>
      </c>
      <c r="AF4" s="69">
        <f t="shared" si="4"/>
        <v>381940625</v>
      </c>
      <c r="AG4" s="69">
        <f t="shared" si="5"/>
        <v>69760.844748858435</v>
      </c>
      <c r="AH4" s="10"/>
      <c r="AI4" s="10"/>
      <c r="AJ4" s="10"/>
    </row>
    <row r="5" spans="1:36" x14ac:dyDescent="0.25">
      <c r="A5" s="49" t="s">
        <v>15</v>
      </c>
      <c r="B5" s="50" t="s">
        <v>289</v>
      </c>
      <c r="C5" s="48">
        <f>IFERROR((s_TR/(up_RadSpec!I5*s_EF_ow*s_ED_out*s_IRS_ow*(1/1000)))*1,".")</f>
        <v>3.6363636363636364E-9</v>
      </c>
      <c r="D5" s="48">
        <f>IFERROR(IF(A5="H-3",(s_TR/(up_RadSpec!G5*s_EF_ow*s_ED_out*(s_ET_ow_o+s_ET_ow_i)*(1/24)*s_IRA_ow*(1/17)*1000))*1,(s_TR/(up_RadSpec!G5*s_EF_ow*s_ED_out*(s_ET_ow_o+s_ET_ow_i)*(1/24)*s_IRA_ow*(1/s_PEF_wind)*1000))*1),".")</f>
        <v>9.0250320889537196E-6</v>
      </c>
      <c r="E5" s="48" t="str">
        <f>IFERROR((s_TR/(up_RadSpec!F5*s_EF_ow*(1/365)*s_ED_out*up_RadSpec!Q5*(s_ET_ow_o+s_ET_ow_i)*(1/24)*up_RadSpec!V5))*1,".")</f>
        <v>.</v>
      </c>
      <c r="F5" s="48">
        <f t="shared" si="0"/>
        <v>3.6348990637563577E-9</v>
      </c>
      <c r="G5" s="69">
        <f t="shared" si="1"/>
        <v>3055525</v>
      </c>
      <c r="H5" s="69">
        <f t="shared" si="2"/>
        <v>1231.1313567072434</v>
      </c>
      <c r="I5" s="69">
        <f>s_C*s_EF_ow*(1/365)*s_ED_out*(s_ET_ow_o+s_ET_ow_i)*(1/24)*up_RadSpec!V5*up_RadSpec!Q5*1</f>
        <v>0</v>
      </c>
      <c r="J5" s="4"/>
      <c r="K5" s="4"/>
      <c r="L5" s="4"/>
      <c r="M5" s="4"/>
      <c r="N5" s="48" t="str">
        <f>IFERROR((s_TR/(up_RadSpec!F5*s_EF_ow*(1/365)*s_ED_out*up_RadSpec!Q5*(s_ET_ow_o+s_ET_ow_i)*(1/24)*up_RadSpec!V5))*1,".")</f>
        <v>.</v>
      </c>
      <c r="O5" s="48" t="str">
        <f>IFERROR((s_TR/(up_RadSpec!M5*s_EF_ow*(1/365)*s_ED_out*up_RadSpec!R5*(s_ET_ow_o+s_ET_ow_i)*(1/24)*up_RadSpec!W5))*1,".")</f>
        <v>.</v>
      </c>
      <c r="P5" s="48" t="str">
        <f>IFERROR((s_TR/(up_RadSpec!N5*s_EF_ow*(1/365)*s_ED_out*up_RadSpec!S5*(s_ET_ow_o+s_ET_ow_i)*(1/24)*up_RadSpec!X5))*1,".")</f>
        <v>.</v>
      </c>
      <c r="Q5" s="48" t="str">
        <f>IFERROR((s_TR/(up_RadSpec!O5*s_EF_ow*(1/365)*s_ED_out*up_RadSpec!T5*(s_ET_ow_o+s_ET_ow_i)*(1/24)*up_RadSpec!Y5))*1,".")</f>
        <v>.</v>
      </c>
      <c r="R5" s="48" t="str">
        <f>IFERROR((s_TR/(up_RadSpec!K5*s_EF_ow*(1/365)*s_ED_out*up_RadSpec!P5*(s_ET_ow_o+s_ET_ow_i)*(1/24)*up_RadSpec!U5))*1,".")</f>
        <v>.</v>
      </c>
      <c r="S5" s="69">
        <f>s_C*s_EF_ow*(1/365)*s_ED_out*(s_ET_ow_o+s_ET_ow_i)*(1/24)*up_RadSpec!V5*up_RadSpec!Q5*1</f>
        <v>0</v>
      </c>
      <c r="T5" s="69">
        <f>s_C*s_EF_ow*(1/365)*s_ED_out*(s_ET_ow_o+s_ET_ow_i)*(1/24)*up_RadSpec!W5*up_RadSpec!R5*1</f>
        <v>0</v>
      </c>
      <c r="U5" s="69">
        <f>s_C*s_EF_ow*(1/365)*s_ED_out*(s_ET_ow_o+s_ET_ow_i)*(1/24)*up_RadSpec!X5*up_RadSpec!S5*1</f>
        <v>0</v>
      </c>
      <c r="V5" s="69">
        <f>s_C*s_EF_ow*(1/365)*s_ED_out*(s_ET_ow_o+s_ET_ow_i)*(1/24)*up_RadSpec!Y5*up_RadSpec!T5*1</f>
        <v>0</v>
      </c>
      <c r="W5" s="69">
        <f>s_C*s_EF_ow*(1/365)*s_ED_out*(s_ET_ow_o+s_ET_ow_i)*(1/24)*up_RadSpec!U5*up_RadSpec!P5*1</f>
        <v>0</v>
      </c>
      <c r="X5" s="11"/>
      <c r="Y5" s="11"/>
      <c r="Z5" s="11"/>
      <c r="AA5" s="11"/>
      <c r="AB5" s="11"/>
      <c r="AC5" s="48">
        <f>IFERROR(s_TR/(up_RadSpec!G5*s_EF_ow*s_ED_out*(s_ET_ow_o+s_ET_ow_i)*(1/24)*s_IRA_ow),".")</f>
        <v>2.9090909090909089E-11</v>
      </c>
      <c r="AD5" s="48">
        <f>IFERROR(s_TR/(up_RadSpec!J5*s_EF_ow*(1/365)*s_ED_out*(s_ET_ow_o+s_ET_ow_i)*(1/24)*s_GSF_a),".")</f>
        <v>1.5927272727272726E-7</v>
      </c>
      <c r="AE5" s="48">
        <f t="shared" si="6"/>
        <v>2.9085596653164224E-11</v>
      </c>
      <c r="AF5" s="69">
        <f t="shared" si="4"/>
        <v>381940625</v>
      </c>
      <c r="AG5" s="69">
        <f t="shared" si="5"/>
        <v>69760.844748858435</v>
      </c>
      <c r="AH5" s="10"/>
      <c r="AI5" s="10"/>
      <c r="AJ5" s="10"/>
    </row>
    <row r="6" spans="1:36" x14ac:dyDescent="0.25">
      <c r="A6" s="49" t="s">
        <v>16</v>
      </c>
      <c r="B6" s="50" t="s">
        <v>289</v>
      </c>
      <c r="C6" s="48">
        <f>IFERROR((s_TR/(up_RadSpec!I6*s_EF_ow*s_ED_out*s_IRS_ow*(1/1000)))*1,".")</f>
        <v>3.6363636363636364E-9</v>
      </c>
      <c r="D6" s="48">
        <f>IFERROR(IF(A6="H-3",(s_TR/(up_RadSpec!G6*s_EF_ow*s_ED_out*(s_ET_ow_o+s_ET_ow_i)*(1/24)*s_IRA_ow*(1/17)*1000))*1,(s_TR/(up_RadSpec!G6*s_EF_ow*s_ED_out*(s_ET_ow_o+s_ET_ow_i)*(1/24)*s_IRA_ow*(1/s_PEF_wind)*1000))*1),".")</f>
        <v>9.0250320889537196E-6</v>
      </c>
      <c r="E6" s="48">
        <f>IFERROR((s_TR/(up_RadSpec!F6*s_EF_ow*(1/365)*s_ED_out*up_RadSpec!Q6*(s_ET_ow_o+s_ET_ow_i)*(1/24)*up_RadSpec!V6))*1,".")</f>
        <v>4.244672927599756E-6</v>
      </c>
      <c r="F6" s="48">
        <f t="shared" si="0"/>
        <v>3.6317890040001483E-9</v>
      </c>
      <c r="G6" s="69">
        <f t="shared" si="1"/>
        <v>3055525</v>
      </c>
      <c r="H6" s="69">
        <f t="shared" si="2"/>
        <v>1231.1313567072434</v>
      </c>
      <c r="I6" s="69">
        <f>s_C*s_EF_ow*(1/365)*s_ED_out*(s_ET_ow_o+s_ET_ow_i)*(1/24)*up_RadSpec!V6*up_RadSpec!Q6*1</f>
        <v>2617.6339589686504</v>
      </c>
      <c r="J6" s="4"/>
      <c r="K6" s="4"/>
      <c r="L6" s="4"/>
      <c r="M6" s="4"/>
      <c r="N6" s="48">
        <f>IFERROR((s_TR/(up_RadSpec!F6*s_EF_ow*(1/365)*s_ED_out*up_RadSpec!Q6*(s_ET_ow_o+s_ET_ow_i)*(1/24)*up_RadSpec!V6))*1,".")</f>
        <v>4.244672927599756E-6</v>
      </c>
      <c r="O6" s="48">
        <f>IFERROR((s_TR/(up_RadSpec!M6*s_EF_ow*(1/365)*s_ED_out*up_RadSpec!R6*(s_ET_ow_o+s_ET_ow_i)*(1/24)*up_RadSpec!W6))*1,".")</f>
        <v>7.9240991044492487E-6</v>
      </c>
      <c r="P6" s="48">
        <f>IFERROR((s_TR/(up_RadSpec!N6*s_EF_ow*(1/365)*s_ED_out*up_RadSpec!S6*(s_ET_ow_o+s_ET_ow_i)*(1/24)*up_RadSpec!X6))*1,".")</f>
        <v>5.5996573198457961E-6</v>
      </c>
      <c r="Q6" s="48">
        <f>IFERROR((s_TR/(up_RadSpec!O6*s_EF_ow*(1/365)*s_ED_out*up_RadSpec!T6*(s_ET_ow_o+s_ET_ow_i)*(1/24)*up_RadSpec!Y6))*1,".")</f>
        <v>4.6307070707070692E-6</v>
      </c>
      <c r="R6" s="48">
        <f>IFERROR((s_TR/(up_RadSpec!K6*s_EF_ow*(1/365)*s_ED_out*up_RadSpec!P6*(s_ET_ow_o+s_ET_ow_i)*(1/24)*up_RadSpec!U6))*1,".")</f>
        <v>1.3310541310541314E-5</v>
      </c>
      <c r="S6" s="69">
        <f>s_C*s_EF_ow*(1/365)*s_ED_out*(s_ET_ow_o+s_ET_ow_i)*(1/24)*up_RadSpec!V6*up_RadSpec!Q6*1</f>
        <v>2617.6339589686504</v>
      </c>
      <c r="T6" s="69">
        <f>s_C*s_EF_ow*(1/365)*s_ED_out*(s_ET_ow_o+s_ET_ow_i)*(1/24)*up_RadSpec!W6*up_RadSpec!R6*1</f>
        <v>1402.1783238124015</v>
      </c>
      <c r="U6" s="69">
        <f>s_C*s_EF_ow*(1/365)*s_ED_out*(s_ET_ow_o+s_ET_ow_i)*(1/24)*up_RadSpec!X6*up_RadSpec!S6*1</f>
        <v>1984.2285635268079</v>
      </c>
      <c r="V6" s="69">
        <f>s_C*s_EF_ow*(1/365)*s_ED_out*(s_ET_ow_o+s_ET_ow_i)*(1/24)*up_RadSpec!Y6*up_RadSpec!T6*1</f>
        <v>2399.4175900881255</v>
      </c>
      <c r="W6" s="69">
        <f>s_C*s_EF_ow*(1/365)*s_ED_out*(s_ET_ow_o+s_ET_ow_i)*(1/24)*up_RadSpec!U6*up_RadSpec!P6*1</f>
        <v>834.75192636986253</v>
      </c>
      <c r="X6" s="11"/>
      <c r="Y6" s="11"/>
      <c r="Z6" s="11"/>
      <c r="AA6" s="11"/>
      <c r="AB6" s="11"/>
      <c r="AC6" s="48">
        <f>IFERROR(s_TR/(up_RadSpec!G6*s_EF_ow*s_ED_out*(s_ET_ow_o+s_ET_ow_i)*(1/24)*s_IRA_ow),".")</f>
        <v>2.9090909090909089E-11</v>
      </c>
      <c r="AD6" s="48">
        <f>IFERROR(s_TR/(up_RadSpec!J6*s_EF_ow*(1/365)*s_ED_out*(s_ET_ow_o+s_ET_ow_i)*(1/24)*s_GSF_a),".")</f>
        <v>1.5927272727272726E-7</v>
      </c>
      <c r="AE6" s="48">
        <f t="shared" si="6"/>
        <v>2.9085596653164224E-11</v>
      </c>
      <c r="AF6" s="69">
        <f t="shared" si="4"/>
        <v>381940625</v>
      </c>
      <c r="AG6" s="69">
        <f t="shared" si="5"/>
        <v>69760.844748858435</v>
      </c>
      <c r="AH6" s="10"/>
      <c r="AI6" s="10"/>
      <c r="AJ6" s="10"/>
    </row>
    <row r="7" spans="1:36" x14ac:dyDescent="0.25">
      <c r="A7" s="49" t="s">
        <v>17</v>
      </c>
      <c r="B7" s="50" t="s">
        <v>289</v>
      </c>
      <c r="C7" s="48">
        <f>IFERROR((s_TR/(up_RadSpec!I7*s_EF_ow*s_ED_out*s_IRS_ow*(1/1000)))*1,".")</f>
        <v>3.6363636363636364E-9</v>
      </c>
      <c r="D7" s="48">
        <f>IFERROR(IF(A7="H-3",(s_TR/(up_RadSpec!G7*s_EF_ow*s_ED_out*(s_ET_ow_o+s_ET_ow_i)*(1/24)*s_IRA_ow*(1/17)*1000))*1,(s_TR/(up_RadSpec!G7*s_EF_ow*s_ED_out*(s_ET_ow_o+s_ET_ow_i)*(1/24)*s_IRA_ow*(1/s_PEF_wind)*1000))*1),".")</f>
        <v>9.0250320889537196E-6</v>
      </c>
      <c r="E7" s="48">
        <f>IFERROR((s_TR/(up_RadSpec!F7*s_EF_ow*(1/365)*s_ED_out*up_RadSpec!Q7*(s_ET_ow_o+s_ET_ow_i)*(1/24)*up_RadSpec!V7))*1,".")</f>
        <v>9.1843397478433964E-6</v>
      </c>
      <c r="F7" s="48">
        <f t="shared" si="0"/>
        <v>3.633461043767029E-9</v>
      </c>
      <c r="G7" s="69">
        <f t="shared" si="1"/>
        <v>3055525</v>
      </c>
      <c r="H7" s="69">
        <f t="shared" si="2"/>
        <v>1231.1313567072434</v>
      </c>
      <c r="I7" s="69">
        <f>s_C*s_EF_ow*(1/365)*s_ED_out*(s_ET_ow_o+s_ET_ow_i)*(1/24)*up_RadSpec!V7*up_RadSpec!Q7*1</f>
        <v>1209.7766747586847</v>
      </c>
      <c r="J7" s="4"/>
      <c r="K7" s="4"/>
      <c r="L7" s="4"/>
      <c r="M7" s="4"/>
      <c r="N7" s="48">
        <f>IFERROR((s_TR/(up_RadSpec!F7*s_EF_ow*(1/365)*s_ED_out*up_RadSpec!Q7*(s_ET_ow_o+s_ET_ow_i)*(1/24)*up_RadSpec!V7))*1,".")</f>
        <v>9.1843397478433964E-6</v>
      </c>
      <c r="O7" s="48">
        <f>IFERROR((s_TR/(up_RadSpec!M7*s_EF_ow*(1/365)*s_ED_out*up_RadSpec!R7*(s_ET_ow_o+s_ET_ow_i)*(1/24)*up_RadSpec!W7))*1,".")</f>
        <v>1.4611153552330032E-5</v>
      </c>
      <c r="P7" s="48">
        <f>IFERROR((s_TR/(up_RadSpec!N7*s_EF_ow*(1/365)*s_ED_out*up_RadSpec!S7*(s_ET_ow_o+s_ET_ow_i)*(1/24)*up_RadSpec!X7))*1,".")</f>
        <v>1.0704545454545454E-5</v>
      </c>
      <c r="Q7" s="48">
        <f>IFERROR((s_TR/(up_RadSpec!O7*s_EF_ow*(1/365)*s_ED_out*up_RadSpec!T7*(s_ET_ow_o+s_ET_ow_i)*(1/24)*up_RadSpec!Y7))*1,".")</f>
        <v>9.8471359678034877E-6</v>
      </c>
      <c r="R7" s="48">
        <f>IFERROR((s_TR/(up_RadSpec!K7*s_EF_ow*(1/365)*s_ED_out*up_RadSpec!P7*(s_ET_ow_o+s_ET_ow_i)*(1/24)*up_RadSpec!U7))*1,".")</f>
        <v>2.5004236405305914E-5</v>
      </c>
      <c r="S7" s="69">
        <f>s_C*s_EF_ow*(1/365)*s_ED_out*(s_ET_ow_o+s_ET_ow_i)*(1/24)*up_RadSpec!V7*up_RadSpec!Q7*1</f>
        <v>1209.7766747586847</v>
      </c>
      <c r="T7" s="69">
        <f>s_C*s_EF_ow*(1/365)*s_ED_out*(s_ET_ow_o+s_ET_ow_i)*(1/24)*up_RadSpec!W7*up_RadSpec!R7*1</f>
        <v>760.44646031579998</v>
      </c>
      <c r="U7" s="69">
        <f>s_C*s_EF_ow*(1/365)*s_ED_out*(s_ET_ow_o+s_ET_ow_i)*(1/24)*up_RadSpec!X7*up_RadSpec!S7*1</f>
        <v>1037.9702760084922</v>
      </c>
      <c r="V7" s="69">
        <f>s_C*s_EF_ow*(1/365)*s_ED_out*(s_ET_ow_o+s_ET_ow_i)*(1/24)*up_RadSpec!Y7*up_RadSpec!T7*1</f>
        <v>1128.3483884379054</v>
      </c>
      <c r="W7" s="69">
        <f>s_C*s_EF_ow*(1/365)*s_ED_out*(s_ET_ow_o+s_ET_ow_i)*(1/24)*up_RadSpec!U7*up_RadSpec!P7*1</f>
        <v>444.36469964114707</v>
      </c>
      <c r="X7" s="11"/>
      <c r="Y7" s="11"/>
      <c r="Z7" s="11"/>
      <c r="AA7" s="11"/>
      <c r="AB7" s="11"/>
      <c r="AC7" s="48">
        <f>IFERROR(s_TR/(up_RadSpec!G7*s_EF_ow*s_ED_out*(s_ET_ow_o+s_ET_ow_i)*(1/24)*s_IRA_ow),".")</f>
        <v>2.9090909090909089E-11</v>
      </c>
      <c r="AD7" s="48">
        <f>IFERROR(s_TR/(up_RadSpec!J7*s_EF_ow*(1/365)*s_ED_out*(s_ET_ow_o+s_ET_ow_i)*(1/24)*s_GSF_a),".")</f>
        <v>1.5927272727272726E-7</v>
      </c>
      <c r="AE7" s="48">
        <f t="shared" si="6"/>
        <v>2.9085596653164224E-11</v>
      </c>
      <c r="AF7" s="69">
        <f t="shared" si="4"/>
        <v>381940625</v>
      </c>
      <c r="AG7" s="69">
        <f t="shared" si="5"/>
        <v>69760.844748858435</v>
      </c>
      <c r="AH7" s="10"/>
      <c r="AI7" s="10"/>
      <c r="AJ7" s="10"/>
    </row>
    <row r="8" spans="1:36" x14ac:dyDescent="0.25">
      <c r="A8" s="49" t="s">
        <v>18</v>
      </c>
      <c r="B8" s="50" t="s">
        <v>289</v>
      </c>
      <c r="C8" s="48">
        <f>IFERROR((s_TR/(up_RadSpec!I8*s_EF_ow*s_ED_out*s_IRS_ow*(1/1000)))*1,".")</f>
        <v>3.6363636363636364E-9</v>
      </c>
      <c r="D8" s="48">
        <f>IFERROR(IF(A8="H-3",(s_TR/(up_RadSpec!G8*s_EF_ow*s_ED_out*(s_ET_ow_o+s_ET_ow_i)*(1/24)*s_IRA_ow*(1/17)*1000))*1,(s_TR/(up_RadSpec!G8*s_EF_ow*s_ED_out*(s_ET_ow_o+s_ET_ow_i)*(1/24)*s_IRA_ow*(1/s_PEF_wind)*1000))*1),".")</f>
        <v>9.0250320889537196E-6</v>
      </c>
      <c r="E8" s="48">
        <f>IFERROR((s_TR/(up_RadSpec!F8*s_EF_ow*(1/365)*s_ED_out*up_RadSpec!Q8*(s_ET_ow_o+s_ET_ow_i)*(1/24)*up_RadSpec!V8))*1,".")</f>
        <v>5.279758915118034E-6</v>
      </c>
      <c r="F8" s="48">
        <f t="shared" si="0"/>
        <v>3.6323983054051189E-9</v>
      </c>
      <c r="G8" s="69">
        <f t="shared" si="1"/>
        <v>3055525</v>
      </c>
      <c r="H8" s="69">
        <f t="shared" si="2"/>
        <v>1231.1313567072434</v>
      </c>
      <c r="I8" s="69">
        <f>s_C*s_EF_ow*(1/365)*s_ED_out*(s_ET_ow_o+s_ET_ow_i)*(1/24)*up_RadSpec!V8*up_RadSpec!Q8*1</f>
        <v>2104.4521499238954</v>
      </c>
      <c r="J8" s="4"/>
      <c r="K8" s="4"/>
      <c r="L8" s="4"/>
      <c r="M8" s="4"/>
      <c r="N8" s="48">
        <f>IFERROR((s_TR/(up_RadSpec!F8*s_EF_ow*(1/365)*s_ED_out*up_RadSpec!Q8*(s_ET_ow_o+s_ET_ow_i)*(1/24)*up_RadSpec!V8))*1,".")</f>
        <v>5.279758915118034E-6</v>
      </c>
      <c r="O8" s="48">
        <f>IFERROR((s_TR/(up_RadSpec!M8*s_EF_ow*(1/365)*s_ED_out*up_RadSpec!R8*(s_ET_ow_o+s_ET_ow_i)*(1/24)*up_RadSpec!W8))*1,".")</f>
        <v>9.6920523695371564E-6</v>
      </c>
      <c r="P8" s="48">
        <f>IFERROR((s_TR/(up_RadSpec!N8*s_EF_ow*(1/365)*s_ED_out*up_RadSpec!S8*(s_ET_ow_o+s_ET_ow_i)*(1/24)*up_RadSpec!X8))*1,".")</f>
        <v>7.0742962621135214E-6</v>
      </c>
      <c r="Q8" s="48">
        <f>IFERROR((s_TR/(up_RadSpec!O8*s_EF_ow*(1/365)*s_ED_out*up_RadSpec!T8*(s_ET_ow_o+s_ET_ow_i)*(1/24)*up_RadSpec!Y8))*1,".")</f>
        <v>6.4860129832885803E-6</v>
      </c>
      <c r="R8" s="48">
        <f>IFERROR((s_TR/(up_RadSpec!K8*s_EF_ow*(1/365)*s_ED_out*up_RadSpec!P8*(s_ET_ow_o+s_ET_ow_i)*(1/24)*up_RadSpec!U8))*1,".")</f>
        <v>1.7958267236119582E-5</v>
      </c>
      <c r="S8" s="69">
        <f>s_C*s_EF_ow*(1/365)*s_ED_out*(s_ET_ow_o+s_ET_ow_i)*(1/24)*up_RadSpec!V8*up_RadSpec!Q8*1</f>
        <v>2104.4521499238954</v>
      </c>
      <c r="T8" s="69">
        <f>s_C*s_EF_ow*(1/365)*s_ED_out*(s_ET_ow_o+s_ET_ow_i)*(1/24)*up_RadSpec!W8*up_RadSpec!R8*1</f>
        <v>1146.4032153729072</v>
      </c>
      <c r="U8" s="69">
        <f>s_C*s_EF_ow*(1/365)*s_ED_out*(s_ET_ow_o+s_ET_ow_i)*(1/24)*up_RadSpec!X8*up_RadSpec!S8*1</f>
        <v>1570.615590345727</v>
      </c>
      <c r="V8" s="69">
        <f>s_C*s_EF_ow*(1/365)*s_ED_out*(s_ET_ow_o+s_ET_ow_i)*(1/24)*up_RadSpec!Y8*up_RadSpec!T8*1</f>
        <v>1713.0708847835867</v>
      </c>
      <c r="W8" s="69">
        <f>s_C*s_EF_ow*(1/365)*s_ED_out*(s_ET_ow_o+s_ET_ow_i)*(1/24)*up_RadSpec!U8*up_RadSpec!P8*1</f>
        <v>618.71225402261359</v>
      </c>
      <c r="X8" s="11"/>
      <c r="Y8" s="11"/>
      <c r="Z8" s="11"/>
      <c r="AA8" s="11"/>
      <c r="AB8" s="11"/>
      <c r="AC8" s="48">
        <f>IFERROR(s_TR/(up_RadSpec!G8*s_EF_ow*s_ED_out*(s_ET_ow_o+s_ET_ow_i)*(1/24)*s_IRA_ow),".")</f>
        <v>2.9090909090909089E-11</v>
      </c>
      <c r="AD8" s="48">
        <f>IFERROR(s_TR/(up_RadSpec!J8*s_EF_ow*(1/365)*s_ED_out*(s_ET_ow_o+s_ET_ow_i)*(1/24)*s_GSF_a),".")</f>
        <v>1.5927272727272726E-7</v>
      </c>
      <c r="AE8" s="48">
        <f t="shared" si="6"/>
        <v>2.9085596653164224E-11</v>
      </c>
      <c r="AF8" s="69">
        <f t="shared" si="4"/>
        <v>381940625</v>
      </c>
      <c r="AG8" s="69">
        <f t="shared" si="5"/>
        <v>69760.844748858435</v>
      </c>
      <c r="AH8" s="10"/>
      <c r="AI8" s="10"/>
      <c r="AJ8" s="10"/>
    </row>
    <row r="9" spans="1:36" x14ac:dyDescent="0.25">
      <c r="A9" s="49" t="s">
        <v>19</v>
      </c>
      <c r="B9" s="50" t="s">
        <v>289</v>
      </c>
      <c r="C9" s="48">
        <f>IFERROR((s_TR/(up_RadSpec!I9*s_EF_ow*s_ED_out*s_IRS_ow*(1/1000)))*1,".")</f>
        <v>3.6363636363636364E-9</v>
      </c>
      <c r="D9" s="48">
        <f>IFERROR(IF(A9="H-3",(s_TR/(up_RadSpec!G9*s_EF_ow*s_ED_out*(s_ET_ow_o+s_ET_ow_i)*(1/24)*s_IRA_ow*(1/17)*1000))*1,(s_TR/(up_RadSpec!G9*s_EF_ow*s_ED_out*(s_ET_ow_o+s_ET_ow_i)*(1/24)*s_IRA_ow*(1/s_PEF_wind)*1000))*1),".")</f>
        <v>9.0250320889537196E-6</v>
      </c>
      <c r="E9" s="48">
        <f>IFERROR((s_TR/(up_RadSpec!F9*s_EF_ow*(1/365)*s_ED_out*up_RadSpec!Q9*(s_ET_ow_o+s_ET_ow_i)*(1/24)*up_RadSpec!V9))*1,".")</f>
        <v>2.6002181304933586E-6</v>
      </c>
      <c r="F9" s="48">
        <f t="shared" si="0"/>
        <v>3.629824856013556E-9</v>
      </c>
      <c r="G9" s="69">
        <f t="shared" si="1"/>
        <v>3055525</v>
      </c>
      <c r="H9" s="69">
        <f t="shared" si="2"/>
        <v>1231.1313567072434</v>
      </c>
      <c r="I9" s="69">
        <f>s_C*s_EF_ow*(1/365)*s_ED_out*(s_ET_ow_o+s_ET_ow_i)*(1/24)*up_RadSpec!V9*up_RadSpec!Q9*1</f>
        <v>4273.1030407405951</v>
      </c>
      <c r="J9" s="4"/>
      <c r="K9" s="4"/>
      <c r="L9" s="4"/>
      <c r="M9" s="4"/>
      <c r="N9" s="48">
        <f>IFERROR((s_TR/(up_RadSpec!F9*s_EF_ow*(1/365)*s_ED_out*up_RadSpec!Q9*(s_ET_ow_o+s_ET_ow_i)*(1/24)*up_RadSpec!V9))*1,".")</f>
        <v>2.6002181304933586E-6</v>
      </c>
      <c r="O9" s="48">
        <f>IFERROR((s_TR/(up_RadSpec!M9*s_EF_ow*(1/365)*s_ED_out*up_RadSpec!R9*(s_ET_ow_o+s_ET_ow_i)*(1/24)*up_RadSpec!W9))*1,".")</f>
        <v>5.3256818181818203E-6</v>
      </c>
      <c r="P9" s="48">
        <f>IFERROR((s_TR/(up_RadSpec!N9*s_EF_ow*(1/365)*s_ED_out*up_RadSpec!S9*(s_ET_ow_o+s_ET_ow_i)*(1/24)*up_RadSpec!X9))*1,".")</f>
        <v>3.7472539423599802E-6</v>
      </c>
      <c r="Q9" s="48">
        <f>IFERROR((s_TR/(up_RadSpec!O9*s_EF_ow*(1/365)*s_ED_out*up_RadSpec!T9*(s_ET_ow_o+s_ET_ow_i)*(1/24)*up_RadSpec!Y9))*1,".")</f>
        <v>3.0889256198347112E-6</v>
      </c>
      <c r="R9" s="48">
        <f>IFERROR((s_TR/(up_RadSpec!K9*s_EF_ow*(1/365)*s_ED_out*up_RadSpec!P9*(s_ET_ow_o+s_ET_ow_i)*(1/24)*up_RadSpec!U9))*1,".")</f>
        <v>9.4332709543977187E-6</v>
      </c>
      <c r="S9" s="69">
        <f>s_C*s_EF_ow*(1/365)*s_ED_out*(s_ET_ow_o+s_ET_ow_i)*(1/24)*up_RadSpec!V9*up_RadSpec!Q9*1</f>
        <v>4273.1030407405951</v>
      </c>
      <c r="T9" s="69">
        <f>s_C*s_EF_ow*(1/365)*s_ED_out*(s_ET_ow_o+s_ET_ow_i)*(1/24)*up_RadSpec!W9*up_RadSpec!R9*1</f>
        <v>2086.3056373490363</v>
      </c>
      <c r="U9" s="69">
        <f>s_C*s_EF_ow*(1/365)*s_ED_out*(s_ET_ow_o+s_ET_ow_i)*(1/24)*up_RadSpec!X9*up_RadSpec!S9*1</f>
        <v>2965.104626189921</v>
      </c>
      <c r="V9" s="69">
        <f>s_C*s_EF_ow*(1/365)*s_ED_out*(s_ET_ow_o+s_ET_ow_i)*(1/24)*up_RadSpec!Y9*up_RadSpec!T9*1</f>
        <v>3597.0435573630134</v>
      </c>
      <c r="W9" s="69">
        <f>s_C*s_EF_ow*(1/365)*s_ED_out*(s_ET_ow_o+s_ET_ow_i)*(1/24)*up_RadSpec!U9*up_RadSpec!P9*1</f>
        <v>1177.8523116438348</v>
      </c>
      <c r="X9" s="11"/>
      <c r="Y9" s="11"/>
      <c r="Z9" s="11"/>
      <c r="AA9" s="11"/>
      <c r="AB9" s="11"/>
      <c r="AC9" s="48">
        <f>IFERROR(s_TR/(up_RadSpec!G9*s_EF_ow*s_ED_out*(s_ET_ow_o+s_ET_ow_i)*(1/24)*s_IRA_ow),".")</f>
        <v>2.9090909090909089E-11</v>
      </c>
      <c r="AD9" s="48">
        <f>IFERROR(s_TR/(up_RadSpec!J9*s_EF_ow*(1/365)*s_ED_out*(s_ET_ow_o+s_ET_ow_i)*(1/24)*s_GSF_a),".")</f>
        <v>1.5927272727272726E-7</v>
      </c>
      <c r="AE9" s="48">
        <f t="shared" si="6"/>
        <v>2.9085596653164224E-11</v>
      </c>
      <c r="AF9" s="69">
        <f t="shared" si="4"/>
        <v>381940625</v>
      </c>
      <c r="AG9" s="69">
        <f t="shared" si="5"/>
        <v>69760.844748858435</v>
      </c>
      <c r="AH9" s="10"/>
      <c r="AI9" s="10"/>
      <c r="AJ9" s="10"/>
    </row>
    <row r="10" spans="1:36" x14ac:dyDescent="0.25">
      <c r="A10" s="51" t="s">
        <v>20</v>
      </c>
      <c r="B10" s="50" t="s">
        <v>275</v>
      </c>
      <c r="C10" s="48">
        <f>IFERROR((s_TR/(up_RadSpec!I10*s_EF_ow*s_ED_out*s_IRS_ow*(1/1000)))*1,".")</f>
        <v>3.6363636363636364E-9</v>
      </c>
      <c r="D10" s="48">
        <f>IFERROR(IF(A10="H-3",(s_TR/(up_RadSpec!G10*s_EF_ow*s_ED_out*(s_ET_ow_o+s_ET_ow_i)*(1/24)*s_IRA_ow*(1/17)*1000))*1,(s_TR/(up_RadSpec!G10*s_EF_ow*s_ED_out*(s_ET_ow_o+s_ET_ow_i)*(1/24)*s_IRA_ow*(1/s_PEF_wind)*1000))*1),".")</f>
        <v>9.0250320889537196E-6</v>
      </c>
      <c r="E10" s="48">
        <f>IFERROR((s_TR/(up_RadSpec!F10*s_EF_ow*(1/365)*s_ED_out*up_RadSpec!Q10*(s_ET_ow_o+s_ET_ow_i)*(1/24)*up_RadSpec!V10))*1,".")</f>
        <v>4.9753766233766233E-6</v>
      </c>
      <c r="F10" s="48">
        <f t="shared" si="0"/>
        <v>3.632245426353803E-9</v>
      </c>
      <c r="G10" s="69">
        <f t="shared" si="1"/>
        <v>3055525</v>
      </c>
      <c r="H10" s="69">
        <f t="shared" si="2"/>
        <v>1231.1313567072434</v>
      </c>
      <c r="I10" s="69">
        <f>s_C*s_EF_ow*(1/365)*s_ED_out*(s_ET_ow_o+s_ET_ow_i)*(1/24)*up_RadSpec!V10*up_RadSpec!Q10*1</f>
        <v>2233.1977739726026</v>
      </c>
      <c r="J10" s="4"/>
      <c r="K10" s="4"/>
      <c r="L10" s="4"/>
      <c r="M10" s="4"/>
      <c r="N10" s="48">
        <f>IFERROR((s_TR/(up_RadSpec!F10*s_EF_ow*(1/365)*s_ED_out*up_RadSpec!Q10*(s_ET_ow_o+s_ET_ow_i)*(1/24)*up_RadSpec!V10))*1,".")</f>
        <v>4.9753766233766233E-6</v>
      </c>
      <c r="O10" s="48">
        <f>IFERROR((s_TR/(up_RadSpec!M10*s_EF_ow*(1/365)*s_ED_out*up_RadSpec!R10*(s_ET_ow_o+s_ET_ow_i)*(1/24)*up_RadSpec!W10))*1,".")</f>
        <v>7.7529581529581501E-6</v>
      </c>
      <c r="P10" s="48">
        <f>IFERROR((s_TR/(up_RadSpec!N10*s_EF_ow*(1/365)*s_ED_out*up_RadSpec!S10*(s_ET_ow_o+s_ET_ow_i)*(1/24)*up_RadSpec!X10))*1,".")</f>
        <v>5.5366265416759942E-6</v>
      </c>
      <c r="Q10" s="48">
        <f>IFERROR((s_TR/(up_RadSpec!O10*s_EF_ow*(1/365)*s_ED_out*up_RadSpec!T10*(s_ET_ow_o+s_ET_ow_i)*(1/24)*up_RadSpec!Y10))*1,".")</f>
        <v>5.0638919313618114E-6</v>
      </c>
      <c r="R10" s="48">
        <f>IFERROR((s_TR/(up_RadSpec!K10*s_EF_ow*(1/365)*s_ED_out*up_RadSpec!P10*(s_ET_ow_o+s_ET_ow_i)*(1/24)*up_RadSpec!U10))*1,".")</f>
        <v>1.3033370352742081E-5</v>
      </c>
      <c r="S10" s="69">
        <f>s_C*s_EF_ow*(1/365)*s_ED_out*(s_ET_ow_o+s_ET_ow_i)*(1/24)*up_RadSpec!V10*up_RadSpec!Q10*1</f>
        <v>2233.1977739726026</v>
      </c>
      <c r="T10" s="69">
        <f>s_C*s_EF_ow*(1/365)*s_ED_out*(s_ET_ow_o+s_ET_ow_i)*(1/24)*up_RadSpec!W10*up_RadSpec!R10*1</f>
        <v>1433.1303975580706</v>
      </c>
      <c r="U10" s="69">
        <f>s_C*s_EF_ow*(1/365)*s_ED_out*(s_ET_ow_o+s_ET_ow_i)*(1/24)*up_RadSpec!X10*up_RadSpec!S10*1</f>
        <v>2006.8176743300053</v>
      </c>
      <c r="V10" s="69">
        <f>s_C*s_EF_ow*(1/365)*s_ED_out*(s_ET_ow_o+s_ET_ow_i)*(1/24)*up_RadSpec!Y10*up_RadSpec!T10*1</f>
        <v>2194.1621485219898</v>
      </c>
      <c r="W10" s="69">
        <f>s_C*s_EF_ow*(1/365)*s_ED_out*(s_ET_ow_o+s_ET_ow_i)*(1/24)*up_RadSpec!U10*up_RadSpec!P10*1</f>
        <v>852.50397244043347</v>
      </c>
      <c r="X10" s="11"/>
      <c r="Y10" s="11"/>
      <c r="Z10" s="11"/>
      <c r="AA10" s="11"/>
      <c r="AB10" s="11"/>
      <c r="AC10" s="48">
        <f>IFERROR(s_TR/(up_RadSpec!G10*s_EF_ow*s_ED_out*(s_ET_ow_o+s_ET_ow_i)*(1/24)*s_IRA_ow),".")</f>
        <v>2.9090909090909089E-11</v>
      </c>
      <c r="AD10" s="48">
        <f>IFERROR(s_TR/(up_RadSpec!J10*s_EF_ow*(1/365)*s_ED_out*(s_ET_ow_o+s_ET_ow_i)*(1/24)*s_GSF_a),".")</f>
        <v>1.5927272727272726E-7</v>
      </c>
      <c r="AE10" s="48">
        <f t="shared" si="6"/>
        <v>2.9085596653164224E-11</v>
      </c>
      <c r="AF10" s="69">
        <f t="shared" si="4"/>
        <v>381940625</v>
      </c>
      <c r="AG10" s="69">
        <f t="shared" si="5"/>
        <v>69760.844748858435</v>
      </c>
      <c r="AH10" s="10"/>
      <c r="AI10" s="10"/>
      <c r="AJ10" s="10"/>
    </row>
    <row r="11" spans="1:36" x14ac:dyDescent="0.25">
      <c r="A11" s="49" t="s">
        <v>21</v>
      </c>
      <c r="B11" s="50" t="s">
        <v>289</v>
      </c>
      <c r="C11" s="48">
        <f>IFERROR((s_TR/(up_RadSpec!I11*s_EF_ow*s_ED_out*s_IRS_ow*(1/1000)))*1,".")</f>
        <v>3.6363636363636364E-9</v>
      </c>
      <c r="D11" s="48">
        <f>IFERROR(IF(A11="H-3",(s_TR/(up_RadSpec!G11*s_EF_ow*s_ED_out*(s_ET_ow_o+s_ET_ow_i)*(1/24)*s_IRA_ow*(1/17)*1000))*1,(s_TR/(up_RadSpec!G11*s_EF_ow*s_ED_out*(s_ET_ow_o+s_ET_ow_i)*(1/24)*s_IRA_ow*(1/s_PEF_wind)*1000))*1),".")</f>
        <v>9.0250320889537196E-6</v>
      </c>
      <c r="E11" s="48">
        <f>IFERROR((s_TR/(up_RadSpec!F11*s_EF_ow*(1/365)*s_ED_out*up_RadSpec!Q11*(s_ET_ow_o+s_ET_ow_i)*(1/24)*up_RadSpec!V11))*1,".")</f>
        <v>1.4877122877122873E-5</v>
      </c>
      <c r="F11" s="48">
        <f t="shared" si="0"/>
        <v>3.6340111727361278E-9</v>
      </c>
      <c r="G11" s="69">
        <f t="shared" si="1"/>
        <v>3055525</v>
      </c>
      <c r="H11" s="69">
        <f t="shared" si="2"/>
        <v>1231.1313567072434</v>
      </c>
      <c r="I11" s="69">
        <f>s_C*s_EF_ow*(1/365)*s_ED_out*(s_ET_ow_o+s_ET_ow_i)*(1/24)*up_RadSpec!V11*up_RadSpec!Q11*1</f>
        <v>746.85139672307264</v>
      </c>
      <c r="J11" s="4"/>
      <c r="K11" s="4"/>
      <c r="L11" s="4"/>
      <c r="M11" s="4"/>
      <c r="N11" s="48">
        <f>IFERROR((s_TR/(up_RadSpec!F11*s_EF_ow*(1/365)*s_ED_out*up_RadSpec!Q11*(s_ET_ow_o+s_ET_ow_i)*(1/24)*up_RadSpec!V11))*1,".")</f>
        <v>1.4877122877122873E-5</v>
      </c>
      <c r="O11" s="48">
        <f>IFERROR((s_TR/(up_RadSpec!M11*s_EF_ow*(1/365)*s_ED_out*up_RadSpec!R11*(s_ET_ow_o+s_ET_ow_i)*(1/24)*up_RadSpec!W11))*1,".")</f>
        <v>1.8824477461596577E-5</v>
      </c>
      <c r="P11" s="48">
        <f>IFERROR((s_TR/(up_RadSpec!N11*s_EF_ow*(1/365)*s_ED_out*up_RadSpec!S11*(s_ET_ow_o+s_ET_ow_i)*(1/24)*up_RadSpec!X11))*1,".")</f>
        <v>1.4609548724656637E-5</v>
      </c>
      <c r="Q11" s="48">
        <f>IFERROR((s_TR/(up_RadSpec!O11*s_EF_ow*(1/365)*s_ED_out*up_RadSpec!T11*(s_ET_ow_o+s_ET_ow_i)*(1/24)*up_RadSpec!Y11))*1,".")</f>
        <v>1.3916387959866224E-5</v>
      </c>
      <c r="R11" s="48">
        <f>IFERROR((s_TR/(up_RadSpec!K11*s_EF_ow*(1/365)*s_ED_out*up_RadSpec!P11*(s_ET_ow_o+s_ET_ow_i)*(1/24)*up_RadSpec!U11))*1,".")</f>
        <v>3.5044063079777362E-5</v>
      </c>
      <c r="S11" s="69">
        <f>s_C*s_EF_ow*(1/365)*s_ED_out*(s_ET_ow_o+s_ET_ow_i)*(1/24)*up_RadSpec!V11*up_RadSpec!Q11*1</f>
        <v>746.85139672307264</v>
      </c>
      <c r="T11" s="69">
        <f>s_C*s_EF_ow*(1/365)*s_ED_out*(s_ET_ow_o+s_ET_ow_i)*(1/24)*up_RadSpec!W11*up_RadSpec!R11*1</f>
        <v>590.24214736729436</v>
      </c>
      <c r="U11" s="69">
        <f>s_C*s_EF_ow*(1/365)*s_ED_out*(s_ET_ow_o+s_ET_ow_i)*(1/24)*up_RadSpec!X11*up_RadSpec!S11*1</f>
        <v>760.529993732653</v>
      </c>
      <c r="V11" s="69">
        <f>s_C*s_EF_ow*(1/365)*s_ED_out*(s_ET_ow_o+s_ET_ow_i)*(1/24)*up_RadSpec!Y11*up_RadSpec!T11*1</f>
        <v>798.41119923095368</v>
      </c>
      <c r="W11" s="69">
        <f>s_C*s_EF_ow*(1/365)*s_ED_out*(s_ET_ow_o+s_ET_ow_i)*(1/24)*up_RadSpec!U11*up_RadSpec!P11*1</f>
        <v>317.05798424988416</v>
      </c>
      <c r="X11" s="11"/>
      <c r="Y11" s="11"/>
      <c r="Z11" s="11"/>
      <c r="AA11" s="11"/>
      <c r="AB11" s="11"/>
      <c r="AC11" s="48">
        <f>IFERROR(s_TR/(up_RadSpec!G11*s_EF_ow*s_ED_out*(s_ET_ow_o+s_ET_ow_i)*(1/24)*s_IRA_ow),".")</f>
        <v>2.9090909090909089E-11</v>
      </c>
      <c r="AD11" s="48">
        <f>IFERROR(s_TR/(up_RadSpec!J11*s_EF_ow*(1/365)*s_ED_out*(s_ET_ow_o+s_ET_ow_i)*(1/24)*s_GSF_a),".")</f>
        <v>1.5927272727272726E-7</v>
      </c>
      <c r="AE11" s="48">
        <f t="shared" si="6"/>
        <v>2.9085596653164224E-11</v>
      </c>
      <c r="AF11" s="69">
        <f t="shared" si="4"/>
        <v>381940625</v>
      </c>
      <c r="AG11" s="69">
        <f t="shared" si="5"/>
        <v>69760.844748858435</v>
      </c>
      <c r="AH11" s="10"/>
      <c r="AI11" s="10"/>
      <c r="AJ11" s="10"/>
    </row>
    <row r="12" spans="1:36" x14ac:dyDescent="0.25">
      <c r="A12" s="49" t="s">
        <v>22</v>
      </c>
      <c r="B12" s="50" t="s">
        <v>289</v>
      </c>
      <c r="C12" s="48">
        <f>IFERROR((s_TR/(up_RadSpec!I12*s_EF_ow*s_ED_out*s_IRS_ow*(1/1000)))*1,".")</f>
        <v>3.6363636363636364E-9</v>
      </c>
      <c r="D12" s="48">
        <f>IFERROR(IF(A12="H-3",(s_TR/(up_RadSpec!G12*s_EF_ow*s_ED_out*(s_ET_ow_o+s_ET_ow_i)*(1/24)*s_IRA_ow*(1/17)*1000))*1,(s_TR/(up_RadSpec!G12*s_EF_ow*s_ED_out*(s_ET_ow_o+s_ET_ow_i)*(1/24)*s_IRA_ow*(1/s_PEF_wind)*1000))*1),".")</f>
        <v>9.0250320889537196E-6</v>
      </c>
      <c r="E12" s="48">
        <f>IFERROR((s_TR/(up_RadSpec!F12*s_EF_ow*(1/365)*s_ED_out*up_RadSpec!Q12*(s_ET_ow_o+s_ET_ow_i)*(1/24)*up_RadSpec!V12))*1,".")</f>
        <v>7.1282058319039454E-6</v>
      </c>
      <c r="F12" s="48">
        <f t="shared" si="0"/>
        <v>3.633046457717874E-9</v>
      </c>
      <c r="G12" s="69">
        <f t="shared" si="1"/>
        <v>3055525</v>
      </c>
      <c r="H12" s="69">
        <f t="shared" si="2"/>
        <v>1231.1313567072434</v>
      </c>
      <c r="I12" s="69">
        <f>s_C*s_EF_ow*(1/365)*s_ED_out*(s_ET_ow_o+s_ET_ow_i)*(1/24)*up_RadSpec!V12*up_RadSpec!Q12*1</f>
        <v>1558.7372561928739</v>
      </c>
      <c r="J12" s="4"/>
      <c r="K12" s="4"/>
      <c r="L12" s="4"/>
      <c r="M12" s="4"/>
      <c r="N12" s="48">
        <f>IFERROR((s_TR/(up_RadSpec!F12*s_EF_ow*(1/365)*s_ED_out*up_RadSpec!Q12*(s_ET_ow_o+s_ET_ow_i)*(1/24)*up_RadSpec!V12))*1,".")</f>
        <v>7.1282058319039454E-6</v>
      </c>
      <c r="O12" s="48">
        <f>IFERROR((s_TR/(up_RadSpec!M12*s_EF_ow*(1/365)*s_ED_out*up_RadSpec!R12*(s_ET_ow_o+s_ET_ow_i)*(1/24)*up_RadSpec!W12))*1,".")</f>
        <v>1.2788458442018487E-5</v>
      </c>
      <c r="P12" s="48">
        <f>IFERROR((s_TR/(up_RadSpec!N12*s_EF_ow*(1/365)*s_ED_out*up_RadSpec!S12*(s_ET_ow_o+s_ET_ow_i)*(1/24)*up_RadSpec!X12))*1,".")</f>
        <v>9.2727530906164844E-6</v>
      </c>
      <c r="Q12" s="48">
        <f>IFERROR((s_TR/(up_RadSpec!O12*s_EF_ow*(1/365)*s_ED_out*up_RadSpec!T12*(s_ET_ow_o+s_ET_ow_i)*(1/24)*up_RadSpec!Y12))*1,".")</f>
        <v>8.1891342636499101E-6</v>
      </c>
      <c r="R12" s="48">
        <f>IFERROR((s_TR/(up_RadSpec!K12*s_EF_ow*(1/365)*s_ED_out*up_RadSpec!P12*(s_ET_ow_o+s_ET_ow_i)*(1/24)*up_RadSpec!U12))*1,".")</f>
        <v>2.2076066790352508E-5</v>
      </c>
      <c r="S12" s="69">
        <f>s_C*s_EF_ow*(1/365)*s_ED_out*(s_ET_ow_o+s_ET_ow_i)*(1/24)*up_RadSpec!V12*up_RadSpec!Q12*1</f>
        <v>1558.7372561928739</v>
      </c>
      <c r="T12" s="69">
        <f>s_C*s_EF_ow*(1/365)*s_ED_out*(s_ET_ow_o+s_ET_ow_i)*(1/24)*up_RadSpec!W12*up_RadSpec!R12*1</f>
        <v>868.83028555600288</v>
      </c>
      <c r="U12" s="69">
        <f>s_C*s_EF_ow*(1/365)*s_ED_out*(s_ET_ow_o+s_ET_ow_i)*(1/24)*up_RadSpec!X12*up_RadSpec!S12*1</f>
        <v>1198.241761796043</v>
      </c>
      <c r="V12" s="69">
        <f>s_C*s_EF_ow*(1/365)*s_ED_out*(s_ET_ow_o+s_ET_ow_i)*(1/24)*up_RadSpec!Y12*up_RadSpec!T12*1</f>
        <v>1356.7978790285224</v>
      </c>
      <c r="W12" s="69">
        <f>s_C*s_EF_ow*(1/365)*s_ED_out*(s_ET_ow_o+s_ET_ow_i)*(1/24)*up_RadSpec!U12*up_RadSpec!P12*1</f>
        <v>503.30523573409522</v>
      </c>
      <c r="X12" s="11"/>
      <c r="Y12" s="11"/>
      <c r="Z12" s="11"/>
      <c r="AA12" s="11"/>
      <c r="AB12" s="11"/>
      <c r="AC12" s="48">
        <f>IFERROR(s_TR/(up_RadSpec!G12*s_EF_ow*s_ED_out*(s_ET_ow_o+s_ET_ow_i)*(1/24)*s_IRA_ow),".")</f>
        <v>2.9090909090909089E-11</v>
      </c>
      <c r="AD12" s="48">
        <f>IFERROR(s_TR/(up_RadSpec!J12*s_EF_ow*(1/365)*s_ED_out*(s_ET_ow_o+s_ET_ow_i)*(1/24)*s_GSF_a),".")</f>
        <v>1.5927272727272726E-7</v>
      </c>
      <c r="AE12" s="48">
        <f t="shared" si="6"/>
        <v>2.9085596653164224E-11</v>
      </c>
      <c r="AF12" s="69">
        <f t="shared" si="4"/>
        <v>381940625</v>
      </c>
      <c r="AG12" s="69">
        <f t="shared" si="5"/>
        <v>69760.844748858435</v>
      </c>
      <c r="AH12" s="10"/>
      <c r="AI12" s="10"/>
      <c r="AJ12" s="10"/>
    </row>
    <row r="13" spans="1:36" x14ac:dyDescent="0.25">
      <c r="A13" s="49" t="s">
        <v>23</v>
      </c>
      <c r="B13" s="50" t="s">
        <v>289</v>
      </c>
      <c r="C13" s="48">
        <f>IFERROR((s_TR/(up_RadSpec!I13*s_EF_ow*s_ED_out*s_IRS_ow*(1/1000)))*1,".")</f>
        <v>3.6363636363636364E-9</v>
      </c>
      <c r="D13" s="48">
        <f>IFERROR(IF(A13="H-3",(s_TR/(up_RadSpec!G13*s_EF_ow*s_ED_out*(s_ET_ow_o+s_ET_ow_i)*(1/24)*s_IRA_ow*(1/17)*1000))*1,(s_TR/(up_RadSpec!G13*s_EF_ow*s_ED_out*(s_ET_ow_o+s_ET_ow_i)*(1/24)*s_IRA_ow*(1/s_PEF_wind)*1000))*1),".")</f>
        <v>9.0250320889537196E-6</v>
      </c>
      <c r="E13" s="48">
        <f>IFERROR((s_TR/(up_RadSpec!F13*s_EF_ow*(1/365)*s_ED_out*up_RadSpec!Q13*(s_ET_ow_o+s_ET_ow_i)*(1/24)*up_RadSpec!V13))*1,".")</f>
        <v>5.4790618044855368E-5</v>
      </c>
      <c r="F13" s="48">
        <f t="shared" si="0"/>
        <v>3.6346579346142699E-9</v>
      </c>
      <c r="G13" s="69">
        <f t="shared" si="1"/>
        <v>3055525</v>
      </c>
      <c r="H13" s="69">
        <f t="shared" si="2"/>
        <v>1231.1313567072434</v>
      </c>
      <c r="I13" s="69">
        <f>s_C*s_EF_ow*(1/365)*s_ED_out*(s_ET_ow_o+s_ET_ow_i)*(1/24)*up_RadSpec!V13*up_RadSpec!Q13*1</f>
        <v>202.79019285571425</v>
      </c>
      <c r="J13" s="4"/>
      <c r="K13" s="4"/>
      <c r="L13" s="4"/>
      <c r="M13" s="4"/>
      <c r="N13" s="48">
        <f>IFERROR((s_TR/(up_RadSpec!F13*s_EF_ow*(1/365)*s_ED_out*up_RadSpec!Q13*(s_ET_ow_o+s_ET_ow_i)*(1/24)*up_RadSpec!V13))*1,".")</f>
        <v>5.4790618044855368E-5</v>
      </c>
      <c r="O13" s="48">
        <f>IFERROR((s_TR/(up_RadSpec!M13*s_EF_ow*(1/365)*s_ED_out*up_RadSpec!R13*(s_ET_ow_o+s_ET_ow_i)*(1/24)*up_RadSpec!W13))*1,".")</f>
        <v>1.1948632373213381E-4</v>
      </c>
      <c r="P13" s="48">
        <f>IFERROR((s_TR/(up_RadSpec!N13*s_EF_ow*(1/365)*s_ED_out*up_RadSpec!S13*(s_ET_ow_o+s_ET_ow_i)*(1/24)*up_RadSpec!X13))*1,".")</f>
        <v>7.0985979194934404E-5</v>
      </c>
      <c r="Q13" s="48">
        <f>IFERROR((s_TR/(up_RadSpec!O13*s_EF_ow*(1/365)*s_ED_out*up_RadSpec!T13*(s_ET_ow_o+s_ET_ow_i)*(1/24)*up_RadSpec!Y13))*1,".")</f>
        <v>5.8600282168498088E-5</v>
      </c>
      <c r="R13" s="48">
        <f>IFERROR((s_TR/(up_RadSpec!K13*s_EF_ow*(1/365)*s_ED_out*up_RadSpec!P13*(s_ET_ow_o+s_ET_ow_i)*(1/24)*up_RadSpec!U13))*1,".")</f>
        <v>1.1495129870129864E-3</v>
      </c>
      <c r="S13" s="69">
        <f>s_C*s_EF_ow*(1/365)*s_ED_out*(s_ET_ow_o+s_ET_ow_i)*(1/24)*up_RadSpec!V13*up_RadSpec!Q13*1</f>
        <v>202.79019285571425</v>
      </c>
      <c r="T13" s="69">
        <f>s_C*s_EF_ow*(1/365)*s_ED_out*(s_ET_ow_o+s_ET_ow_i)*(1/24)*up_RadSpec!W13*up_RadSpec!R13*1</f>
        <v>92.989721776935752</v>
      </c>
      <c r="U13" s="69">
        <f>s_C*s_EF_ow*(1/365)*s_ED_out*(s_ET_ow_o+s_ET_ow_i)*(1/24)*up_RadSpec!X13*up_RadSpec!S13*1</f>
        <v>156.52386747371779</v>
      </c>
      <c r="V13" s="69">
        <f>s_C*s_EF_ow*(1/365)*s_ED_out*(s_ET_ow_o+s_ET_ow_i)*(1/24)*up_RadSpec!Y13*up_RadSpec!T13*1</f>
        <v>189.60659554593357</v>
      </c>
      <c r="W13" s="69">
        <f>s_C*s_EF_ow*(1/365)*s_ED_out*(s_ET_ow_o+s_ET_ow_i)*(1/24)*up_RadSpec!U13*up_RadSpec!P13*1</f>
        <v>9.665832509532553</v>
      </c>
      <c r="X13" s="11"/>
      <c r="Y13" s="11"/>
      <c r="Z13" s="11"/>
      <c r="AA13" s="11"/>
      <c r="AB13" s="11"/>
      <c r="AC13" s="48">
        <f>IFERROR(s_TR/(up_RadSpec!G13*s_EF_ow*s_ED_out*(s_ET_ow_o+s_ET_ow_i)*(1/24)*s_IRA_ow),".")</f>
        <v>2.9090909090909089E-11</v>
      </c>
      <c r="AD13" s="48">
        <f>IFERROR(s_TR/(up_RadSpec!J13*s_EF_ow*(1/365)*s_ED_out*(s_ET_ow_o+s_ET_ow_i)*(1/24)*s_GSF_a),".")</f>
        <v>1.5927272727272726E-7</v>
      </c>
      <c r="AE13" s="48">
        <f t="shared" si="6"/>
        <v>2.9085596653164224E-11</v>
      </c>
      <c r="AF13" s="69">
        <f t="shared" si="4"/>
        <v>381940625</v>
      </c>
      <c r="AG13" s="69">
        <f t="shared" si="5"/>
        <v>69760.844748858435</v>
      </c>
      <c r="AH13" s="10"/>
      <c r="AI13" s="10"/>
      <c r="AJ13" s="10"/>
    </row>
    <row r="14" spans="1:36" x14ac:dyDescent="0.25">
      <c r="A14" s="49" t="s">
        <v>24</v>
      </c>
      <c r="B14" s="50" t="s">
        <v>289</v>
      </c>
      <c r="C14" s="48">
        <f>IFERROR((s_TR/(up_RadSpec!I14*s_EF_ow*s_ED_out*s_IRS_ow*(1/1000)))*1,".")</f>
        <v>3.6363636363636364E-9</v>
      </c>
      <c r="D14" s="48">
        <f>IFERROR(IF(A14="H-3",(s_TR/(up_RadSpec!G14*s_EF_ow*s_ED_out*(s_ET_ow_o+s_ET_ow_i)*(1/24)*s_IRA_ow*(1/17)*1000))*1,(s_TR/(up_RadSpec!G14*s_EF_ow*s_ED_out*(s_ET_ow_o+s_ET_ow_i)*(1/24)*s_IRA_ow*(1/s_PEF_wind)*1000))*1),".")</f>
        <v>9.0250320889537196E-6</v>
      </c>
      <c r="E14" s="48">
        <f>IFERROR((s_TR/(up_RadSpec!F14*s_EF_ow*(1/365)*s_ED_out*up_RadSpec!Q14*(s_ET_ow_o+s_ET_ow_i)*(1/24)*up_RadSpec!V14))*1,".")</f>
        <v>8.225017943474665E-6</v>
      </c>
      <c r="F14" s="48">
        <f t="shared" si="0"/>
        <v>3.6332933949480451E-9</v>
      </c>
      <c r="G14" s="69">
        <f t="shared" si="1"/>
        <v>3055525</v>
      </c>
      <c r="H14" s="69">
        <f t="shared" si="2"/>
        <v>1231.1313567072434</v>
      </c>
      <c r="I14" s="69">
        <f>s_C*s_EF_ow*(1/365)*s_ED_out*(s_ET_ow_o+s_ET_ow_i)*(1/24)*up_RadSpec!V14*up_RadSpec!Q14*1</f>
        <v>1350.8785119204431</v>
      </c>
      <c r="J14" s="4"/>
      <c r="K14" s="4"/>
      <c r="L14" s="4"/>
      <c r="M14" s="4"/>
      <c r="N14" s="48">
        <f>IFERROR((s_TR/(up_RadSpec!F14*s_EF_ow*(1/365)*s_ED_out*up_RadSpec!Q14*(s_ET_ow_o+s_ET_ow_i)*(1/24)*up_RadSpec!V14))*1,".")</f>
        <v>8.225017943474665E-6</v>
      </c>
      <c r="O14" s="48">
        <f>IFERROR((s_TR/(up_RadSpec!M14*s_EF_ow*(1/365)*s_ED_out*up_RadSpec!R14*(s_ET_ow_o+s_ET_ow_i)*(1/24)*up_RadSpec!W14))*1,".")</f>
        <v>1.4937483186060478E-5</v>
      </c>
      <c r="P14" s="48">
        <f>IFERROR((s_TR/(up_RadSpec!N14*s_EF_ow*(1/365)*s_ED_out*up_RadSpec!S14*(s_ET_ow_o+s_ET_ow_i)*(1/24)*up_RadSpec!X14))*1,".")</f>
        <v>1.1043933455751369E-5</v>
      </c>
      <c r="Q14" s="48">
        <f>IFERROR((s_TR/(up_RadSpec!O14*s_EF_ow*(1/365)*s_ED_out*up_RadSpec!T14*(s_ET_ow_o+s_ET_ow_i)*(1/24)*up_RadSpec!Y14))*1,".")</f>
        <v>9.6777614763226293E-6</v>
      </c>
      <c r="R14" s="48">
        <f>IFERROR((s_TR/(up_RadSpec!K14*s_EF_ow*(1/365)*s_ED_out*up_RadSpec!P14*(s_ET_ow_o+s_ET_ow_i)*(1/24)*up_RadSpec!U14))*1,".")</f>
        <v>4.1679600886917974E-5</v>
      </c>
      <c r="S14" s="69">
        <f>s_C*s_EF_ow*(1/365)*s_ED_out*(s_ET_ow_o+s_ET_ow_i)*(1/24)*up_RadSpec!V14*up_RadSpec!Q14*1</f>
        <v>1350.8785119204431</v>
      </c>
      <c r="T14" s="69">
        <f>s_C*s_EF_ow*(1/365)*s_ED_out*(s_ET_ow_o+s_ET_ow_i)*(1/24)*up_RadSpec!W14*up_RadSpec!R14*1</f>
        <v>743.83347325663817</v>
      </c>
      <c r="U14" s="69">
        <f>s_C*s_EF_ow*(1/365)*s_ED_out*(s_ET_ow_o+s_ET_ow_i)*(1/24)*up_RadSpec!X14*up_RadSpec!S14*1</f>
        <v>1006.0727044867969</v>
      </c>
      <c r="V14" s="69">
        <f>s_C*s_EF_ow*(1/365)*s_ED_out*(s_ET_ow_o+s_ET_ow_i)*(1/24)*up_RadSpec!Y14*up_RadSpec!T14*1</f>
        <v>1148.0960785388124</v>
      </c>
      <c r="W14" s="69">
        <f>s_C*s_EF_ow*(1/365)*s_ED_out*(s_ET_ow_o+s_ET_ow_i)*(1/24)*up_RadSpec!U14*up_RadSpec!P14*1</f>
        <v>266.58124750631725</v>
      </c>
      <c r="X14" s="11"/>
      <c r="Y14" s="11"/>
      <c r="Z14" s="11"/>
      <c r="AA14" s="11"/>
      <c r="AB14" s="11"/>
      <c r="AC14" s="48">
        <f>IFERROR(s_TR/(up_RadSpec!G14*s_EF_ow*s_ED_out*(s_ET_ow_o+s_ET_ow_i)*(1/24)*s_IRA_ow),".")</f>
        <v>2.9090909090909089E-11</v>
      </c>
      <c r="AD14" s="48">
        <f>IFERROR(s_TR/(up_RadSpec!J14*s_EF_ow*(1/365)*s_ED_out*(s_ET_ow_o+s_ET_ow_i)*(1/24)*s_GSF_a),".")</f>
        <v>1.5927272727272726E-7</v>
      </c>
      <c r="AE14" s="48">
        <f t="shared" si="6"/>
        <v>2.9085596653164224E-11</v>
      </c>
      <c r="AF14" s="69">
        <f t="shared" si="4"/>
        <v>381940625</v>
      </c>
      <c r="AG14" s="69">
        <f t="shared" si="5"/>
        <v>69760.844748858435</v>
      </c>
      <c r="AH14" s="10"/>
      <c r="AI14" s="10"/>
      <c r="AJ14" s="10"/>
    </row>
    <row r="15" spans="1:36" x14ac:dyDescent="0.25">
      <c r="A15" s="49" t="s">
        <v>25</v>
      </c>
      <c r="B15" s="50" t="s">
        <v>289</v>
      </c>
      <c r="C15" s="48">
        <f>IFERROR((s_TR/(up_RadSpec!I15*s_EF_ow*s_ED_out*s_IRS_ow*(1/1000)))*1,".")</f>
        <v>3.6363636363636364E-9</v>
      </c>
      <c r="D15" s="48">
        <f>IFERROR(IF(A15="H-3",(s_TR/(up_RadSpec!G15*s_EF_ow*s_ED_out*(s_ET_ow_o+s_ET_ow_i)*(1/24)*s_IRA_ow*(1/17)*1000))*1,(s_TR/(up_RadSpec!G15*s_EF_ow*s_ED_out*(s_ET_ow_o+s_ET_ow_i)*(1/24)*s_IRA_ow*(1/s_PEF_wind)*1000))*1),".")</f>
        <v>9.0250320889537196E-6</v>
      </c>
      <c r="E15" s="48" t="str">
        <f>IFERROR((s_TR/(up_RadSpec!F15*s_EF_ow*(1/365)*s_ED_out*up_RadSpec!Q15*(s_ET_ow_o+s_ET_ow_i)*(1/24)*up_RadSpec!V15))*1,".")</f>
        <v>.</v>
      </c>
      <c r="F15" s="48">
        <f t="shared" si="0"/>
        <v>3.6348990637563577E-9</v>
      </c>
      <c r="G15" s="69">
        <f t="shared" si="1"/>
        <v>3055525</v>
      </c>
      <c r="H15" s="69">
        <f t="shared" si="2"/>
        <v>1231.1313567072434</v>
      </c>
      <c r="I15" s="69">
        <f>s_C*s_EF_ow*(1/365)*s_ED_out*(s_ET_ow_o+s_ET_ow_i)*(1/24)*up_RadSpec!V15*up_RadSpec!Q15*1</f>
        <v>0</v>
      </c>
      <c r="J15" s="4"/>
      <c r="K15" s="4"/>
      <c r="L15" s="4"/>
      <c r="M15" s="4"/>
      <c r="N15" s="48" t="str">
        <f>IFERROR((s_TR/(up_RadSpec!F15*s_EF_ow*(1/365)*s_ED_out*up_RadSpec!Q15*(s_ET_ow_o+s_ET_ow_i)*(1/24)*up_RadSpec!V15))*1,".")</f>
        <v>.</v>
      </c>
      <c r="O15" s="48" t="str">
        <f>IFERROR((s_TR/(up_RadSpec!M15*s_EF_ow*(1/365)*s_ED_out*up_RadSpec!R15*(s_ET_ow_o+s_ET_ow_i)*(1/24)*up_RadSpec!W15))*1,".")</f>
        <v>.</v>
      </c>
      <c r="P15" s="48" t="str">
        <f>IFERROR((s_TR/(up_RadSpec!N15*s_EF_ow*(1/365)*s_ED_out*up_RadSpec!S15*(s_ET_ow_o+s_ET_ow_i)*(1/24)*up_RadSpec!X15))*1,".")</f>
        <v>.</v>
      </c>
      <c r="Q15" s="48" t="str">
        <f>IFERROR((s_TR/(up_RadSpec!O15*s_EF_ow*(1/365)*s_ED_out*up_RadSpec!T15*(s_ET_ow_o+s_ET_ow_i)*(1/24)*up_RadSpec!Y15))*1,".")</f>
        <v>.</v>
      </c>
      <c r="R15" s="48" t="str">
        <f>IFERROR((s_TR/(up_RadSpec!K15*s_EF_ow*(1/365)*s_ED_out*up_RadSpec!P15*(s_ET_ow_o+s_ET_ow_i)*(1/24)*up_RadSpec!U15))*1,".")</f>
        <v>.</v>
      </c>
      <c r="S15" s="69">
        <f>s_C*s_EF_ow*(1/365)*s_ED_out*(s_ET_ow_o+s_ET_ow_i)*(1/24)*up_RadSpec!V15*up_RadSpec!Q15*1</f>
        <v>0</v>
      </c>
      <c r="T15" s="69">
        <f>s_C*s_EF_ow*(1/365)*s_ED_out*(s_ET_ow_o+s_ET_ow_i)*(1/24)*up_RadSpec!W15*up_RadSpec!R15*1</f>
        <v>0</v>
      </c>
      <c r="U15" s="69">
        <f>s_C*s_EF_ow*(1/365)*s_ED_out*(s_ET_ow_o+s_ET_ow_i)*(1/24)*up_RadSpec!X15*up_RadSpec!S15*1</f>
        <v>0</v>
      </c>
      <c r="V15" s="69">
        <f>s_C*s_EF_ow*(1/365)*s_ED_out*(s_ET_ow_o+s_ET_ow_i)*(1/24)*up_RadSpec!Y15*up_RadSpec!T15*1</f>
        <v>0</v>
      </c>
      <c r="W15" s="69">
        <f>s_C*s_EF_ow*(1/365)*s_ED_out*(s_ET_ow_o+s_ET_ow_i)*(1/24)*up_RadSpec!U15*up_RadSpec!P15*1</f>
        <v>0</v>
      </c>
      <c r="X15" s="11"/>
      <c r="Y15" s="11"/>
      <c r="Z15" s="11"/>
      <c r="AA15" s="11"/>
      <c r="AB15" s="11"/>
      <c r="AC15" s="48">
        <f>IFERROR(s_TR/(up_RadSpec!G15*s_EF_ow*s_ED_out*(s_ET_ow_o+s_ET_ow_i)*(1/24)*s_IRA_ow),".")</f>
        <v>2.9090909090909089E-11</v>
      </c>
      <c r="AD15" s="48">
        <f>IFERROR(s_TR/(up_RadSpec!J15*s_EF_ow*(1/365)*s_ED_out*(s_ET_ow_o+s_ET_ow_i)*(1/24)*s_GSF_a),".")</f>
        <v>1.5927272727272726E-7</v>
      </c>
      <c r="AE15" s="48">
        <f t="shared" si="6"/>
        <v>2.9085596653164224E-11</v>
      </c>
      <c r="AF15" s="69">
        <f t="shared" si="4"/>
        <v>381940625</v>
      </c>
      <c r="AG15" s="69">
        <f t="shared" si="5"/>
        <v>69760.844748858435</v>
      </c>
      <c r="AH15" s="10"/>
      <c r="AI15" s="10"/>
      <c r="AJ15" s="10"/>
    </row>
    <row r="16" spans="1:36" x14ac:dyDescent="0.25">
      <c r="A16" s="49" t="s">
        <v>26</v>
      </c>
      <c r="B16" s="50" t="s">
        <v>289</v>
      </c>
      <c r="C16" s="48">
        <f>IFERROR((s_TR/(up_RadSpec!I16*s_EF_ow*s_ED_out*s_IRS_ow*(1/1000)))*1,".")</f>
        <v>3.6363636363636364E-9</v>
      </c>
      <c r="D16" s="48">
        <f>IFERROR(IF(A16="H-3",(s_TR/(up_RadSpec!G16*s_EF_ow*s_ED_out*(s_ET_ow_o+s_ET_ow_i)*(1/24)*s_IRA_ow*(1/17)*1000))*1,(s_TR/(up_RadSpec!G16*s_EF_ow*s_ED_out*(s_ET_ow_o+s_ET_ow_i)*(1/24)*s_IRA_ow*(1/s_PEF_wind)*1000))*1),".")</f>
        <v>9.0250320889537196E-6</v>
      </c>
      <c r="E16" s="48">
        <f>IFERROR((s_TR/(up_RadSpec!F16*s_EF_ow*(1/365)*s_ED_out*up_RadSpec!Q16*(s_ET_ow_o+s_ET_ow_i)*(1/24)*up_RadSpec!V16))*1,".")</f>
        <v>7.6494620302510558E-2</v>
      </c>
      <c r="F16" s="48">
        <f t="shared" si="0"/>
        <v>3.6348988910319158E-9</v>
      </c>
      <c r="G16" s="69">
        <f t="shared" si="1"/>
        <v>3055525</v>
      </c>
      <c r="H16" s="69">
        <f t="shared" si="2"/>
        <v>1231.1313567072434</v>
      </c>
      <c r="I16" s="69">
        <f>s_C*s_EF_ow*(1/365)*s_ED_out*(s_ET_ow_o+s_ET_ow_i)*(1/24)*up_RadSpec!V16*up_RadSpec!Q16*1</f>
        <v>0.14525204460208732</v>
      </c>
      <c r="J16" s="4"/>
      <c r="K16" s="4"/>
      <c r="L16" s="4"/>
      <c r="M16" s="4"/>
      <c r="N16" s="48">
        <f>IFERROR((s_TR/(up_RadSpec!F16*s_EF_ow*(1/365)*s_ED_out*up_RadSpec!Q16*(s_ET_ow_o+s_ET_ow_i)*(1/24)*up_RadSpec!V16))*1,".")</f>
        <v>7.6494620302510558E-2</v>
      </c>
      <c r="O16" s="48">
        <f>IFERROR((s_TR/(up_RadSpec!M16*s_EF_ow*(1/365)*s_ED_out*up_RadSpec!R16*(s_ET_ow_o+s_ET_ow_i)*(1/24)*up_RadSpec!W16))*1,".")</f>
        <v>0.13623429416112345</v>
      </c>
      <c r="P16" s="48">
        <f>IFERROR((s_TR/(up_RadSpec!N16*s_EF_ow*(1/365)*s_ED_out*up_RadSpec!S16*(s_ET_ow_o+s_ET_ow_i)*(1/24)*up_RadSpec!X16))*1,".")</f>
        <v>8.1841380561977761E-2</v>
      </c>
      <c r="Q16" s="48">
        <f>IFERROR((s_TR/(up_RadSpec!O16*s_EF_ow*(1/365)*s_ED_out*up_RadSpec!T16*(s_ET_ow_o+s_ET_ow_i)*(1/24)*up_RadSpec!Y16))*1,".")</f>
        <v>8.2264249380461771E-2</v>
      </c>
      <c r="R16" s="48">
        <f>IFERROR((s_TR/(up_RadSpec!K16*s_EF_ow*(1/365)*s_ED_out*up_RadSpec!P16*(s_ET_ow_o+s_ET_ow_i)*(1/24)*up_RadSpec!U16))*1,".")</f>
        <v>3.1854545454545455</v>
      </c>
      <c r="S16" s="69">
        <f>s_C*s_EF_ow*(1/365)*s_ED_out*(s_ET_ow_o+s_ET_ow_i)*(1/24)*up_RadSpec!V16*up_RadSpec!Q16*1</f>
        <v>0.14525204460208732</v>
      </c>
      <c r="T16" s="69">
        <f>s_C*s_EF_ow*(1/365)*s_ED_out*(s_ET_ow_o+s_ET_ow_i)*(1/24)*up_RadSpec!W16*up_RadSpec!R16*1</f>
        <v>8.1558025227180211E-2</v>
      </c>
      <c r="U16" s="69">
        <f>s_C*s_EF_ow*(1/365)*s_ED_out*(s_ET_ow_o+s_ET_ow_i)*(1/24)*up_RadSpec!X16*up_RadSpec!S16*1</f>
        <v>0.13576261695128342</v>
      </c>
      <c r="V16" s="69">
        <f>s_C*s_EF_ow*(1/365)*s_ED_out*(s_ET_ow_o+s_ET_ow_i)*(1/24)*up_RadSpec!Y16*up_RadSpec!T16*1</f>
        <v>0.13506474663876197</v>
      </c>
      <c r="W16" s="69">
        <f>s_C*s_EF_ow*(1/365)*s_ED_out*(s_ET_ow_o+s_ET_ow_i)*(1/24)*up_RadSpec!U16*up_RadSpec!P16*1</f>
        <v>3.4880422374429215E-3</v>
      </c>
      <c r="X16" s="11"/>
      <c r="Y16" s="11"/>
      <c r="Z16" s="11"/>
      <c r="AA16" s="11"/>
      <c r="AB16" s="11"/>
      <c r="AC16" s="48">
        <f>IFERROR(s_TR/(up_RadSpec!G16*s_EF_ow*s_ED_out*(s_ET_ow_o+s_ET_ow_i)*(1/24)*s_IRA_ow),".")</f>
        <v>2.9090909090909089E-11</v>
      </c>
      <c r="AD16" s="48">
        <f>IFERROR(s_TR/(up_RadSpec!J16*s_EF_ow*(1/365)*s_ED_out*(s_ET_ow_o+s_ET_ow_i)*(1/24)*s_GSF_a),".")</f>
        <v>1.5927272727272726E-7</v>
      </c>
      <c r="AE16" s="48">
        <f t="shared" si="6"/>
        <v>2.9085596653164224E-11</v>
      </c>
      <c r="AF16" s="69">
        <f t="shared" si="4"/>
        <v>381940625</v>
      </c>
      <c r="AG16" s="69">
        <f t="shared" si="5"/>
        <v>69760.844748858435</v>
      </c>
      <c r="AH16" s="10"/>
      <c r="AI16" s="10"/>
      <c r="AJ16" s="10"/>
    </row>
    <row r="17" spans="1:36" x14ac:dyDescent="0.25">
      <c r="A17" s="49" t="s">
        <v>27</v>
      </c>
      <c r="B17" s="50" t="s">
        <v>289</v>
      </c>
      <c r="C17" s="48">
        <f>IFERROR((s_TR/(up_RadSpec!I17*s_EF_ow*s_ED_out*s_IRS_ow*(1/1000)))*1,".")</f>
        <v>3.6363636363636364E-9</v>
      </c>
      <c r="D17" s="48">
        <f>IFERROR(IF(A17="H-3",(s_TR/(up_RadSpec!G17*s_EF_ow*s_ED_out*(s_ET_ow_o+s_ET_ow_i)*(1/24)*s_IRA_ow*(1/17)*1000))*1,(s_TR/(up_RadSpec!G17*s_EF_ow*s_ED_out*(s_ET_ow_o+s_ET_ow_i)*(1/24)*s_IRA_ow*(1/s_PEF_wind)*1000))*1),".")</f>
        <v>9.0250320889537196E-6</v>
      </c>
      <c r="E17" s="48">
        <f>IFERROR((s_TR/(up_RadSpec!F17*s_EF_ow*(1/365)*s_ED_out*up_RadSpec!Q17*(s_ET_ow_o+s_ET_ow_i)*(1/24)*up_RadSpec!V17))*1,".")</f>
        <v>7.0328217237308115E-6</v>
      </c>
      <c r="F17" s="48">
        <f t="shared" si="0"/>
        <v>3.6330213443427409E-9</v>
      </c>
      <c r="G17" s="69">
        <f t="shared" si="1"/>
        <v>3055525</v>
      </c>
      <c r="H17" s="69">
        <f t="shared" si="2"/>
        <v>1231.1313567072434</v>
      </c>
      <c r="I17" s="69">
        <f>s_C*s_EF_ow*(1/365)*s_ED_out*(s_ET_ow_o+s_ET_ow_i)*(1/24)*up_RadSpec!V17*up_RadSpec!Q17*1</f>
        <v>1579.8779546065007</v>
      </c>
      <c r="J17" s="4"/>
      <c r="K17" s="4"/>
      <c r="L17" s="4"/>
      <c r="M17" s="4"/>
      <c r="N17" s="48">
        <f>IFERROR((s_TR/(up_RadSpec!F17*s_EF_ow*(1/365)*s_ED_out*up_RadSpec!Q17*(s_ET_ow_o+s_ET_ow_i)*(1/24)*up_RadSpec!V17))*1,".")</f>
        <v>7.0328217237308115E-6</v>
      </c>
      <c r="O17" s="48">
        <f>IFERROR((s_TR/(up_RadSpec!M17*s_EF_ow*(1/365)*s_ED_out*up_RadSpec!R17*(s_ET_ow_o+s_ET_ow_i)*(1/24)*up_RadSpec!W17))*1,".")</f>
        <v>1.2291326763688573E-5</v>
      </c>
      <c r="P17" s="48">
        <f>IFERROR((s_TR/(up_RadSpec!N17*s_EF_ow*(1/365)*s_ED_out*up_RadSpec!S17*(s_ET_ow_o+s_ET_ow_i)*(1/24)*up_RadSpec!X17))*1,".")</f>
        <v>9.2604629075217332E-6</v>
      </c>
      <c r="Q17" s="48">
        <f>IFERROR((s_TR/(up_RadSpec!O17*s_EF_ow*(1/365)*s_ED_out*up_RadSpec!T17*(s_ET_ow_o+s_ET_ow_i)*(1/24)*up_RadSpec!Y17))*1,".")</f>
        <v>8.2346950765735748E-6</v>
      </c>
      <c r="R17" s="48">
        <f>IFERROR((s_TR/(up_RadSpec!K17*s_EF_ow*(1/365)*s_ED_out*up_RadSpec!P17*(s_ET_ow_o+s_ET_ow_i)*(1/24)*up_RadSpec!U17))*1,".")</f>
        <v>2.3551854998583972E-5</v>
      </c>
      <c r="S17" s="69">
        <f>s_C*s_EF_ow*(1/365)*s_ED_out*(s_ET_ow_o+s_ET_ow_i)*(1/24)*up_RadSpec!V17*up_RadSpec!Q17*1</f>
        <v>1579.8779546065007</v>
      </c>
      <c r="T17" s="69">
        <f>s_C*s_EF_ow*(1/365)*s_ED_out*(s_ET_ow_o+s_ET_ow_i)*(1/24)*up_RadSpec!W17*up_RadSpec!R17*1</f>
        <v>903.97076032706775</v>
      </c>
      <c r="U17" s="69">
        <f>s_C*s_EF_ow*(1/365)*s_ED_out*(s_ET_ow_o+s_ET_ow_i)*(1/24)*up_RadSpec!X17*up_RadSpec!S17*1</f>
        <v>1199.8320290204051</v>
      </c>
      <c r="V17" s="69">
        <f>s_C*s_EF_ow*(1/365)*s_ED_out*(s_ET_ow_o+s_ET_ow_i)*(1/24)*up_RadSpec!Y17*up_RadSpec!T17*1</f>
        <v>1349.2910055175041</v>
      </c>
      <c r="W17" s="69">
        <f>s_C*s_EF_ow*(1/365)*s_ED_out*(s_ET_ow_o+s_ET_ow_i)*(1/24)*up_RadSpec!U17*up_RadSpec!P17*1</f>
        <v>471.76751048560863</v>
      </c>
      <c r="X17" s="11"/>
      <c r="Y17" s="11"/>
      <c r="Z17" s="11"/>
      <c r="AA17" s="11"/>
      <c r="AB17" s="11"/>
      <c r="AC17" s="48">
        <f>IFERROR(s_TR/(up_RadSpec!G17*s_EF_ow*s_ED_out*(s_ET_ow_o+s_ET_ow_i)*(1/24)*s_IRA_ow),".")</f>
        <v>2.9090909090909089E-11</v>
      </c>
      <c r="AD17" s="48">
        <f>IFERROR(s_TR/(up_RadSpec!J17*s_EF_ow*(1/365)*s_ED_out*(s_ET_ow_o+s_ET_ow_i)*(1/24)*s_GSF_a),".")</f>
        <v>1.5927272727272726E-7</v>
      </c>
      <c r="AE17" s="48">
        <f t="shared" si="6"/>
        <v>2.9085596653164224E-11</v>
      </c>
      <c r="AF17" s="69">
        <f t="shared" si="4"/>
        <v>381940625</v>
      </c>
      <c r="AG17" s="69">
        <f t="shared" si="5"/>
        <v>69760.844748858435</v>
      </c>
      <c r="AH17" s="10"/>
      <c r="AI17" s="10"/>
      <c r="AJ17" s="10"/>
    </row>
    <row r="18" spans="1:36" x14ac:dyDescent="0.25">
      <c r="A18" s="49" t="s">
        <v>28</v>
      </c>
      <c r="B18" s="50" t="s">
        <v>289</v>
      </c>
      <c r="C18" s="48">
        <f>IFERROR((s_TR/(up_RadSpec!I18*s_EF_ow*s_ED_out*s_IRS_ow*(1/1000)))*1,".")</f>
        <v>3.6363636363636364E-9</v>
      </c>
      <c r="D18" s="48">
        <f>IFERROR(IF(A18="H-3",(s_TR/(up_RadSpec!G18*s_EF_ow*s_ED_out*(s_ET_ow_o+s_ET_ow_i)*(1/24)*s_IRA_ow*(1/17)*1000))*1,(s_TR/(up_RadSpec!G18*s_EF_ow*s_ED_out*(s_ET_ow_o+s_ET_ow_i)*(1/24)*s_IRA_ow*(1/s_PEF_wind)*1000))*1),".")</f>
        <v>9.0250320889537196E-6</v>
      </c>
      <c r="E18" s="48">
        <f>IFERROR((s_TR/(up_RadSpec!F18*s_EF_ow*(1/365)*s_ED_out*up_RadSpec!Q18*(s_ET_ow_o+s_ET_ow_i)*(1/24)*up_RadSpec!V18))*1,".")</f>
        <v>3.5819104981705612E-6</v>
      </c>
      <c r="F18" s="48">
        <f t="shared" si="0"/>
        <v>3.6312141316916604E-9</v>
      </c>
      <c r="G18" s="69">
        <f t="shared" si="1"/>
        <v>3055525</v>
      </c>
      <c r="H18" s="69">
        <f t="shared" si="2"/>
        <v>1231.1313567072434</v>
      </c>
      <c r="I18" s="69">
        <f>s_C*s_EF_ow*(1/365)*s_ED_out*(s_ET_ow_o+s_ET_ow_i)*(1/24)*up_RadSpec!V18*up_RadSpec!Q18*1</f>
        <v>3101.9758884748444</v>
      </c>
      <c r="J18" s="4"/>
      <c r="K18" s="4"/>
      <c r="L18" s="4"/>
      <c r="M18" s="4"/>
      <c r="N18" s="48">
        <f>IFERROR((s_TR/(up_RadSpec!F18*s_EF_ow*(1/365)*s_ED_out*up_RadSpec!Q18*(s_ET_ow_o+s_ET_ow_i)*(1/24)*up_RadSpec!V18))*1,".")</f>
        <v>3.5819104981705612E-6</v>
      </c>
      <c r="O18" s="48">
        <f>IFERROR((s_TR/(up_RadSpec!M18*s_EF_ow*(1/365)*s_ED_out*up_RadSpec!R18*(s_ET_ow_o+s_ET_ow_i)*(1/24)*up_RadSpec!W18))*1,".")</f>
        <v>7.087561164048418E-6</v>
      </c>
      <c r="P18" s="48">
        <f>IFERROR((s_TR/(up_RadSpec!N18*s_EF_ow*(1/365)*s_ED_out*up_RadSpec!S18*(s_ET_ow_o+s_ET_ow_i)*(1/24)*up_RadSpec!X18))*1,".")</f>
        <v>4.9633877043552491E-6</v>
      </c>
      <c r="Q18" s="48">
        <f>IFERROR((s_TR/(up_RadSpec!O18*s_EF_ow*(1/365)*s_ED_out*up_RadSpec!T18*(s_ET_ow_o+s_ET_ow_i)*(1/24)*up_RadSpec!Y18))*1,".")</f>
        <v>4.1122563526890516E-6</v>
      </c>
      <c r="R18" s="48">
        <f>IFERROR((s_TR/(up_RadSpec!K18*s_EF_ow*(1/365)*s_ED_out*up_RadSpec!P18*(s_ET_ow_o+s_ET_ow_i)*(1/24)*up_RadSpec!U18))*1,".")</f>
        <v>1.2047552447552445E-5</v>
      </c>
      <c r="S18" s="69">
        <f>s_C*s_EF_ow*(1/365)*s_ED_out*(s_ET_ow_o+s_ET_ow_i)*(1/24)*up_RadSpec!V18*up_RadSpec!Q18*1</f>
        <v>3101.9758884748444</v>
      </c>
      <c r="T18" s="69">
        <f>s_C*s_EF_ow*(1/365)*s_ED_out*(s_ET_ow_o+s_ET_ow_i)*(1/24)*up_RadSpec!W18*up_RadSpec!R18*1</f>
        <v>1567.6760655499434</v>
      </c>
      <c r="U18" s="69">
        <f>s_C*s_EF_ow*(1/365)*s_ED_out*(s_ET_ow_o+s_ET_ow_i)*(1/24)*up_RadSpec!X18*up_RadSpec!S18*1</f>
        <v>2238.5919984147863</v>
      </c>
      <c r="V18" s="69">
        <f>s_C*s_EF_ow*(1/365)*s_ED_out*(s_ET_ow_o+s_ET_ow_i)*(1/24)*up_RadSpec!Y18*up_RadSpec!T18*1</f>
        <v>2701.9229948381958</v>
      </c>
      <c r="W18" s="69">
        <f>s_C*s_EF_ow*(1/365)*s_ED_out*(s_ET_ow_o+s_ET_ow_i)*(1/24)*up_RadSpec!U18*up_RadSpec!P18*1</f>
        <v>922.26201532389132</v>
      </c>
      <c r="X18" s="11"/>
      <c r="Y18" s="11"/>
      <c r="Z18" s="11"/>
      <c r="AA18" s="11"/>
      <c r="AB18" s="11"/>
      <c r="AC18" s="48">
        <f>IFERROR(s_TR/(up_RadSpec!G18*s_EF_ow*s_ED_out*(s_ET_ow_o+s_ET_ow_i)*(1/24)*s_IRA_ow),".")</f>
        <v>2.9090909090909089E-11</v>
      </c>
      <c r="AD18" s="48">
        <f>IFERROR(s_TR/(up_RadSpec!J18*s_EF_ow*(1/365)*s_ED_out*(s_ET_ow_o+s_ET_ow_i)*(1/24)*s_GSF_a),".")</f>
        <v>1.5927272727272726E-7</v>
      </c>
      <c r="AE18" s="48">
        <f t="shared" si="6"/>
        <v>2.9085596653164224E-11</v>
      </c>
      <c r="AF18" s="69">
        <f t="shared" si="4"/>
        <v>381940625</v>
      </c>
      <c r="AG18" s="69">
        <f t="shared" si="5"/>
        <v>69760.844748858435</v>
      </c>
      <c r="AH18" s="10"/>
      <c r="AI18" s="10"/>
      <c r="AJ18" s="10"/>
    </row>
    <row r="19" spans="1:36" x14ac:dyDescent="0.25">
      <c r="A19" s="49" t="s">
        <v>29</v>
      </c>
      <c r="B19" s="50" t="s">
        <v>289</v>
      </c>
      <c r="C19" s="48">
        <f>IFERROR((s_TR/(up_RadSpec!I19*s_EF_ow*s_ED_out*s_IRS_ow*(1/1000)))*1,".")</f>
        <v>3.6363636363636364E-9</v>
      </c>
      <c r="D19" s="48">
        <f>IFERROR(IF(A19="H-3",(s_TR/(up_RadSpec!G19*s_EF_ow*s_ED_out*(s_ET_ow_o+s_ET_ow_i)*(1/24)*s_IRA_ow*(1/17)*1000))*1,(s_TR/(up_RadSpec!G19*s_EF_ow*s_ED_out*(s_ET_ow_o+s_ET_ow_i)*(1/24)*s_IRA_ow*(1/s_PEF_wind)*1000))*1),".")</f>
        <v>9.0250320889537196E-6</v>
      </c>
      <c r="E19" s="48">
        <f>IFERROR((s_TR/(up_RadSpec!F19*s_EF_ow*(1/365)*s_ED_out*up_RadSpec!Q19*(s_ET_ow_o+s_ET_ow_i)*(1/24)*up_RadSpec!V19))*1,".")</f>
        <v>3.6549603032687219E-6</v>
      </c>
      <c r="F19" s="48">
        <f t="shared" si="0"/>
        <v>3.6312877073550612E-9</v>
      </c>
      <c r="G19" s="69">
        <f t="shared" si="1"/>
        <v>3055525</v>
      </c>
      <c r="H19" s="69">
        <f t="shared" si="2"/>
        <v>1231.1313567072434</v>
      </c>
      <c r="I19" s="69">
        <f>s_C*s_EF_ow*(1/365)*s_ED_out*(s_ET_ow_o+s_ET_ow_i)*(1/24)*up_RadSpec!V19*up_RadSpec!Q19*1</f>
        <v>3039.978297455968</v>
      </c>
      <c r="J19" s="4"/>
      <c r="K19" s="4"/>
      <c r="L19" s="4"/>
      <c r="M19" s="4"/>
      <c r="N19" s="48">
        <f>IFERROR((s_TR/(up_RadSpec!F19*s_EF_ow*(1/365)*s_ED_out*up_RadSpec!Q19*(s_ET_ow_o+s_ET_ow_i)*(1/24)*up_RadSpec!V19))*1,".")</f>
        <v>3.6549603032687219E-6</v>
      </c>
      <c r="O19" s="48">
        <f>IFERROR((s_TR/(up_RadSpec!M19*s_EF_ow*(1/365)*s_ED_out*up_RadSpec!R19*(s_ET_ow_o+s_ET_ow_i)*(1/24)*up_RadSpec!W19))*1,".")</f>
        <v>7.2492613769209525E-6</v>
      </c>
      <c r="P19" s="48">
        <f>IFERROR((s_TR/(up_RadSpec!N19*s_EF_ow*(1/365)*s_ED_out*up_RadSpec!S19*(s_ET_ow_o+s_ET_ow_i)*(1/24)*up_RadSpec!X19))*1,".")</f>
        <v>5.0251823043266912E-6</v>
      </c>
      <c r="Q19" s="48">
        <f>IFERROR((s_TR/(up_RadSpec!O19*s_EF_ow*(1/365)*s_ED_out*up_RadSpec!T19*(s_ET_ow_o+s_ET_ow_i)*(1/24)*up_RadSpec!Y19))*1,".")</f>
        <v>4.1970515970515958E-6</v>
      </c>
      <c r="R19" s="48">
        <f>IFERROR((s_TR/(up_RadSpec!K19*s_EF_ow*(1/365)*s_ED_out*up_RadSpec!P19*(s_ET_ow_o+s_ET_ow_i)*(1/24)*up_RadSpec!U19))*1,".")</f>
        <v>1.2483427584651173E-5</v>
      </c>
      <c r="S19" s="69">
        <f>s_C*s_EF_ow*(1/365)*s_ED_out*(s_ET_ow_o+s_ET_ow_i)*(1/24)*up_RadSpec!V19*up_RadSpec!Q19*1</f>
        <v>3039.978297455968</v>
      </c>
      <c r="T19" s="69">
        <f>s_C*s_EF_ow*(1/365)*s_ED_out*(s_ET_ow_o+s_ET_ow_i)*(1/24)*up_RadSpec!W19*up_RadSpec!R19*1</f>
        <v>1532.7078749530865</v>
      </c>
      <c r="U19" s="69">
        <f>s_C*s_EF_ow*(1/365)*s_ED_out*(s_ET_ow_o+s_ET_ow_i)*(1/24)*up_RadSpec!X19*up_RadSpec!S19*1</f>
        <v>2211.0640623790714</v>
      </c>
      <c r="V19" s="69">
        <f>s_C*s_EF_ow*(1/365)*s_ED_out*(s_ET_ow_o+s_ET_ow_i)*(1/24)*up_RadSpec!Y19*up_RadSpec!T19*1</f>
        <v>2647.3346212387314</v>
      </c>
      <c r="W19" s="69">
        <f>s_C*s_EF_ow*(1/365)*s_ED_out*(s_ET_ow_o+s_ET_ow_i)*(1/24)*up_RadSpec!U19*up_RadSpec!P19*1</f>
        <v>890.06003556758526</v>
      </c>
      <c r="X19" s="11"/>
      <c r="Y19" s="11"/>
      <c r="Z19" s="11"/>
      <c r="AA19" s="11"/>
      <c r="AB19" s="11"/>
      <c r="AC19" s="48">
        <f>IFERROR(s_TR/(up_RadSpec!G19*s_EF_ow*s_ED_out*(s_ET_ow_o+s_ET_ow_i)*(1/24)*s_IRA_ow),".")</f>
        <v>2.9090909090909089E-11</v>
      </c>
      <c r="AD19" s="48">
        <f>IFERROR(s_TR/(up_RadSpec!J19*s_EF_ow*(1/365)*s_ED_out*(s_ET_ow_o+s_ET_ow_i)*(1/24)*s_GSF_a),".")</f>
        <v>1.5927272727272726E-7</v>
      </c>
      <c r="AE19" s="48">
        <f t="shared" si="6"/>
        <v>2.9085596653164224E-11</v>
      </c>
      <c r="AF19" s="69">
        <f t="shared" si="4"/>
        <v>381940625</v>
      </c>
      <c r="AG19" s="69">
        <f t="shared" si="5"/>
        <v>69760.844748858435</v>
      </c>
      <c r="AH19" s="10"/>
      <c r="AI19" s="10"/>
      <c r="AJ19" s="10"/>
    </row>
    <row r="20" spans="1:36" x14ac:dyDescent="0.25">
      <c r="A20" s="49" t="s">
        <v>30</v>
      </c>
      <c r="B20" s="50" t="s">
        <v>289</v>
      </c>
      <c r="C20" s="48">
        <f>IFERROR((s_TR/(up_RadSpec!I20*s_EF_ow*s_ED_out*s_IRS_ow*(1/1000)))*1,".")</f>
        <v>3.6363636363636364E-9</v>
      </c>
      <c r="D20" s="48">
        <f>IFERROR(IF(A20="H-3",(s_TR/(up_RadSpec!G20*s_EF_ow*s_ED_out*(s_ET_ow_o+s_ET_ow_i)*(1/24)*s_IRA_ow*(1/17)*1000))*1,(s_TR/(up_RadSpec!G20*s_EF_ow*s_ED_out*(s_ET_ow_o+s_ET_ow_i)*(1/24)*s_IRA_ow*(1/s_PEF_wind)*1000))*1),".")</f>
        <v>9.0250320889537196E-6</v>
      </c>
      <c r="E20" s="48">
        <f>IFERROR((s_TR/(up_RadSpec!F20*s_EF_ow*(1/365)*s_ED_out*up_RadSpec!Q20*(s_ET_ow_o+s_ET_ow_i)*(1/24)*up_RadSpec!V20))*1,".")</f>
        <v>3.5939411562557805E-6</v>
      </c>
      <c r="F20" s="48">
        <f t="shared" si="0"/>
        <v>3.6312264544770731E-9</v>
      </c>
      <c r="G20" s="69">
        <f t="shared" si="1"/>
        <v>3055525</v>
      </c>
      <c r="H20" s="69">
        <f t="shared" si="2"/>
        <v>1231.1313567072434</v>
      </c>
      <c r="I20" s="69">
        <f>s_C*s_EF_ow*(1/365)*s_ED_out*(s_ET_ow_o+s_ET_ow_i)*(1/24)*up_RadSpec!V20*up_RadSpec!Q20*1</f>
        <v>3091.5920759191272</v>
      </c>
      <c r="J20" s="4"/>
      <c r="K20" s="4"/>
      <c r="L20" s="4"/>
      <c r="M20" s="4"/>
      <c r="N20" s="48">
        <f>IFERROR((s_TR/(up_RadSpec!F20*s_EF_ow*(1/365)*s_ED_out*up_RadSpec!Q20*(s_ET_ow_o+s_ET_ow_i)*(1/24)*up_RadSpec!V20))*1,".")</f>
        <v>3.5939411562557805E-6</v>
      </c>
      <c r="O20" s="48">
        <f>IFERROR((s_TR/(up_RadSpec!M20*s_EF_ow*(1/365)*s_ED_out*up_RadSpec!R20*(s_ET_ow_o+s_ET_ow_i)*(1/24)*up_RadSpec!W20))*1,".")</f>
        <v>7.0875923413236858E-6</v>
      </c>
      <c r="P20" s="48">
        <f>IFERROR((s_TR/(up_RadSpec!N20*s_EF_ow*(1/365)*s_ED_out*up_RadSpec!S20*(s_ET_ow_o+s_ET_ow_i)*(1/24)*up_RadSpec!X20))*1,".")</f>
        <v>4.9590409590409603E-6</v>
      </c>
      <c r="Q20" s="48">
        <f>IFERROR((s_TR/(up_RadSpec!O20*s_EF_ow*(1/365)*s_ED_out*up_RadSpec!T20*(s_ET_ow_o+s_ET_ow_i)*(1/24)*up_RadSpec!Y20))*1,".")</f>
        <v>4.1639928698752253E-6</v>
      </c>
      <c r="R20" s="48">
        <f>IFERROR((s_TR/(up_RadSpec!K20*s_EF_ow*(1/365)*s_ED_out*up_RadSpec!P20*(s_ET_ow_o+s_ET_ow_i)*(1/24)*up_RadSpec!U20))*1,".")</f>
        <v>1.2076986076986082E-5</v>
      </c>
      <c r="S20" s="69">
        <f>s_C*s_EF_ow*(1/365)*s_ED_out*(s_ET_ow_o+s_ET_ow_i)*(1/24)*up_RadSpec!V20*up_RadSpec!Q20*1</f>
        <v>3091.5920759191272</v>
      </c>
      <c r="T20" s="69">
        <f>s_C*s_EF_ow*(1/365)*s_ED_out*(s_ET_ow_o+s_ET_ow_i)*(1/24)*up_RadSpec!W20*up_RadSpec!R20*1</f>
        <v>1567.6691695737256</v>
      </c>
      <c r="U20" s="69">
        <f>s_C*s_EF_ow*(1/365)*s_ED_out*(s_ET_ow_o+s_ET_ow_i)*(1/24)*up_RadSpec!X20*up_RadSpec!S20*1</f>
        <v>2240.5541901692172</v>
      </c>
      <c r="V20" s="69">
        <f>s_C*s_EF_ow*(1/365)*s_ED_out*(s_ET_ow_o+s_ET_ow_i)*(1/24)*up_RadSpec!Y20*up_RadSpec!T20*1</f>
        <v>2668.3523116438337</v>
      </c>
      <c r="W20" s="69">
        <f>s_C*s_EF_ow*(1/365)*s_ED_out*(s_ET_ow_o+s_ET_ow_i)*(1/24)*up_RadSpec!U20*up_RadSpec!P20*1</f>
        <v>920.01430896514262</v>
      </c>
      <c r="X20" s="11"/>
      <c r="Y20" s="11"/>
      <c r="Z20" s="11"/>
      <c r="AA20" s="11"/>
      <c r="AB20" s="11"/>
      <c r="AC20" s="48">
        <f>IFERROR(s_TR/(up_RadSpec!G20*s_EF_ow*s_ED_out*(s_ET_ow_o+s_ET_ow_i)*(1/24)*s_IRA_ow),".")</f>
        <v>2.9090909090909089E-11</v>
      </c>
      <c r="AD20" s="48">
        <f>IFERROR(s_TR/(up_RadSpec!J20*s_EF_ow*(1/365)*s_ED_out*(s_ET_ow_o+s_ET_ow_i)*(1/24)*s_GSF_a),".")</f>
        <v>1.5927272727272726E-7</v>
      </c>
      <c r="AE20" s="48">
        <f t="shared" si="6"/>
        <v>2.9085596653164224E-11</v>
      </c>
      <c r="AF20" s="69">
        <f t="shared" si="4"/>
        <v>381940625</v>
      </c>
      <c r="AG20" s="69">
        <f t="shared" si="5"/>
        <v>69760.844748858435</v>
      </c>
      <c r="AH20" s="10"/>
      <c r="AI20" s="10"/>
      <c r="AJ20" s="10"/>
    </row>
    <row r="21" spans="1:36" x14ac:dyDescent="0.25">
      <c r="A21" s="49" t="s">
        <v>31</v>
      </c>
      <c r="B21" s="50" t="s">
        <v>289</v>
      </c>
      <c r="C21" s="48">
        <f>IFERROR((s_TR/(up_RadSpec!I21*s_EF_ow*s_ED_out*s_IRS_ow*(1/1000)))*1,".")</f>
        <v>3.6363636363636364E-9</v>
      </c>
      <c r="D21" s="48">
        <f>IFERROR(IF(A21="H-3",(s_TR/(up_RadSpec!G21*s_EF_ow*s_ED_out*(s_ET_ow_o+s_ET_ow_i)*(1/24)*s_IRA_ow*(1/17)*1000))*1,(s_TR/(up_RadSpec!G21*s_EF_ow*s_ED_out*(s_ET_ow_o+s_ET_ow_i)*(1/24)*s_IRA_ow*(1/s_PEF_wind)*1000))*1),".")</f>
        <v>9.0250320889537196E-6</v>
      </c>
      <c r="E21" s="48" t="str">
        <f>IFERROR((s_TR/(up_RadSpec!F21*s_EF_ow*(1/365)*s_ED_out*up_RadSpec!Q21*(s_ET_ow_o+s_ET_ow_i)*(1/24)*up_RadSpec!V21))*1,".")</f>
        <v>.</v>
      </c>
      <c r="F21" s="48">
        <f t="shared" si="0"/>
        <v>3.6348990637563577E-9</v>
      </c>
      <c r="G21" s="69">
        <f t="shared" si="1"/>
        <v>3055525</v>
      </c>
      <c r="H21" s="69">
        <f t="shared" si="2"/>
        <v>1231.1313567072434</v>
      </c>
      <c r="I21" s="69">
        <f>s_C*s_EF_ow*(1/365)*s_ED_out*(s_ET_ow_o+s_ET_ow_i)*(1/24)*up_RadSpec!V21*up_RadSpec!Q21*1</f>
        <v>0</v>
      </c>
      <c r="J21" s="4"/>
      <c r="K21" s="4"/>
      <c r="L21" s="4"/>
      <c r="M21" s="4"/>
      <c r="N21" s="48" t="str">
        <f>IFERROR((s_TR/(up_RadSpec!F21*s_EF_ow*(1/365)*s_ED_out*up_RadSpec!Q21*(s_ET_ow_o+s_ET_ow_i)*(1/24)*up_RadSpec!V21))*1,".")</f>
        <v>.</v>
      </c>
      <c r="O21" s="48" t="str">
        <f>IFERROR((s_TR/(up_RadSpec!M21*s_EF_ow*(1/365)*s_ED_out*up_RadSpec!R21*(s_ET_ow_o+s_ET_ow_i)*(1/24)*up_RadSpec!W21))*1,".")</f>
        <v>.</v>
      </c>
      <c r="P21" s="48" t="str">
        <f>IFERROR((s_TR/(up_RadSpec!N21*s_EF_ow*(1/365)*s_ED_out*up_RadSpec!S21*(s_ET_ow_o+s_ET_ow_i)*(1/24)*up_RadSpec!X21))*1,".")</f>
        <v>.</v>
      </c>
      <c r="Q21" s="48" t="str">
        <f>IFERROR((s_TR/(up_RadSpec!O21*s_EF_ow*(1/365)*s_ED_out*up_RadSpec!T21*(s_ET_ow_o+s_ET_ow_i)*(1/24)*up_RadSpec!Y21))*1,".")</f>
        <v>.</v>
      </c>
      <c r="R21" s="48" t="str">
        <f>IFERROR((s_TR/(up_RadSpec!K21*s_EF_ow*(1/365)*s_ED_out*up_RadSpec!P21*(s_ET_ow_o+s_ET_ow_i)*(1/24)*up_RadSpec!U21))*1,".")</f>
        <v>.</v>
      </c>
      <c r="S21" s="69">
        <f>s_C*s_EF_ow*(1/365)*s_ED_out*(s_ET_ow_o+s_ET_ow_i)*(1/24)*up_RadSpec!V21*up_RadSpec!Q21*1</f>
        <v>0</v>
      </c>
      <c r="T21" s="69">
        <f>s_C*s_EF_ow*(1/365)*s_ED_out*(s_ET_ow_o+s_ET_ow_i)*(1/24)*up_RadSpec!W21*up_RadSpec!R21*1</f>
        <v>0</v>
      </c>
      <c r="U21" s="69">
        <f>s_C*s_EF_ow*(1/365)*s_ED_out*(s_ET_ow_o+s_ET_ow_i)*(1/24)*up_RadSpec!X21*up_RadSpec!S21*1</f>
        <v>0</v>
      </c>
      <c r="V21" s="69">
        <f>s_C*s_EF_ow*(1/365)*s_ED_out*(s_ET_ow_o+s_ET_ow_i)*(1/24)*up_RadSpec!Y21*up_RadSpec!T21*1</f>
        <v>0</v>
      </c>
      <c r="W21" s="69">
        <f>s_C*s_EF_ow*(1/365)*s_ED_out*(s_ET_ow_o+s_ET_ow_i)*(1/24)*up_RadSpec!U21*up_RadSpec!P21*1</f>
        <v>0</v>
      </c>
      <c r="X21" s="11"/>
      <c r="Y21" s="11"/>
      <c r="Z21" s="11"/>
      <c r="AA21" s="11"/>
      <c r="AB21" s="11"/>
      <c r="AC21" s="48">
        <f>IFERROR(s_TR/(up_RadSpec!G21*s_EF_ow*s_ED_out*(s_ET_ow_o+s_ET_ow_i)*(1/24)*s_IRA_ow),".")</f>
        <v>2.9090909090909089E-11</v>
      </c>
      <c r="AD21" s="48">
        <f>IFERROR(s_TR/(up_RadSpec!J21*s_EF_ow*(1/365)*s_ED_out*(s_ET_ow_o+s_ET_ow_i)*(1/24)*s_GSF_a),".")</f>
        <v>1.5927272727272726E-7</v>
      </c>
      <c r="AE21" s="48">
        <f t="shared" si="6"/>
        <v>2.9085596653164224E-11</v>
      </c>
      <c r="AF21" s="69">
        <f t="shared" si="4"/>
        <v>381940625</v>
      </c>
      <c r="AG21" s="69">
        <f t="shared" si="5"/>
        <v>69760.844748858435</v>
      </c>
      <c r="AH21" s="10"/>
      <c r="AI21" s="10"/>
      <c r="AJ21" s="10"/>
    </row>
    <row r="22" spans="1:36" x14ac:dyDescent="0.25">
      <c r="A22" s="49" t="s">
        <v>32</v>
      </c>
      <c r="B22" s="50" t="s">
        <v>289</v>
      </c>
      <c r="C22" s="48">
        <f>IFERROR((s_TR/(up_RadSpec!I22*s_EF_ow*s_ED_out*s_IRS_ow*(1/1000)))*1,".")</f>
        <v>3.6363636363636364E-9</v>
      </c>
      <c r="D22" s="48">
        <f>IFERROR(IF(A22="H-3",(s_TR/(up_RadSpec!G22*s_EF_ow*s_ED_out*(s_ET_ow_o+s_ET_ow_i)*(1/24)*s_IRA_ow*(1/17)*1000))*1,(s_TR/(up_RadSpec!G22*s_EF_ow*s_ED_out*(s_ET_ow_o+s_ET_ow_i)*(1/24)*s_IRA_ow*(1/s_PEF_wind)*1000))*1),".")</f>
        <v>9.0250320889537196E-6</v>
      </c>
      <c r="E22" s="48">
        <f>IFERROR((s_TR/(up_RadSpec!F22*s_EF_ow*(1/365)*s_ED_out*up_RadSpec!Q22*(s_ET_ow_o+s_ET_ow_i)*(1/24)*up_RadSpec!V22))*1,".")</f>
        <v>15.285043988269797</v>
      </c>
      <c r="F22" s="48">
        <f t="shared" si="0"/>
        <v>3.6348990628919511E-9</v>
      </c>
      <c r="G22" s="69">
        <f t="shared" si="1"/>
        <v>3055525</v>
      </c>
      <c r="H22" s="69">
        <f t="shared" si="2"/>
        <v>1231.1313567072434</v>
      </c>
      <c r="I22" s="69">
        <f>s_C*s_EF_ow*(1/365)*s_ED_out*(s_ET_ow_o+s_ET_ow_i)*(1/24)*up_RadSpec!V22*up_RadSpec!Q22*1</f>
        <v>7.2691972679482725E-4</v>
      </c>
      <c r="J22" s="4"/>
      <c r="K22" s="4"/>
      <c r="L22" s="4"/>
      <c r="M22" s="4"/>
      <c r="N22" s="48">
        <f>IFERROR((s_TR/(up_RadSpec!F22*s_EF_ow*(1/365)*s_ED_out*up_RadSpec!Q22*(s_ET_ow_o+s_ET_ow_i)*(1/24)*up_RadSpec!V22))*1,".")</f>
        <v>15.285043988269797</v>
      </c>
      <c r="O22" s="48">
        <f>IFERROR((s_TR/(up_RadSpec!M22*s_EF_ow*(1/365)*s_ED_out*up_RadSpec!R22*(s_ET_ow_o+s_ET_ow_i)*(1/24)*up_RadSpec!W22))*1,".")</f>
        <v>14.006003150167917</v>
      </c>
      <c r="P22" s="48">
        <f>IFERROR((s_TR/(up_RadSpec!N22*s_EF_ow*(1/365)*s_ED_out*up_RadSpec!S22*(s_ET_ow_o+s_ET_ow_i)*(1/24)*up_RadSpec!X22))*1,".")</f>
        <v>10.760360759143474</v>
      </c>
      <c r="Q22" s="48">
        <f>IFERROR((s_TR/(up_RadSpec!O22*s_EF_ow*(1/365)*s_ED_out*up_RadSpec!T22*(s_ET_ow_o+s_ET_ow_i)*(1/24)*up_RadSpec!Y22))*1,".")</f>
        <v>11.08825757575757</v>
      </c>
      <c r="R22" s="48">
        <f>IFERROR((s_TR/(up_RadSpec!K22*s_EF_ow*(1/365)*s_ED_out*up_RadSpec!P22*(s_ET_ow_o+s_ET_ow_i)*(1/24)*up_RadSpec!U22))*1,".")</f>
        <v>78.678866993535507</v>
      </c>
      <c r="S22" s="69">
        <f>s_C*s_EF_ow*(1/365)*s_ED_out*(s_ET_ow_o+s_ET_ow_i)*(1/24)*up_RadSpec!V22*up_RadSpec!Q22*1</f>
        <v>7.2691972679482725E-4</v>
      </c>
      <c r="T22" s="69">
        <f>s_C*s_EF_ow*(1/365)*s_ED_out*(s_ET_ow_o+s_ET_ow_i)*(1/24)*up_RadSpec!W22*up_RadSpec!R22*1</f>
        <v>7.9330269177233393E-4</v>
      </c>
      <c r="U22" s="69">
        <f>s_C*s_EF_ow*(1/365)*s_ED_out*(s_ET_ow_o+s_ET_ow_i)*(1/24)*up_RadSpec!X22*up_RadSpec!S22*1</f>
        <v>1.0325861974988687E-3</v>
      </c>
      <c r="V22" s="69">
        <f>s_C*s_EF_ow*(1/365)*s_ED_out*(s_ET_ow_o+s_ET_ow_i)*(1/24)*up_RadSpec!Y22*up_RadSpec!T22*1</f>
        <v>1.0020510367915829E-3</v>
      </c>
      <c r="W22" s="69">
        <f>s_C*s_EF_ow*(1/365)*s_ED_out*(s_ET_ow_o+s_ET_ow_i)*(1/24)*up_RadSpec!U22*up_RadSpec!P22*1</f>
        <v>1.4121962382748741E-4</v>
      </c>
      <c r="X22" s="11"/>
      <c r="Y22" s="11"/>
      <c r="Z22" s="11"/>
      <c r="AA22" s="11"/>
      <c r="AB22" s="11"/>
      <c r="AC22" s="48">
        <f>IFERROR(s_TR/(up_RadSpec!G22*s_EF_ow*s_ED_out*(s_ET_ow_o+s_ET_ow_i)*(1/24)*s_IRA_ow),".")</f>
        <v>2.9090909090909089E-11</v>
      </c>
      <c r="AD22" s="48">
        <f>IFERROR(s_TR/(up_RadSpec!J22*s_EF_ow*(1/365)*s_ED_out*(s_ET_ow_o+s_ET_ow_i)*(1/24)*s_GSF_a),".")</f>
        <v>1.5927272727272726E-7</v>
      </c>
      <c r="AE22" s="48">
        <f t="shared" si="6"/>
        <v>2.9085596653164224E-11</v>
      </c>
      <c r="AF22" s="69">
        <f t="shared" si="4"/>
        <v>381940625</v>
      </c>
      <c r="AG22" s="69">
        <f t="shared" si="5"/>
        <v>69760.844748858435</v>
      </c>
      <c r="AH22" s="10"/>
      <c r="AI22" s="10"/>
      <c r="AJ22" s="10"/>
    </row>
    <row r="23" spans="1:36" x14ac:dyDescent="0.25">
      <c r="A23" s="51" t="s">
        <v>33</v>
      </c>
      <c r="B23" s="50" t="s">
        <v>275</v>
      </c>
      <c r="C23" s="48">
        <f>IFERROR((s_TR/(up_RadSpec!I23*s_EF_ow*s_ED_out*s_IRS_ow*(1/1000)))*1,".")</f>
        <v>3.6363636363636364E-9</v>
      </c>
      <c r="D23" s="48">
        <f>IFERROR(IF(A23="H-3",(s_TR/(up_RadSpec!G23*s_EF_ow*s_ED_out*(s_ET_ow_o+s_ET_ow_i)*(1/24)*s_IRA_ow*(1/17)*1000))*1,(s_TR/(up_RadSpec!G23*s_EF_ow*s_ED_out*(s_ET_ow_o+s_ET_ow_i)*(1/24)*s_IRA_ow*(1/s_PEF_wind)*1000))*1),".")</f>
        <v>9.0250320889537196E-6</v>
      </c>
      <c r="E23" s="48">
        <f>IFERROR((s_TR/(up_RadSpec!F23*s_EF_ow*(1/365)*s_ED_out*up_RadSpec!Q23*(s_ET_ow_o+s_ET_ow_i)*(1/24)*up_RadSpec!V23))*1,".")</f>
        <v>3.500392353284914E-6</v>
      </c>
      <c r="F23" s="48">
        <f t="shared" si="0"/>
        <v>3.6311284049537353E-9</v>
      </c>
      <c r="G23" s="69">
        <f t="shared" si="1"/>
        <v>3055525</v>
      </c>
      <c r="H23" s="69">
        <f t="shared" si="2"/>
        <v>1231.1313567072434</v>
      </c>
      <c r="I23" s="69">
        <f>s_C*s_EF_ow*(1/365)*s_ED_out*(s_ET_ow_o+s_ET_ow_i)*(1/24)*up_RadSpec!V23*up_RadSpec!Q23*1</f>
        <v>3174.2155960239638</v>
      </c>
      <c r="J23" s="4"/>
      <c r="K23" s="4"/>
      <c r="L23" s="4"/>
      <c r="M23" s="4"/>
      <c r="N23" s="48">
        <f>IFERROR((s_TR/(up_RadSpec!F23*s_EF_ow*(1/365)*s_ED_out*up_RadSpec!Q23*(s_ET_ow_o+s_ET_ow_i)*(1/24)*up_RadSpec!V23))*1,".")</f>
        <v>3.500392353284914E-6</v>
      </c>
      <c r="O23" s="48">
        <f>IFERROR((s_TR/(up_RadSpec!M23*s_EF_ow*(1/365)*s_ED_out*up_RadSpec!R23*(s_ET_ow_o+s_ET_ow_i)*(1/24)*up_RadSpec!W23))*1,".")</f>
        <v>6.2307642417036039E-6</v>
      </c>
      <c r="P23" s="48">
        <f>IFERROR((s_TR/(up_RadSpec!N23*s_EF_ow*(1/365)*s_ED_out*up_RadSpec!S23*(s_ET_ow_o+s_ET_ow_i)*(1/24)*up_RadSpec!X23))*1,".")</f>
        <v>4.4059313285674297E-6</v>
      </c>
      <c r="Q23" s="48">
        <f>IFERROR((s_TR/(up_RadSpec!O23*s_EF_ow*(1/365)*s_ED_out*up_RadSpec!T23*(s_ET_ow_o+s_ET_ow_i)*(1/24)*up_RadSpec!Y23))*1,".")</f>
        <v>3.6055144855144848E-6</v>
      </c>
      <c r="R23" s="48">
        <f>IFERROR((s_TR/(up_RadSpec!K23*s_EF_ow*(1/365)*s_ED_out*up_RadSpec!P23*(s_ET_ow_o+s_ET_ow_i)*(1/24)*up_RadSpec!U23))*1,".")</f>
        <v>9.8081956878073364E-6</v>
      </c>
      <c r="S23" s="69">
        <f>s_C*s_EF_ow*(1/365)*s_ED_out*(s_ET_ow_o+s_ET_ow_i)*(1/24)*up_RadSpec!V23*up_RadSpec!Q23*1</f>
        <v>3174.2155960239638</v>
      </c>
      <c r="T23" s="69">
        <f>s_C*s_EF_ow*(1/365)*s_ED_out*(s_ET_ow_o+s_ET_ow_i)*(1/24)*up_RadSpec!W23*up_RadSpec!R23*1</f>
        <v>1783.2483414525807</v>
      </c>
      <c r="U23" s="69">
        <f>s_C*s_EF_ow*(1/365)*s_ED_out*(s_ET_ow_o+s_ET_ow_i)*(1/24)*up_RadSpec!X23*up_RadSpec!S23*1</f>
        <v>2521.8277751988235</v>
      </c>
      <c r="V23" s="69">
        <f>s_C*s_EF_ow*(1/365)*s_ED_out*(s_ET_ow_o+s_ET_ow_i)*(1/24)*up_RadSpec!Y23*up_RadSpec!T23*1</f>
        <v>3081.6683845369503</v>
      </c>
      <c r="W23" s="69">
        <f>s_C*s_EF_ow*(1/365)*s_ED_out*(s_ET_ow_o+s_ET_ow_i)*(1/24)*up_RadSpec!U23*up_RadSpec!P23*1</f>
        <v>1132.8281320704266</v>
      </c>
      <c r="X23" s="11"/>
      <c r="Y23" s="11"/>
      <c r="Z23" s="11"/>
      <c r="AA23" s="11"/>
      <c r="AB23" s="11"/>
      <c r="AC23" s="48">
        <f>IFERROR(s_TR/(up_RadSpec!G23*s_EF_ow*s_ED_out*(s_ET_ow_o+s_ET_ow_i)*(1/24)*s_IRA_ow),".")</f>
        <v>2.9090909090909089E-11</v>
      </c>
      <c r="AD23" s="48">
        <f>IFERROR(s_TR/(up_RadSpec!J23*s_EF_ow*(1/365)*s_ED_out*(s_ET_ow_o+s_ET_ow_i)*(1/24)*s_GSF_a),".")</f>
        <v>1.5927272727272726E-7</v>
      </c>
      <c r="AE23" s="48">
        <f t="shared" si="6"/>
        <v>2.9085596653164224E-11</v>
      </c>
      <c r="AF23" s="69">
        <f t="shared" si="4"/>
        <v>381940625</v>
      </c>
      <c r="AG23" s="69">
        <f t="shared" si="5"/>
        <v>69760.844748858435</v>
      </c>
      <c r="AH23" s="10"/>
      <c r="AI23" s="10"/>
      <c r="AJ23" s="10"/>
    </row>
    <row r="24" spans="1:36" x14ac:dyDescent="0.25">
      <c r="A24" s="49" t="s">
        <v>34</v>
      </c>
      <c r="B24" s="50" t="s">
        <v>289</v>
      </c>
      <c r="C24" s="48">
        <f>IFERROR((s_TR/(up_RadSpec!I24*s_EF_ow*s_ED_out*s_IRS_ow*(1/1000)))*1,".")</f>
        <v>3.6363636363636364E-9</v>
      </c>
      <c r="D24" s="48">
        <f>IFERROR(IF(A24="H-3",(s_TR/(up_RadSpec!G24*s_EF_ow*s_ED_out*(s_ET_ow_o+s_ET_ow_i)*(1/24)*s_IRA_ow*(1/17)*1000))*1,(s_TR/(up_RadSpec!G24*s_EF_ow*s_ED_out*(s_ET_ow_o+s_ET_ow_i)*(1/24)*s_IRA_ow*(1/s_PEF_wind)*1000))*1),".")</f>
        <v>9.0250320889537196E-6</v>
      </c>
      <c r="E24" s="48">
        <f>IFERROR((s_TR/(up_RadSpec!F24*s_EF_ow*(1/365)*s_ED_out*up_RadSpec!Q24*(s_ET_ow_o+s_ET_ow_i)*(1/24)*up_RadSpec!V24))*1,".")</f>
        <v>4.5887362275580541E-6</v>
      </c>
      <c r="F24" s="48">
        <f t="shared" si="0"/>
        <v>3.6320220116106576E-9</v>
      </c>
      <c r="G24" s="69">
        <f t="shared" si="1"/>
        <v>3055525</v>
      </c>
      <c r="H24" s="69">
        <f t="shared" si="2"/>
        <v>1231.1313567072434</v>
      </c>
      <c r="I24" s="69">
        <f>s_C*s_EF_ow*(1/365)*s_ED_out*(s_ET_ow_o+s_ET_ow_i)*(1/24)*up_RadSpec!V24*up_RadSpec!Q24*1</f>
        <v>2421.3638459478061</v>
      </c>
      <c r="J24" s="4"/>
      <c r="K24" s="4"/>
      <c r="L24" s="4"/>
      <c r="M24" s="4"/>
      <c r="N24" s="48">
        <f>IFERROR((s_TR/(up_RadSpec!F24*s_EF_ow*(1/365)*s_ED_out*up_RadSpec!Q24*(s_ET_ow_o+s_ET_ow_i)*(1/24)*up_RadSpec!V24))*1,".")</f>
        <v>4.5887362275580541E-6</v>
      </c>
      <c r="O24" s="48">
        <f>IFERROR((s_TR/(up_RadSpec!M24*s_EF_ow*(1/365)*s_ED_out*up_RadSpec!R24*(s_ET_ow_o+s_ET_ow_i)*(1/24)*up_RadSpec!W24))*1,".")</f>
        <v>8.319447442262035E-6</v>
      </c>
      <c r="P24" s="48">
        <f>IFERROR((s_TR/(up_RadSpec!N24*s_EF_ow*(1/365)*s_ED_out*up_RadSpec!S24*(s_ET_ow_o+s_ET_ow_i)*(1/24)*up_RadSpec!X24))*1,".")</f>
        <v>5.8740674803103334E-6</v>
      </c>
      <c r="Q24" s="48">
        <f>IFERROR((s_TR/(up_RadSpec!O24*s_EF_ow*(1/365)*s_ED_out*up_RadSpec!T24*(s_ET_ow_o+s_ET_ow_i)*(1/24)*up_RadSpec!Y24))*1,".")</f>
        <v>4.9052272027325923E-6</v>
      </c>
      <c r="R24" s="48">
        <f>IFERROR((s_TR/(up_RadSpec!K24*s_EF_ow*(1/365)*s_ED_out*up_RadSpec!P24*(s_ET_ow_o+s_ET_ow_i)*(1/24)*up_RadSpec!U24))*1,".")</f>
        <v>1.382697302697302E-5</v>
      </c>
      <c r="S24" s="69">
        <f>s_C*s_EF_ow*(1/365)*s_ED_out*(s_ET_ow_o+s_ET_ow_i)*(1/24)*up_RadSpec!V24*up_RadSpec!Q24*1</f>
        <v>2421.3638459478061</v>
      </c>
      <c r="T24" s="69">
        <f>s_C*s_EF_ow*(1/365)*s_ED_out*(s_ET_ow_o+s_ET_ow_i)*(1/24)*up_RadSpec!W24*up_RadSpec!R24*1</f>
        <v>1335.5454286010788</v>
      </c>
      <c r="U24" s="69">
        <f>s_C*s_EF_ow*(1/365)*s_ED_out*(s_ET_ow_o+s_ET_ow_i)*(1/24)*up_RadSpec!X24*up_RadSpec!S24*1</f>
        <v>1891.5342796526729</v>
      </c>
      <c r="V24" s="69">
        <f>s_C*s_EF_ow*(1/365)*s_ED_out*(s_ET_ow_o+s_ET_ow_i)*(1/24)*up_RadSpec!Y24*up_RadSpec!T24*1</f>
        <v>2265.1346289954336</v>
      </c>
      <c r="W24" s="69">
        <f>s_C*s_EF_ow*(1/365)*s_ED_out*(s_ET_ow_o+s_ET_ow_i)*(1/24)*up_RadSpec!U24*up_RadSpec!P24*1</f>
        <v>803.57428761343294</v>
      </c>
      <c r="X24" s="11"/>
      <c r="Y24" s="11"/>
      <c r="Z24" s="11"/>
      <c r="AA24" s="11"/>
      <c r="AB24" s="11"/>
      <c r="AC24" s="48">
        <f>IFERROR(s_TR/(up_RadSpec!G24*s_EF_ow*s_ED_out*(s_ET_ow_o+s_ET_ow_i)*(1/24)*s_IRA_ow),".")</f>
        <v>2.9090909090909089E-11</v>
      </c>
      <c r="AD24" s="48">
        <f>IFERROR(s_TR/(up_RadSpec!J24*s_EF_ow*(1/365)*s_ED_out*(s_ET_ow_o+s_ET_ow_i)*(1/24)*s_GSF_a),".")</f>
        <v>1.5927272727272726E-7</v>
      </c>
      <c r="AE24" s="48">
        <f t="shared" si="6"/>
        <v>2.9085596653164224E-11</v>
      </c>
      <c r="AF24" s="69">
        <f t="shared" si="4"/>
        <v>381940625</v>
      </c>
      <c r="AG24" s="69">
        <f t="shared" si="5"/>
        <v>69760.844748858435</v>
      </c>
      <c r="AH24" s="10"/>
      <c r="AI24" s="10"/>
      <c r="AJ24" s="10"/>
    </row>
    <row r="25" spans="1:36" x14ac:dyDescent="0.25">
      <c r="A25" s="51" t="s">
        <v>35</v>
      </c>
      <c r="B25" s="50" t="s">
        <v>275</v>
      </c>
      <c r="C25" s="48">
        <f>IFERROR((s_TR/(up_RadSpec!I25*s_EF_ow*s_ED_out*s_IRS_ow*(1/1000)))*1,".")</f>
        <v>3.6363636363636364E-9</v>
      </c>
      <c r="D25" s="48">
        <f>IFERROR(IF(A25="H-3",(s_TR/(up_RadSpec!G25*s_EF_ow*s_ED_out*(s_ET_ow_o+s_ET_ow_i)*(1/24)*s_IRA_ow*(1/17)*1000))*1,(s_TR/(up_RadSpec!G25*s_EF_ow*s_ED_out*(s_ET_ow_o+s_ET_ow_i)*(1/24)*s_IRA_ow*(1/s_PEF_wind)*1000))*1),".")</f>
        <v>9.0250320889537196E-6</v>
      </c>
      <c r="E25" s="48">
        <f>IFERROR((s_TR/(up_RadSpec!F25*s_EF_ow*(1/365)*s_ED_out*up_RadSpec!Q25*(s_ET_ow_o+s_ET_ow_i)*(1/24)*up_RadSpec!V25))*1,".")</f>
        <v>5.117196056955094E-6</v>
      </c>
      <c r="F25" s="48">
        <f t="shared" si="0"/>
        <v>3.6323189178157529E-9</v>
      </c>
      <c r="G25" s="69">
        <f t="shared" si="1"/>
        <v>3055525</v>
      </c>
      <c r="H25" s="69">
        <f t="shared" si="2"/>
        <v>1231.1313567072434</v>
      </c>
      <c r="I25" s="69">
        <f>s_C*s_EF_ow*(1/365)*s_ED_out*(s_ET_ow_o+s_ET_ow_i)*(1/24)*up_RadSpec!V25*up_RadSpec!Q25*1</f>
        <v>2171.3062928082186</v>
      </c>
      <c r="J25" s="4"/>
      <c r="K25" s="4"/>
      <c r="L25" s="4"/>
      <c r="M25" s="4"/>
      <c r="N25" s="48">
        <f>IFERROR((s_TR/(up_RadSpec!F25*s_EF_ow*(1/365)*s_ED_out*up_RadSpec!Q25*(s_ET_ow_o+s_ET_ow_i)*(1/24)*up_RadSpec!V25))*1,".")</f>
        <v>5.117196056955094E-6</v>
      </c>
      <c r="O25" s="48">
        <f>IFERROR((s_TR/(up_RadSpec!M25*s_EF_ow*(1/365)*s_ED_out*up_RadSpec!R25*(s_ET_ow_o+s_ET_ow_i)*(1/24)*up_RadSpec!W25))*1,".")</f>
        <v>9.1638362553616773E-6</v>
      </c>
      <c r="P25" s="48">
        <f>IFERROR((s_TR/(up_RadSpec!N25*s_EF_ow*(1/365)*s_ED_out*up_RadSpec!S25*(s_ET_ow_o+s_ET_ow_i)*(1/24)*up_RadSpec!X25))*1,".")</f>
        <v>6.5732694272020127E-6</v>
      </c>
      <c r="Q25" s="48">
        <f>IFERROR((s_TR/(up_RadSpec!O25*s_EF_ow*(1/365)*s_ED_out*up_RadSpec!T25*(s_ET_ow_o+s_ET_ow_i)*(1/24)*up_RadSpec!Y25))*1,".")</f>
        <v>5.8697641341709141E-6</v>
      </c>
      <c r="R25" s="48">
        <f>IFERROR((s_TR/(up_RadSpec!K25*s_EF_ow*(1/365)*s_ED_out*up_RadSpec!P25*(s_ET_ow_o+s_ET_ow_i)*(1/24)*up_RadSpec!U25))*1,".")</f>
        <v>1.6429752066115701E-5</v>
      </c>
      <c r="S25" s="69">
        <f>s_C*s_EF_ow*(1/365)*s_ED_out*(s_ET_ow_o+s_ET_ow_i)*(1/24)*up_RadSpec!V25*up_RadSpec!Q25*1</f>
        <v>2171.3062928082186</v>
      </c>
      <c r="T25" s="69">
        <f>s_C*s_EF_ow*(1/365)*s_ED_out*(s_ET_ow_o+s_ET_ow_i)*(1/24)*up_RadSpec!W25*up_RadSpec!R25*1</f>
        <v>1212.4834720283282</v>
      </c>
      <c r="U25" s="69">
        <f>s_C*s_EF_ow*(1/365)*s_ED_out*(s_ET_ow_o+s_ET_ow_i)*(1/24)*up_RadSpec!X25*up_RadSpec!S25*1</f>
        <v>1690.33083506658</v>
      </c>
      <c r="V25" s="69">
        <f>s_C*s_EF_ow*(1/365)*s_ED_out*(s_ET_ow_o+s_ET_ow_i)*(1/24)*up_RadSpec!Y25*up_RadSpec!T25*1</f>
        <v>1892.9210349896609</v>
      </c>
      <c r="W25" s="69">
        <f>s_C*s_EF_ow*(1/365)*s_ED_out*(s_ET_ow_o+s_ET_ow_i)*(1/24)*up_RadSpec!U25*up_RadSpec!P25*1</f>
        <v>676.27313883299792</v>
      </c>
      <c r="X25" s="11"/>
      <c r="Y25" s="11"/>
      <c r="Z25" s="11"/>
      <c r="AA25" s="11"/>
      <c r="AB25" s="11"/>
      <c r="AC25" s="48">
        <f>IFERROR(s_TR/(up_RadSpec!G25*s_EF_ow*s_ED_out*(s_ET_ow_o+s_ET_ow_i)*(1/24)*s_IRA_ow),".")</f>
        <v>2.9090909090909089E-11</v>
      </c>
      <c r="AD25" s="48">
        <f>IFERROR(s_TR/(up_RadSpec!J25*s_EF_ow*(1/365)*s_ED_out*(s_ET_ow_o+s_ET_ow_i)*(1/24)*s_GSF_a),".")</f>
        <v>1.5927272727272726E-7</v>
      </c>
      <c r="AE25" s="48">
        <f t="shared" si="6"/>
        <v>2.9085596653164224E-11</v>
      </c>
      <c r="AF25" s="69">
        <f t="shared" si="4"/>
        <v>381940625</v>
      </c>
      <c r="AG25" s="69">
        <f t="shared" si="5"/>
        <v>69760.844748858435</v>
      </c>
      <c r="AH25" s="10"/>
      <c r="AI25" s="10"/>
      <c r="AJ25" s="10"/>
    </row>
    <row r="26" spans="1:36" x14ac:dyDescent="0.25">
      <c r="A26" s="49" t="s">
        <v>36</v>
      </c>
      <c r="B26" s="50" t="s">
        <v>289</v>
      </c>
      <c r="C26" s="48">
        <f>IFERROR((s_TR/(up_RadSpec!I26*s_EF_ow*s_ED_out*s_IRS_ow*(1/1000)))*1,".")</f>
        <v>3.6363636363636364E-9</v>
      </c>
      <c r="D26" s="48">
        <f>IFERROR(IF(A26="H-3",(s_TR/(up_RadSpec!G26*s_EF_ow*s_ED_out*(s_ET_ow_o+s_ET_ow_i)*(1/24)*s_IRA_ow*(1/17)*1000))*1,(s_TR/(up_RadSpec!G26*s_EF_ow*s_ED_out*(s_ET_ow_o+s_ET_ow_i)*(1/24)*s_IRA_ow*(1/s_PEF_wind)*1000))*1),".")</f>
        <v>9.0250320889537196E-6</v>
      </c>
      <c r="E26" s="48">
        <f>IFERROR((s_TR/(up_RadSpec!F26*s_EF_ow*(1/365)*s_ED_out*up_RadSpec!Q26*(s_ET_ow_o+s_ET_ow_i)*(1/24)*up_RadSpec!V26))*1,".")</f>
        <v>2.7899814471243031E-5</v>
      </c>
      <c r="F26" s="48">
        <f t="shared" si="0"/>
        <v>3.6344255563047033E-9</v>
      </c>
      <c r="G26" s="69">
        <f t="shared" si="1"/>
        <v>3055525</v>
      </c>
      <c r="H26" s="69">
        <f t="shared" si="2"/>
        <v>1231.1313567072434</v>
      </c>
      <c r="I26" s="69">
        <f>s_C*s_EF_ow*(1/365)*s_ED_out*(s_ET_ow_o+s_ET_ow_i)*(1/24)*up_RadSpec!V26*up_RadSpec!Q26*1</f>
        <v>398.24637584785222</v>
      </c>
      <c r="J26" s="4"/>
      <c r="K26" s="4"/>
      <c r="L26" s="4"/>
      <c r="M26" s="4"/>
      <c r="N26" s="48">
        <f>IFERROR((s_TR/(up_RadSpec!F26*s_EF_ow*(1/365)*s_ED_out*up_RadSpec!Q26*(s_ET_ow_o+s_ET_ow_i)*(1/24)*up_RadSpec!V26))*1,".")</f>
        <v>2.7899814471243031E-5</v>
      </c>
      <c r="O26" s="48">
        <f>IFERROR((s_TR/(up_RadSpec!M26*s_EF_ow*(1/365)*s_ED_out*up_RadSpec!R26*(s_ET_ow_o+s_ET_ow_i)*(1/24)*up_RadSpec!W26))*1,".")</f>
        <v>5.0938165204298848E-5</v>
      </c>
      <c r="P26" s="48">
        <f>IFERROR((s_TR/(up_RadSpec!N26*s_EF_ow*(1/365)*s_ED_out*up_RadSpec!S26*(s_ET_ow_o+s_ET_ow_i)*(1/24)*up_RadSpec!X26))*1,".")</f>
        <v>3.6817148325358841E-5</v>
      </c>
      <c r="Q26" s="48">
        <f>IFERROR((s_TR/(up_RadSpec!O26*s_EF_ow*(1/365)*s_ED_out*up_RadSpec!T26*(s_ET_ow_o+s_ET_ow_i)*(1/24)*up_RadSpec!Y26))*1,".")</f>
        <v>3.149256198347106E-5</v>
      </c>
      <c r="R26" s="48">
        <f>IFERROR((s_TR/(up_RadSpec!K26*s_EF_ow*(1/365)*s_ED_out*up_RadSpec!P26*(s_ET_ow_o+s_ET_ow_i)*(1/24)*up_RadSpec!U26))*1,".")</f>
        <v>2.968949605026463E-4</v>
      </c>
      <c r="S26" s="69">
        <f>s_C*s_EF_ow*(1/365)*s_ED_out*(s_ET_ow_o+s_ET_ow_i)*(1/24)*up_RadSpec!V26*up_RadSpec!Q26*1</f>
        <v>398.24637584785222</v>
      </c>
      <c r="T26" s="69">
        <f>s_C*s_EF_ow*(1/365)*s_ED_out*(s_ET_ow_o+s_ET_ow_i)*(1/24)*up_RadSpec!W26*up_RadSpec!R26*1</f>
        <v>218.12721277723409</v>
      </c>
      <c r="U26" s="69">
        <f>s_C*s_EF_ow*(1/365)*s_ED_out*(s_ET_ow_o+s_ET_ow_i)*(1/24)*up_RadSpec!X26*up_RadSpec!S26*1</f>
        <v>301.78871817584485</v>
      </c>
      <c r="V26" s="69">
        <f>s_C*s_EF_ow*(1/365)*s_ED_out*(s_ET_ow_o+s_ET_ow_i)*(1/24)*up_RadSpec!Y26*up_RadSpec!T26*1</f>
        <v>352.81346769537618</v>
      </c>
      <c r="W26" s="69">
        <f>s_C*s_EF_ow*(1/365)*s_ED_out*(s_ET_ow_o+s_ET_ow_i)*(1/24)*up_RadSpec!U26*up_RadSpec!P26*1</f>
        <v>37.424010098349122</v>
      </c>
      <c r="X26" s="11"/>
      <c r="Y26" s="11"/>
      <c r="Z26" s="11"/>
      <c r="AA26" s="11"/>
      <c r="AB26" s="11"/>
      <c r="AC26" s="48">
        <f>IFERROR(s_TR/(up_RadSpec!G26*s_EF_ow*s_ED_out*(s_ET_ow_o+s_ET_ow_i)*(1/24)*s_IRA_ow),".")</f>
        <v>2.9090909090909089E-11</v>
      </c>
      <c r="AD26" s="48">
        <f>IFERROR(s_TR/(up_RadSpec!J26*s_EF_ow*(1/365)*s_ED_out*(s_ET_ow_o+s_ET_ow_i)*(1/24)*s_GSF_a),".")</f>
        <v>1.5927272727272726E-7</v>
      </c>
      <c r="AE26" s="48">
        <f t="shared" si="6"/>
        <v>2.9085596653164224E-11</v>
      </c>
      <c r="AF26" s="69">
        <f t="shared" si="4"/>
        <v>381940625</v>
      </c>
      <c r="AG26" s="69">
        <f t="shared" si="5"/>
        <v>69760.844748858435</v>
      </c>
      <c r="AH26" s="10"/>
      <c r="AI26" s="10"/>
      <c r="AJ26" s="10"/>
    </row>
    <row r="27" spans="1:36" x14ac:dyDescent="0.25">
      <c r="A27" s="49" t="s">
        <v>37</v>
      </c>
      <c r="B27" s="50" t="s">
        <v>289</v>
      </c>
      <c r="C27" s="48">
        <f>IFERROR((s_TR/(up_RadSpec!I27*s_EF_ow*s_ED_out*s_IRS_ow*(1/1000)))*1,".")</f>
        <v>3.6363636363636364E-9</v>
      </c>
      <c r="D27" s="48">
        <f>IFERROR(IF(A27="H-3",(s_TR/(up_RadSpec!G27*s_EF_ow*s_ED_out*(s_ET_ow_o+s_ET_ow_i)*(1/24)*s_IRA_ow*(1/17)*1000))*1,(s_TR/(up_RadSpec!G27*s_EF_ow*s_ED_out*(s_ET_ow_o+s_ET_ow_i)*(1/24)*s_IRA_ow*(1/s_PEF_wind)*1000))*1),".")</f>
        <v>9.0250320889537196E-6</v>
      </c>
      <c r="E27" s="48">
        <f>IFERROR((s_TR/(up_RadSpec!F27*s_EF_ow*(1/365)*s_ED_out*up_RadSpec!Q27*(s_ET_ow_o+s_ET_ow_i)*(1/24)*up_RadSpec!V27))*1,".")</f>
        <v>5.8783443727764469E-6</v>
      </c>
      <c r="F27" s="48">
        <f t="shared" si="0"/>
        <v>3.6326527975603937E-9</v>
      </c>
      <c r="G27" s="69">
        <f t="shared" si="1"/>
        <v>3055525</v>
      </c>
      <c r="H27" s="69">
        <f t="shared" si="2"/>
        <v>1231.1313567072434</v>
      </c>
      <c r="I27" s="69">
        <f>s_C*s_EF_ow*(1/365)*s_ED_out*(s_ET_ow_o+s_ET_ow_i)*(1/24)*up_RadSpec!V27*up_RadSpec!Q27*1</f>
        <v>1890.1580607384651</v>
      </c>
      <c r="J27" s="4"/>
      <c r="K27" s="4"/>
      <c r="L27" s="4"/>
      <c r="M27" s="4"/>
      <c r="N27" s="48">
        <f>IFERROR((s_TR/(up_RadSpec!F27*s_EF_ow*(1/365)*s_ED_out*up_RadSpec!Q27*(s_ET_ow_o+s_ET_ow_i)*(1/24)*up_RadSpec!V27))*1,".")</f>
        <v>5.8783443727764469E-6</v>
      </c>
      <c r="O27" s="48">
        <f>IFERROR((s_TR/(up_RadSpec!M27*s_EF_ow*(1/365)*s_ED_out*up_RadSpec!R27*(s_ET_ow_o+s_ET_ow_i)*(1/24)*up_RadSpec!W27))*1,".")</f>
        <v>1.7436172248803837E-5</v>
      </c>
      <c r="P27" s="48">
        <f>IFERROR((s_TR/(up_RadSpec!N27*s_EF_ow*(1/365)*s_ED_out*up_RadSpec!S27*(s_ET_ow_o+s_ET_ow_i)*(1/24)*up_RadSpec!X27))*1,".")</f>
        <v>1.0689684726048362E-5</v>
      </c>
      <c r="Q27" s="48">
        <f>IFERROR((s_TR/(up_RadSpec!O27*s_EF_ow*(1/365)*s_ED_out*up_RadSpec!T27*(s_ET_ow_o+s_ET_ow_i)*(1/24)*up_RadSpec!Y27))*1,".")</f>
        <v>7.7763326697633285E-6</v>
      </c>
      <c r="R27" s="48">
        <f>IFERROR((s_TR/(up_RadSpec!K27*s_EF_ow*(1/365)*s_ED_out*up_RadSpec!P27*(s_ET_ow_o+s_ET_ow_i)*(1/24)*up_RadSpec!U27))*1,".")</f>
        <v>5.4540040604556755E-5</v>
      </c>
      <c r="S27" s="69">
        <f>s_C*s_EF_ow*(1/365)*s_ED_out*(s_ET_ow_o+s_ET_ow_i)*(1/24)*up_RadSpec!V27*up_RadSpec!Q27*1</f>
        <v>1890.1580607384651</v>
      </c>
      <c r="T27" s="69">
        <f>s_C*s_EF_ow*(1/365)*s_ED_out*(s_ET_ow_o+s_ET_ow_i)*(1/24)*up_RadSpec!W27*up_RadSpec!R27*1</f>
        <v>637.23848568668734</v>
      </c>
      <c r="U27" s="69">
        <f>s_C*s_EF_ow*(1/365)*s_ED_out*(s_ET_ow_o+s_ET_ow_i)*(1/24)*up_RadSpec!X27*up_RadSpec!S27*1</f>
        <v>1039.413255371787</v>
      </c>
      <c r="V27" s="69">
        <f>s_C*s_EF_ow*(1/365)*s_ED_out*(s_ET_ow_o+s_ET_ow_i)*(1/24)*up_RadSpec!Y27*up_RadSpec!T27*1</f>
        <v>1428.8226175306052</v>
      </c>
      <c r="W27" s="69">
        <f>s_C*s_EF_ow*(1/365)*s_ED_out*(s_ET_ow_o+s_ET_ow_i)*(1/24)*up_RadSpec!U27*up_RadSpec!P27*1</f>
        <v>203.72188720137638</v>
      </c>
      <c r="X27" s="11"/>
      <c r="Y27" s="11"/>
      <c r="Z27" s="11"/>
      <c r="AA27" s="11"/>
      <c r="AB27" s="11"/>
      <c r="AC27" s="48">
        <f>IFERROR(s_TR/(up_RadSpec!G27*s_EF_ow*s_ED_out*(s_ET_ow_o+s_ET_ow_i)*(1/24)*s_IRA_ow),".")</f>
        <v>2.9090909090909089E-11</v>
      </c>
      <c r="AD27" s="48">
        <f>IFERROR(s_TR/(up_RadSpec!J27*s_EF_ow*(1/365)*s_ED_out*(s_ET_ow_o+s_ET_ow_i)*(1/24)*s_GSF_a),".")</f>
        <v>1.5927272727272726E-7</v>
      </c>
      <c r="AE27" s="48">
        <f t="shared" si="6"/>
        <v>2.9085596653164224E-11</v>
      </c>
      <c r="AF27" s="69">
        <f t="shared" si="4"/>
        <v>381940625</v>
      </c>
      <c r="AG27" s="69">
        <f t="shared" si="5"/>
        <v>69760.844748858435</v>
      </c>
      <c r="AH27" s="10"/>
      <c r="AI27" s="10"/>
      <c r="AJ27" s="10"/>
    </row>
    <row r="28" spans="1:36" x14ac:dyDescent="0.25">
      <c r="A28" s="49" t="s">
        <v>38</v>
      </c>
      <c r="B28" s="50" t="s">
        <v>289</v>
      </c>
      <c r="C28" s="48">
        <f>IFERROR((s_TR/(up_RadSpec!I28*s_EF_ow*s_ED_out*s_IRS_ow*(1/1000)))*1,".")</f>
        <v>3.6363636363636364E-9</v>
      </c>
      <c r="D28" s="48">
        <f>IFERROR(IF(A28="H-3",(s_TR/(up_RadSpec!G28*s_EF_ow*s_ED_out*(s_ET_ow_o+s_ET_ow_i)*(1/24)*s_IRA_ow*(1/17)*1000))*1,(s_TR/(up_RadSpec!G28*s_EF_ow*s_ED_out*(s_ET_ow_o+s_ET_ow_i)*(1/24)*s_IRA_ow*(1/s_PEF_wind)*1000))*1),".")</f>
        <v>9.0250320889537196E-6</v>
      </c>
      <c r="E28" s="48">
        <f>IFERROR((s_TR/(up_RadSpec!F28*s_EF_ow*(1/365)*s_ED_out*up_RadSpec!Q28*(s_ET_ow_o+s_ET_ow_i)*(1/24)*up_RadSpec!V28))*1,".")</f>
        <v>2.6012204356153401E-6</v>
      </c>
      <c r="F28" s="48">
        <f t="shared" si="0"/>
        <v>3.6298268084845213E-9</v>
      </c>
      <c r="G28" s="69">
        <f t="shared" si="1"/>
        <v>3055525</v>
      </c>
      <c r="H28" s="69">
        <f t="shared" si="2"/>
        <v>1231.1313567072434</v>
      </c>
      <c r="I28" s="69">
        <f>s_C*s_EF_ow*(1/365)*s_ED_out*(s_ET_ow_o+s_ET_ow_i)*(1/24)*up_RadSpec!V28*up_RadSpec!Q28*1</f>
        <v>4271.4565239726026</v>
      </c>
      <c r="J28" s="4"/>
      <c r="K28" s="4"/>
      <c r="L28" s="4"/>
      <c r="M28" s="4"/>
      <c r="N28" s="48">
        <f>IFERROR((s_TR/(up_RadSpec!F28*s_EF_ow*(1/365)*s_ED_out*up_RadSpec!Q28*(s_ET_ow_o+s_ET_ow_i)*(1/24)*up_RadSpec!V28))*1,".")</f>
        <v>2.6012204356153401E-6</v>
      </c>
      <c r="O28" s="48">
        <f>IFERROR((s_TR/(up_RadSpec!M28*s_EF_ow*(1/365)*s_ED_out*up_RadSpec!R28*(s_ET_ow_o+s_ET_ow_i)*(1/24)*up_RadSpec!W28))*1,".")</f>
        <v>5.8003581393411911E-6</v>
      </c>
      <c r="P28" s="48">
        <f>IFERROR((s_TR/(up_RadSpec!N28*s_EF_ow*(1/365)*s_ED_out*up_RadSpec!S28*(s_ET_ow_o+s_ET_ow_i)*(1/24)*up_RadSpec!X28))*1,".")</f>
        <v>4.0271233191587157E-6</v>
      </c>
      <c r="Q28" s="48">
        <f>IFERROR((s_TR/(up_RadSpec!O28*s_EF_ow*(1/365)*s_ED_out*up_RadSpec!T28*(s_ET_ow_o+s_ET_ow_i)*(1/24)*up_RadSpec!Y28))*1,".")</f>
        <v>3.4866947137369663E-6</v>
      </c>
      <c r="R28" s="48">
        <f>IFERROR((s_TR/(up_RadSpec!K28*s_EF_ow*(1/365)*s_ED_out*up_RadSpec!P28*(s_ET_ow_o+s_ET_ow_i)*(1/24)*up_RadSpec!U28))*1,".")</f>
        <v>1.01968253968254E-5</v>
      </c>
      <c r="S28" s="69">
        <f>s_C*s_EF_ow*(1/365)*s_ED_out*(s_ET_ow_o+s_ET_ow_i)*(1/24)*up_RadSpec!V28*up_RadSpec!Q28*1</f>
        <v>4271.4565239726026</v>
      </c>
      <c r="T28" s="69">
        <f>s_C*s_EF_ow*(1/365)*s_ED_out*(s_ET_ow_o+s_ET_ow_i)*(1/24)*up_RadSpec!W28*up_RadSpec!R28*1</f>
        <v>1915.571372160477</v>
      </c>
      <c r="U28" s="69">
        <f>s_C*s_EF_ow*(1/365)*s_ED_out*(s_ET_ow_o+s_ET_ow_i)*(1/24)*up_RadSpec!X28*up_RadSpec!S28*1</f>
        <v>2759.0414098173524</v>
      </c>
      <c r="V28" s="69">
        <f>s_C*s_EF_ow*(1/365)*s_ED_out*(s_ET_ow_o+s_ET_ow_i)*(1/24)*up_RadSpec!Y28*up_RadSpec!T28*1</f>
        <v>3186.685647075612</v>
      </c>
      <c r="W28" s="69">
        <f>s_C*s_EF_ow*(1/365)*s_ED_out*(s_ET_ow_o+s_ET_ow_i)*(1/24)*up_RadSpec!U28*up_RadSpec!P28*1</f>
        <v>1089.6528642590279</v>
      </c>
      <c r="X28" s="11"/>
      <c r="Y28" s="11"/>
      <c r="Z28" s="11"/>
      <c r="AA28" s="11"/>
      <c r="AB28" s="11"/>
      <c r="AC28" s="48">
        <f>IFERROR(s_TR/(up_RadSpec!G28*s_EF_ow*s_ED_out*(s_ET_ow_o+s_ET_ow_i)*(1/24)*s_IRA_ow),".")</f>
        <v>2.9090909090909089E-11</v>
      </c>
      <c r="AD28" s="48">
        <f>IFERROR(s_TR/(up_RadSpec!J28*s_EF_ow*(1/365)*s_ED_out*(s_ET_ow_o+s_ET_ow_i)*(1/24)*s_GSF_a),".")</f>
        <v>1.5927272727272726E-7</v>
      </c>
      <c r="AE28" s="48">
        <f t="shared" si="6"/>
        <v>2.9085596653164224E-11</v>
      </c>
      <c r="AF28" s="69">
        <f t="shared" si="4"/>
        <v>381940625</v>
      </c>
      <c r="AG28" s="69">
        <f t="shared" si="5"/>
        <v>69760.844748858435</v>
      </c>
      <c r="AH28" s="10"/>
      <c r="AI28" s="10"/>
      <c r="AJ28" s="10"/>
    </row>
    <row r="29" spans="1:36" x14ac:dyDescent="0.25">
      <c r="A29" s="49" t="s">
        <v>39</v>
      </c>
      <c r="B29" s="50" t="s">
        <v>289</v>
      </c>
      <c r="C29" s="48">
        <f>IFERROR((s_TR/(up_RadSpec!I29*s_EF_ow*s_ED_out*s_IRS_ow*(1/1000)))*1,".")</f>
        <v>3.6363636363636364E-9</v>
      </c>
      <c r="D29" s="48">
        <f>IFERROR(IF(A29="H-3",(s_TR/(up_RadSpec!G29*s_EF_ow*s_ED_out*(s_ET_ow_o+s_ET_ow_i)*(1/24)*s_IRA_ow*(1/17)*1000))*1,(s_TR/(up_RadSpec!G29*s_EF_ow*s_ED_out*(s_ET_ow_o+s_ET_ow_i)*(1/24)*s_IRA_ow*(1/s_PEF_wind)*1000))*1),".")</f>
        <v>9.0250320889537196E-6</v>
      </c>
      <c r="E29" s="48">
        <f>IFERROR((s_TR/(up_RadSpec!F29*s_EF_ow*(1/365)*s_ED_out*up_RadSpec!Q29*(s_ET_ow_o+s_ET_ow_i)*(1/24)*up_RadSpec!V29))*1,".")</f>
        <v>2.8286140089418794E-6</v>
      </c>
      <c r="F29" s="48">
        <f t="shared" si="0"/>
        <v>3.6302340460856472E-9</v>
      </c>
      <c r="G29" s="69">
        <f t="shared" si="1"/>
        <v>3055525</v>
      </c>
      <c r="H29" s="69">
        <f t="shared" si="2"/>
        <v>1231.1313567072434</v>
      </c>
      <c r="I29" s="69">
        <f>s_C*s_EF_ow*(1/365)*s_ED_out*(s_ET_ow_o+s_ET_ow_i)*(1/24)*up_RadSpec!V29*up_RadSpec!Q29*1</f>
        <v>3928.0721812434113</v>
      </c>
      <c r="J29" s="4"/>
      <c r="K29" s="4"/>
      <c r="L29" s="4"/>
      <c r="M29" s="4"/>
      <c r="N29" s="48">
        <f>IFERROR((s_TR/(up_RadSpec!F29*s_EF_ow*(1/365)*s_ED_out*up_RadSpec!Q29*(s_ET_ow_o+s_ET_ow_i)*(1/24)*up_RadSpec!V29))*1,".")</f>
        <v>2.8286140089418794E-6</v>
      </c>
      <c r="O29" s="48">
        <f>IFERROR((s_TR/(up_RadSpec!M29*s_EF_ow*(1/365)*s_ED_out*up_RadSpec!R29*(s_ET_ow_o+s_ET_ow_i)*(1/24)*up_RadSpec!W29))*1,".")</f>
        <v>5.6444019138755959E-6</v>
      </c>
      <c r="P29" s="48">
        <f>IFERROR((s_TR/(up_RadSpec!N29*s_EF_ow*(1/365)*s_ED_out*up_RadSpec!S29*(s_ET_ow_o+s_ET_ow_i)*(1/24)*up_RadSpec!X29))*1,".")</f>
        <v>4.0210479175996419E-6</v>
      </c>
      <c r="Q29" s="48">
        <f>IFERROR((s_TR/(up_RadSpec!O29*s_EF_ow*(1/365)*s_ED_out*up_RadSpec!T29*(s_ET_ow_o+s_ET_ow_i)*(1/24)*up_RadSpec!Y29))*1,".")</f>
        <v>3.4108867132867111E-6</v>
      </c>
      <c r="R29" s="48">
        <f>IFERROR((s_TR/(up_RadSpec!K29*s_EF_ow*(1/365)*s_ED_out*up_RadSpec!P29*(s_ET_ow_o+s_ET_ow_i)*(1/24)*up_RadSpec!U29))*1,".")</f>
        <v>1.0135537190082644E-5</v>
      </c>
      <c r="S29" s="69">
        <f>s_C*s_EF_ow*(1/365)*s_ED_out*(s_ET_ow_o+s_ET_ow_i)*(1/24)*up_RadSpec!V29*up_RadSpec!Q29*1</f>
        <v>3928.0721812434113</v>
      </c>
      <c r="T29" s="69">
        <f>s_C*s_EF_ow*(1/365)*s_ED_out*(s_ET_ow_o+s_ET_ow_i)*(1/24)*up_RadSpec!W29*up_RadSpec!R29*1</f>
        <v>1968.4990844974911</v>
      </c>
      <c r="U29" s="69">
        <f>s_C*s_EF_ow*(1/365)*s_ED_out*(s_ET_ow_o+s_ET_ow_i)*(1/24)*up_RadSpec!X29*up_RadSpec!S29*1</f>
        <v>2763.2100456621001</v>
      </c>
      <c r="V29" s="69">
        <f>s_C*s_EF_ow*(1/365)*s_ED_out*(s_ET_ow_o+s_ET_ow_i)*(1/24)*up_RadSpec!Y29*up_RadSpec!T29*1</f>
        <v>3257.510710255604</v>
      </c>
      <c r="W29" s="69">
        <f>s_C*s_EF_ow*(1/365)*s_ED_out*(s_ET_ow_o+s_ET_ow_i)*(1/24)*up_RadSpec!U29*up_RadSpec!P29*1</f>
        <v>1096.2418460534896</v>
      </c>
      <c r="X29" s="11"/>
      <c r="Y29" s="11"/>
      <c r="Z29" s="11"/>
      <c r="AA29" s="11"/>
      <c r="AB29" s="11"/>
      <c r="AC29" s="48">
        <f>IFERROR(s_TR/(up_RadSpec!G29*s_EF_ow*s_ED_out*(s_ET_ow_o+s_ET_ow_i)*(1/24)*s_IRA_ow),".")</f>
        <v>2.9090909090909089E-11</v>
      </c>
      <c r="AD29" s="48">
        <f>IFERROR(s_TR/(up_RadSpec!J29*s_EF_ow*(1/365)*s_ED_out*(s_ET_ow_o+s_ET_ow_i)*(1/24)*s_GSF_a),".")</f>
        <v>1.5927272727272726E-7</v>
      </c>
      <c r="AE29" s="48">
        <f t="shared" si="6"/>
        <v>2.9085596653164224E-11</v>
      </c>
      <c r="AF29" s="69">
        <f t="shared" si="4"/>
        <v>381940625</v>
      </c>
      <c r="AG29" s="69">
        <f t="shared" si="5"/>
        <v>69760.844748858435</v>
      </c>
      <c r="AH29" s="10"/>
      <c r="AI29" s="10"/>
      <c r="AJ29" s="10"/>
    </row>
    <row r="30" spans="1:36" x14ac:dyDescent="0.25">
      <c r="A30" s="49" t="s">
        <v>40</v>
      </c>
      <c r="B30" s="50" t="s">
        <v>289</v>
      </c>
      <c r="C30" s="48">
        <f>IFERROR((s_TR/(up_RadSpec!I30*s_EF_ow*s_ED_out*s_IRS_ow*(1/1000)))*1,".")</f>
        <v>3.6363636363636364E-9</v>
      </c>
      <c r="D30" s="48">
        <f>IFERROR(IF(A30="H-3",(s_TR/(up_RadSpec!G30*s_EF_ow*s_ED_out*(s_ET_ow_o+s_ET_ow_i)*(1/24)*s_IRA_ow*(1/17)*1000))*1,(s_TR/(up_RadSpec!G30*s_EF_ow*s_ED_out*(s_ET_ow_o+s_ET_ow_i)*(1/24)*s_IRA_ow*(1/s_PEF_wind)*1000))*1),".")</f>
        <v>9.0250320889537196E-6</v>
      </c>
      <c r="E30" s="48">
        <f>IFERROR((s_TR/(up_RadSpec!F30*s_EF_ow*(1/365)*s_ED_out*up_RadSpec!Q30*(s_ET_ow_o+s_ET_ow_i)*(1/24)*up_RadSpec!V30))*1,".")</f>
        <v>2.654545454545454E-5</v>
      </c>
      <c r="F30" s="48">
        <f t="shared" si="0"/>
        <v>3.6344014010688553E-9</v>
      </c>
      <c r="G30" s="69">
        <f t="shared" si="1"/>
        <v>3055525</v>
      </c>
      <c r="H30" s="69">
        <f t="shared" si="2"/>
        <v>1231.1313567072434</v>
      </c>
      <c r="I30" s="69">
        <f>s_C*s_EF_ow*(1/365)*s_ED_out*(s_ET_ow_o+s_ET_ow_i)*(1/24)*up_RadSpec!V30*up_RadSpec!Q30*1</f>
        <v>418.56506849315065</v>
      </c>
      <c r="J30" s="4"/>
      <c r="K30" s="4"/>
      <c r="L30" s="4"/>
      <c r="M30" s="4"/>
      <c r="N30" s="48">
        <f>IFERROR((s_TR/(up_RadSpec!F30*s_EF_ow*(1/365)*s_ED_out*up_RadSpec!Q30*(s_ET_ow_o+s_ET_ow_i)*(1/24)*up_RadSpec!V30))*1,".")</f>
        <v>2.654545454545454E-5</v>
      </c>
      <c r="O30" s="48">
        <f>IFERROR((s_TR/(up_RadSpec!M30*s_EF_ow*(1/365)*s_ED_out*up_RadSpec!R30*(s_ET_ow_o+s_ET_ow_i)*(1/24)*up_RadSpec!W30))*1,".")</f>
        <v>1.3004536082474226E-4</v>
      </c>
      <c r="P30" s="48">
        <f>IFERROR((s_TR/(up_RadSpec!N30*s_EF_ow*(1/365)*s_ED_out*up_RadSpec!S30*(s_ET_ow_o+s_ET_ow_i)*(1/24)*up_RadSpec!X30))*1,".")</f>
        <v>4.6863931523022416E-5</v>
      </c>
      <c r="Q30" s="48">
        <f>IFERROR((s_TR/(up_RadSpec!O30*s_EF_ow*(1/365)*s_ED_out*up_RadSpec!T30*(s_ET_ow_o+s_ET_ow_i)*(1/24)*up_RadSpec!Y30))*1,".")</f>
        <v>3.4883160981632983E-5</v>
      </c>
      <c r="R30" s="48">
        <f>IFERROR((s_TR/(up_RadSpec!K30*s_EF_ow*(1/365)*s_ED_out*up_RadSpec!P30*(s_ET_ow_o+s_ET_ow_i)*(1/24)*up_RadSpec!U30))*1,".")</f>
        <v>3.1854545454545447E-3</v>
      </c>
      <c r="S30" s="69">
        <f>s_C*s_EF_ow*(1/365)*s_ED_out*(s_ET_ow_o+s_ET_ow_i)*(1/24)*up_RadSpec!V30*up_RadSpec!Q30*1</f>
        <v>418.56506849315065</v>
      </c>
      <c r="T30" s="69">
        <f>s_C*s_EF_ow*(1/365)*s_ED_out*(s_ET_ow_o+s_ET_ow_i)*(1/24)*up_RadSpec!W30*up_RadSpec!R30*1</f>
        <v>85.439418442415018</v>
      </c>
      <c r="U30" s="69">
        <f>s_C*s_EF_ow*(1/365)*s_ED_out*(s_ET_ow_o+s_ET_ow_i)*(1/24)*up_RadSpec!X30*up_RadSpec!S30*1</f>
        <v>237.09065029129275</v>
      </c>
      <c r="V30" s="69">
        <f>s_C*s_EF_ow*(1/365)*s_ED_out*(s_ET_ow_o+s_ET_ow_i)*(1/24)*up_RadSpec!Y30*up_RadSpec!T30*1</f>
        <v>318.52044617889612</v>
      </c>
      <c r="W30" s="69">
        <f>s_C*s_EF_ow*(1/365)*s_ED_out*(s_ET_ow_o+s_ET_ow_i)*(1/24)*up_RadSpec!U30*up_RadSpec!P30*1</f>
        <v>3.4880422374429219</v>
      </c>
      <c r="X30" s="11"/>
      <c r="Y30" s="11"/>
      <c r="Z30" s="11"/>
      <c r="AA30" s="11"/>
      <c r="AB30" s="11"/>
      <c r="AC30" s="48">
        <f>IFERROR(s_TR/(up_RadSpec!G30*s_EF_ow*s_ED_out*(s_ET_ow_o+s_ET_ow_i)*(1/24)*s_IRA_ow),".")</f>
        <v>2.9090909090909089E-11</v>
      </c>
      <c r="AD30" s="48">
        <f>IFERROR(s_TR/(up_RadSpec!J30*s_EF_ow*(1/365)*s_ED_out*(s_ET_ow_o+s_ET_ow_i)*(1/24)*s_GSF_a),".")</f>
        <v>1.5927272727272726E-7</v>
      </c>
      <c r="AE30" s="48">
        <f t="shared" si="6"/>
        <v>2.9085596653164224E-11</v>
      </c>
      <c r="AF30" s="69">
        <f t="shared" si="4"/>
        <v>381940625</v>
      </c>
      <c r="AG30" s="69">
        <f t="shared" si="5"/>
        <v>69760.844748858435</v>
      </c>
      <c r="AH30" s="10"/>
      <c r="AI30" s="10"/>
      <c r="AJ30" s="10"/>
    </row>
    <row r="31" spans="1:36" x14ac:dyDescent="0.25">
      <c r="A31" s="52" t="s">
        <v>13</v>
      </c>
      <c r="B31" s="52" t="s">
        <v>289</v>
      </c>
      <c r="C31" s="53">
        <f>1/SUM(1/C32,1/C33,1/C34,1/C35,1/C36,1/C37,1/C38,1/C41,1/C44)</f>
        <v>4.0405117873850371E-10</v>
      </c>
      <c r="D31" s="53">
        <f>1/SUM(1/D32,1/D33,1/D34,1/D35,1/D36,1/D37,1/D38,1/D41,1/D44)</f>
        <v>1.0028080847660071E-6</v>
      </c>
      <c r="E31" s="53">
        <f>1/SUM(1/E32,1/E33,1/E34,1/E35,1/E36,1/E37,1/E38,1/E39,1/E40,1/E41,1/E42,1/E43)</f>
        <v>1.0793276001335156E-6</v>
      </c>
      <c r="F31" s="54">
        <f>1/SUM(1/F32,1/F33,1/F34,1/F35,1/F36,1/F37,1/F38,1/F39,1/F40,1/F41,1/F42,1/F43,1/F44)</f>
        <v>3.0283235179693351E-10</v>
      </c>
      <c r="G31" s="71"/>
      <c r="H31" s="71"/>
      <c r="I31" s="71"/>
      <c r="J31" s="72">
        <f>IFERROR(IF(SUM(G32:G44)&gt;0.01,1-EXP(-SUM(G32:G44)),SUM(G32:G44)),".")</f>
        <v>1</v>
      </c>
      <c r="K31" s="72">
        <f>IFERROR(IF(SUM(H32:H44)&gt;0.01,1-EXP(-SUM(H32:H44)),SUM(H32:H44)),".")</f>
        <v>1</v>
      </c>
      <c r="L31" s="72">
        <f>IFERROR(IF(SUM(I32:I44)&gt;0.01,1-EXP(-SUM(I32:I44)),SUM(I32:I44)),".")</f>
        <v>1</v>
      </c>
      <c r="M31" s="72">
        <f>IFERROR(IF(SUM(G32:I44)&gt;0.01,1-EXP(-SUM(G32:I44)),SUM(G32:I44)),".")</f>
        <v>1</v>
      </c>
      <c r="N31" s="53">
        <f t="shared" ref="N31:R31" si="7">1/SUM(1/N32,1/N33,1/N34,1/N35,1/N36,1/N37,1/N38,1/N39,1/N40,1/N41,1/N42,1/N43)</f>
        <v>1.0793276001335156E-6</v>
      </c>
      <c r="O31" s="53">
        <f t="shared" si="7"/>
        <v>1.9946413406993447E-6</v>
      </c>
      <c r="P31" s="53">
        <f t="shared" si="7"/>
        <v>1.4093181289924036E-6</v>
      </c>
      <c r="Q31" s="53">
        <f t="shared" si="7"/>
        <v>1.2243001143509866E-6</v>
      </c>
      <c r="R31" s="53">
        <f t="shared" si="7"/>
        <v>4.2138527700560422E-6</v>
      </c>
      <c r="S31" s="71"/>
      <c r="T31" s="63"/>
      <c r="U31" s="63"/>
      <c r="V31" s="63"/>
      <c r="W31" s="63"/>
      <c r="X31" s="72">
        <f>IFERROR(IF(SUM(S32:S44)&gt;0.01,1-EXP(-SUM(S32:S44)),SUM(S32:S44)),".")</f>
        <v>1</v>
      </c>
      <c r="Y31" s="72">
        <f t="shared" ref="Y31:AB31" si="8">IFERROR(IF(SUM(T32:T44)&gt;0.01,1-EXP(-SUM(T32:T44)),SUM(T32:T44)),".")</f>
        <v>1</v>
      </c>
      <c r="Z31" s="72">
        <f t="shared" si="8"/>
        <v>1</v>
      </c>
      <c r="AA31" s="72">
        <f t="shared" si="8"/>
        <v>1</v>
      </c>
      <c r="AB31" s="72">
        <f t="shared" si="8"/>
        <v>1</v>
      </c>
      <c r="AC31" s="53">
        <f>1/SUM(1/AC32,1/AC33,1/AC34,1/AC35,1/AC36,1/AC37,1/AC38,1/AC41,1/AC44)</f>
        <v>3.2324094299080297E-12</v>
      </c>
      <c r="AD31" s="53">
        <f t="shared" ref="AD31:AE31" si="9">1/SUM(1/AD32,1/AD33,1/AD34,1/AD35,1/AD36,1/AD37,1/AD38,1/AD39,1/AD40,1/AD41,1/AD42,1/AD43,1/AD44)</f>
        <v>1.327312546649127E-8</v>
      </c>
      <c r="AE31" s="54">
        <f t="shared" si="9"/>
        <v>2.4238724372701367E-12</v>
      </c>
      <c r="AF31" s="71"/>
      <c r="AG31" s="71"/>
      <c r="AH31" s="72">
        <f>IFERROR(IF(SUM(AF32:AF44)&gt;0.01,1-EXP(-SUM(AF32:AF44)),SUM(AF32:AF44)),".")</f>
        <v>1</v>
      </c>
      <c r="AI31" s="72">
        <f>IFERROR(IF(SUM(AG32:AG44)&gt;0.01,1-EXP(-SUM(AG32:AG44)),SUM(AG32:AG44)),".")</f>
        <v>1</v>
      </c>
      <c r="AJ31" s="72">
        <f>IFERROR(IF(SUM(AF32:AG44)&gt;0.01,1-EXP(-SUM(AF32:AG44)),SUM(AF32:AG44)),".")</f>
        <v>1</v>
      </c>
    </row>
    <row r="32" spans="1:36" x14ac:dyDescent="0.25">
      <c r="A32" s="55" t="s">
        <v>290</v>
      </c>
      <c r="B32" s="50">
        <v>1</v>
      </c>
      <c r="C32" s="56">
        <f>IFERROR(C3/$B32,0)</f>
        <v>3.6363636363636364E-9</v>
      </c>
      <c r="D32" s="56">
        <f>IFERROR(D3/$B32,0)</f>
        <v>9.0250320889537196E-6</v>
      </c>
      <c r="E32" s="56">
        <f>IFERROR(E3/$B32,0)</f>
        <v>2.2184415584415593E-3</v>
      </c>
      <c r="F32" s="56">
        <f>IF(AND(C32&lt;&gt;0,D32&lt;&gt;0,E32&lt;&gt;0),1/((1/C32)+(1/D32)+(1/E32)),IF(AND(C32&lt;&gt;0,D32&lt;&gt;0,E32=0), 1/((1/C32)+(1/D32)),IF(AND(C32&lt;&gt;0,D32=0,E32&lt;&gt;0),1/((1/C32)+(1/E32)),IF(AND(C32=0,D32&lt;&gt;0,E32&lt;&gt;0),1/((1/D32)+(1/E32)),IF(AND(C32&lt;&gt;0,D32=0,E32=0),1/((1/C32)),IF(AND(C32=0,D32&lt;&gt;0,E32=0),1/((1/D32)),IF(AND(C32=0,D32=0,E32&lt;&gt;0),1/((1/E32)),IF(AND(C32=0,D32=0,E32=0),0))))))))</f>
        <v>3.6348931080125592E-9</v>
      </c>
      <c r="G32" s="64">
        <f>IFERROR(up_RadSpec!$I$3*G3,".")*$B$32</f>
        <v>15277625</v>
      </c>
      <c r="H32" s="64">
        <f>IFERROR(up_RadSpec!$G$3*H3,".")*$B$32</f>
        <v>6155.6567835362166</v>
      </c>
      <c r="I32" s="64">
        <f>IFERROR(up_RadSpec!$F$3*I3,".")*$B$32</f>
        <v>25.042354525231225</v>
      </c>
      <c r="J32" s="73">
        <f t="shared" ref="J32:L44" si="10">IFERROR(IF(G32&gt;0.01,1-EXP(-G32),G32),".")</f>
        <v>1</v>
      </c>
      <c r="K32" s="73">
        <f t="shared" si="10"/>
        <v>1</v>
      </c>
      <c r="L32" s="73">
        <f t="shared" si="10"/>
        <v>0.99999999998668798</v>
      </c>
      <c r="M32" s="73">
        <f>IFERROR(IF(SUM(G32:I32)&gt;0.01,1-EXP(-SUM(G32:I32)),SUM(G32:I32)),".")</f>
        <v>1</v>
      </c>
      <c r="N32" s="56">
        <f t="shared" ref="N32:AD32" si="11">IFERROR(N3/$B32,0)</f>
        <v>2.2184415584415593E-3</v>
      </c>
      <c r="O32" s="56">
        <f t="shared" si="11"/>
        <v>3.1106175132324275E-3</v>
      </c>
      <c r="P32" s="56">
        <f t="shared" si="11"/>
        <v>2.3582923154193873E-3</v>
      </c>
      <c r="Q32" s="56">
        <f t="shared" si="11"/>
        <v>2.430968353680217E-3</v>
      </c>
      <c r="R32" s="56">
        <f t="shared" si="11"/>
        <v>4.8228185429946419E-3</v>
      </c>
      <c r="S32" s="64">
        <f>IFERROR(up_RadSpec!$F$3*S3,".")*$B$32</f>
        <v>25.042354525231225</v>
      </c>
      <c r="T32" s="64">
        <f>IFERROR(up_RadSpec!$M$3*T3,".")*$B$32</f>
        <v>17.859797858036714</v>
      </c>
      <c r="U32" s="64">
        <f>IFERROR(up_RadSpec!$N$3*U3,".")*$B$32</f>
        <v>23.557300185715256</v>
      </c>
      <c r="V32" s="64">
        <f>IFERROR(up_RadSpec!$O$3*V3,".")*$B$32</f>
        <v>22.853032996458332</v>
      </c>
      <c r="W32" s="64">
        <f>IFERROR(up_RadSpec!$K$3*W3,".")*$B$32</f>
        <v>11.519197644434723</v>
      </c>
      <c r="X32" s="73">
        <f>IFERROR(IF(S32&gt;0.01,1-EXP(-S32),S32),".")</f>
        <v>0.99999999998668798</v>
      </c>
      <c r="Y32" s="73">
        <f t="shared" ref="Y32:AB44" si="12">IFERROR(IF(T32&gt;0.01,1-EXP(-T32),T32),".")</f>
        <v>0.99999998247781174</v>
      </c>
      <c r="Z32" s="73">
        <f t="shared" si="12"/>
        <v>0.99999999994122479</v>
      </c>
      <c r="AA32" s="73">
        <f t="shared" si="12"/>
        <v>0.99999999988113508</v>
      </c>
      <c r="AB32" s="73">
        <f t="shared" si="12"/>
        <v>0.99999006252550404</v>
      </c>
      <c r="AC32" s="56">
        <f t="shared" si="11"/>
        <v>2.9090909090909089E-11</v>
      </c>
      <c r="AD32" s="56">
        <f t="shared" si="11"/>
        <v>1.5927272727272726E-7</v>
      </c>
      <c r="AE32" s="56">
        <f>IFERROR(IF(AND(AC32&lt;&gt;0,AD32&lt;&gt;0),1/((1/AC32)+(1/AD32)),IF(AND(AC32&lt;&gt;0,AD32=0),1/((1/AC32)),IF(AND(AC32=0,AD32&lt;&gt;0),1/((1/AD32)),IF(AND(AC32=0,AD32=0),0)))),0)</f>
        <v>2.9085596653164224E-11</v>
      </c>
      <c r="AF32" s="64">
        <f>IFERROR(up_RadSpec!$G$3*AF3,".")*$B$32</f>
        <v>1909703125</v>
      </c>
      <c r="AG32" s="64">
        <f>IFERROR(up_RadSpec!$J$3*AG3,".")*$B$32</f>
        <v>348804.22374429216</v>
      </c>
      <c r="AH32" s="73">
        <f>IFERROR(IF(AF32&gt;0.01,1-EXP(-AF32),AF32),".")</f>
        <v>1</v>
      </c>
      <c r="AI32" s="73">
        <f>IFERROR(IF(AG32&gt;0.01,1-EXP(-AG32),AG32),".")</f>
        <v>1</v>
      </c>
      <c r="AJ32" s="73">
        <f>IFERROR(IF(SUM(AF32:AG32)&gt;0.01,1-EXP(-SUM(AF32:AG32)),SUM(AF32:AG32)),".")</f>
        <v>1</v>
      </c>
    </row>
    <row r="33" spans="1:36" x14ac:dyDescent="0.25">
      <c r="A33" s="55" t="s">
        <v>291</v>
      </c>
      <c r="B33" s="50">
        <v>1</v>
      </c>
      <c r="C33" s="56">
        <f t="shared" ref="C33:E34" si="13">IFERROR(C13/$B33,0)</f>
        <v>3.6363636363636364E-9</v>
      </c>
      <c r="D33" s="56">
        <f t="shared" si="13"/>
        <v>9.0250320889537196E-6</v>
      </c>
      <c r="E33" s="56">
        <f t="shared" si="13"/>
        <v>5.4790618044855368E-5</v>
      </c>
      <c r="F33" s="56">
        <f>IF(AND(C33&lt;&gt;0,D33&lt;&gt;0,E33&lt;&gt;0),1/((1/C33)+(1/D33)+(1/E33)),IF(AND(C33&lt;&gt;0,D33&lt;&gt;0,E33=0), 1/((1/C33)+(1/D33)),IF(AND(C33&lt;&gt;0,D33=0,E33&lt;&gt;0),1/((1/C33)+(1/E33)),IF(AND(C33=0,D33&lt;&gt;0,E33&lt;&gt;0),1/((1/D33)+(1/E33)),IF(AND(C33&lt;&gt;0,D33=0,E33=0),1/((1/C33)),IF(AND(C33=0,D33&lt;&gt;0,E33=0),1/((1/D33)),IF(AND(C33=0,D33=0,E33&lt;&gt;0),1/((1/E33)),IF(AND(C33=0,D33=0,E33=0),0))))))))</f>
        <v>3.6346579346142699E-9</v>
      </c>
      <c r="G33" s="64">
        <f>IFERROR(up_RadSpec!$I$13*G13,".")*$B$33</f>
        <v>15277625</v>
      </c>
      <c r="H33" s="64">
        <f>IFERROR(up_RadSpec!$G$13*H13,".")*$B$33</f>
        <v>6155.6567835362166</v>
      </c>
      <c r="I33" s="64">
        <f>IFERROR(up_RadSpec!$F$13*I13,".")*$B$33</f>
        <v>1013.9509642785713</v>
      </c>
      <c r="J33" s="73">
        <f t="shared" si="10"/>
        <v>1</v>
      </c>
      <c r="K33" s="73">
        <f t="shared" si="10"/>
        <v>1</v>
      </c>
      <c r="L33" s="73">
        <f t="shared" si="10"/>
        <v>1</v>
      </c>
      <c r="M33" s="73">
        <f t="shared" ref="M33:M44" si="14">IFERROR(IF(SUM(G33:I33)&gt;0.01,1-EXP(-SUM(G33:I33)),SUM(G33:I33)),".")</f>
        <v>1</v>
      </c>
      <c r="N33" s="56">
        <f t="shared" ref="N33:AD34" si="15">IFERROR(N13/$B33,0)</f>
        <v>5.4790618044855368E-5</v>
      </c>
      <c r="O33" s="56">
        <f t="shared" si="15"/>
        <v>1.1948632373213381E-4</v>
      </c>
      <c r="P33" s="56">
        <f t="shared" si="15"/>
        <v>7.0985979194934404E-5</v>
      </c>
      <c r="Q33" s="56">
        <f t="shared" si="15"/>
        <v>5.8600282168498088E-5</v>
      </c>
      <c r="R33" s="56">
        <f t="shared" si="15"/>
        <v>1.1495129870129864E-3</v>
      </c>
      <c r="S33" s="64">
        <f>IFERROR(up_RadSpec!$F$13*S13,".")*$B$33</f>
        <v>1013.9509642785713</v>
      </c>
      <c r="T33" s="64">
        <f>IFERROR(up_RadSpec!$M$13*T13,".")*$B$33</f>
        <v>464.94860888467878</v>
      </c>
      <c r="U33" s="64">
        <f>IFERROR(up_RadSpec!$N$13*U13,".")*$B$33</f>
        <v>782.61933736858896</v>
      </c>
      <c r="V33" s="64">
        <f>IFERROR(up_RadSpec!$O$13*V13,".")*$B$33</f>
        <v>948.03297772966789</v>
      </c>
      <c r="W33" s="64">
        <f>IFERROR(up_RadSpec!$K$13*W13,".")*$B$33</f>
        <v>48.329162547662762</v>
      </c>
      <c r="X33" s="73">
        <f t="shared" ref="X33:X44" si="16">IFERROR(IF(S33&gt;0.01,1-EXP(-S33),S33),".")</f>
        <v>1</v>
      </c>
      <c r="Y33" s="73">
        <f t="shared" si="12"/>
        <v>1</v>
      </c>
      <c r="Z33" s="73">
        <f t="shared" si="12"/>
        <v>1</v>
      </c>
      <c r="AA33" s="73">
        <f t="shared" si="12"/>
        <v>1</v>
      </c>
      <c r="AB33" s="73">
        <f t="shared" si="12"/>
        <v>1</v>
      </c>
      <c r="AC33" s="56">
        <f t="shared" si="15"/>
        <v>2.9090909090909089E-11</v>
      </c>
      <c r="AD33" s="56">
        <f t="shared" si="15"/>
        <v>1.5927272727272726E-7</v>
      </c>
      <c r="AE33" s="56">
        <f t="shared" ref="AE33:AE44" si="17">IFERROR(IF(AND(AC33&lt;&gt;0,AD33&lt;&gt;0),1/((1/AC33)+(1/AD33)),IF(AND(AC33&lt;&gt;0,AD33=0),1/((1/AC33)),IF(AND(AC33=0,AD33&lt;&gt;0),1/((1/AD33)),IF(AND(AC33=0,AD33=0),0)))),0)</f>
        <v>2.9085596653164224E-11</v>
      </c>
      <c r="AF33" s="64">
        <f>IFERROR(up_RadSpec!$G$13*AF13,".")*$B$33</f>
        <v>1909703125</v>
      </c>
      <c r="AG33" s="64">
        <f>IFERROR(up_RadSpec!$J$13*AG13,".")*$B$33</f>
        <v>348804.22374429216</v>
      </c>
      <c r="AH33" s="73">
        <f t="shared" ref="AH33:AI44" si="18">IFERROR(IF(AF33&gt;0.01,1-EXP(-AF33),AF33),".")</f>
        <v>1</v>
      </c>
      <c r="AI33" s="73">
        <f t="shared" si="18"/>
        <v>1</v>
      </c>
      <c r="AJ33" s="73">
        <f t="shared" ref="AJ33:AJ44" si="19">IFERROR(IF(SUM(AF33:AG33)&gt;0.01,1-EXP(-SUM(AF33:AG33)),SUM(AF33:AG33)),".")</f>
        <v>1</v>
      </c>
    </row>
    <row r="34" spans="1:36" x14ac:dyDescent="0.25">
      <c r="A34" s="55" t="s">
        <v>292</v>
      </c>
      <c r="B34" s="50">
        <v>1</v>
      </c>
      <c r="C34" s="56">
        <f t="shared" si="13"/>
        <v>3.6363636363636364E-9</v>
      </c>
      <c r="D34" s="56">
        <f t="shared" si="13"/>
        <v>9.0250320889537196E-6</v>
      </c>
      <c r="E34" s="56">
        <f t="shared" si="13"/>
        <v>8.225017943474665E-6</v>
      </c>
      <c r="F34" s="56">
        <f>IF(AND(C34&lt;&gt;0,D34&lt;&gt;0,E34&lt;&gt;0),1/((1/C34)+(1/D34)+(1/E34)),IF(AND(C34&lt;&gt;0,D34&lt;&gt;0,E34=0), 1/((1/C34)+(1/D34)),IF(AND(C34&lt;&gt;0,D34=0,E34&lt;&gt;0),1/((1/C34)+(1/E34)),IF(AND(C34=0,D34&lt;&gt;0,E34&lt;&gt;0),1/((1/D34)+(1/E34)),IF(AND(C34&lt;&gt;0,D34=0,E34=0),1/((1/C34)),IF(AND(C34=0,D34&lt;&gt;0,E34=0),1/((1/D34)),IF(AND(C34=0,D34=0,E34&lt;&gt;0),1/((1/E34)),IF(AND(C34=0,D34=0,E34=0),0))))))))</f>
        <v>3.6332933949480451E-9</v>
      </c>
      <c r="G34" s="64">
        <f>IFERROR(up_RadSpec!$I$14*G14,".")*$B$34</f>
        <v>15277625</v>
      </c>
      <c r="H34" s="64">
        <f>IFERROR(up_RadSpec!$G$14*H14,".")*$B$33</f>
        <v>6155.6567835362166</v>
      </c>
      <c r="I34" s="64">
        <f>IFERROR(up_RadSpec!$F$14*I14,".")*$B$33</f>
        <v>6754.3925596022154</v>
      </c>
      <c r="J34" s="73">
        <f t="shared" si="10"/>
        <v>1</v>
      </c>
      <c r="K34" s="73">
        <f t="shared" si="10"/>
        <v>1</v>
      </c>
      <c r="L34" s="73">
        <f t="shared" si="10"/>
        <v>1</v>
      </c>
      <c r="M34" s="73">
        <f t="shared" si="14"/>
        <v>1</v>
      </c>
      <c r="N34" s="56">
        <f t="shared" si="15"/>
        <v>8.225017943474665E-6</v>
      </c>
      <c r="O34" s="56">
        <f t="shared" si="15"/>
        <v>1.4937483186060478E-5</v>
      </c>
      <c r="P34" s="56">
        <f t="shared" si="15"/>
        <v>1.1043933455751369E-5</v>
      </c>
      <c r="Q34" s="56">
        <f t="shared" si="15"/>
        <v>9.6777614763226293E-6</v>
      </c>
      <c r="R34" s="56">
        <f t="shared" si="15"/>
        <v>4.1679600886917974E-5</v>
      </c>
      <c r="S34" s="64">
        <f>IFERROR(up_RadSpec!$F$14*S14,".")*$B$33</f>
        <v>6754.3925596022154</v>
      </c>
      <c r="T34" s="64">
        <f>IFERROR(up_RadSpec!$M$14*T14,".")*$B$33</f>
        <v>3719.1673662831909</v>
      </c>
      <c r="U34" s="64">
        <f>IFERROR(up_RadSpec!$N$14*U14,".")*$B$33</f>
        <v>5030.3635224339841</v>
      </c>
      <c r="V34" s="64">
        <f>IFERROR(up_RadSpec!$O$14*V14,".")*$B$33</f>
        <v>5740.4803926940622</v>
      </c>
      <c r="W34" s="64">
        <f>IFERROR(up_RadSpec!$K$14*W14,".")*$B$33</f>
        <v>1332.9062375315862</v>
      </c>
      <c r="X34" s="73">
        <f t="shared" si="16"/>
        <v>1</v>
      </c>
      <c r="Y34" s="73">
        <f t="shared" si="12"/>
        <v>1</v>
      </c>
      <c r="Z34" s="73">
        <f t="shared" si="12"/>
        <v>1</v>
      </c>
      <c r="AA34" s="73">
        <f t="shared" si="12"/>
        <v>1</v>
      </c>
      <c r="AB34" s="73">
        <f t="shared" si="12"/>
        <v>1</v>
      </c>
      <c r="AC34" s="56">
        <f t="shared" si="15"/>
        <v>2.9090909090909089E-11</v>
      </c>
      <c r="AD34" s="56">
        <f t="shared" si="15"/>
        <v>1.5927272727272726E-7</v>
      </c>
      <c r="AE34" s="56">
        <f t="shared" si="17"/>
        <v>2.9085596653164224E-11</v>
      </c>
      <c r="AF34" s="64">
        <f>IFERROR(up_RadSpec!$G$14*AF14,".")*$B$33</f>
        <v>1909703125</v>
      </c>
      <c r="AG34" s="64">
        <f>IFERROR(up_RadSpec!$J$14*AG14,".")*$B$33</f>
        <v>348804.22374429216</v>
      </c>
      <c r="AH34" s="73">
        <f t="shared" si="18"/>
        <v>1</v>
      </c>
      <c r="AI34" s="73">
        <f t="shared" si="18"/>
        <v>1</v>
      </c>
      <c r="AJ34" s="73">
        <f t="shared" si="19"/>
        <v>1</v>
      </c>
    </row>
    <row r="35" spans="1:36" x14ac:dyDescent="0.25">
      <c r="A35" s="55" t="s">
        <v>293</v>
      </c>
      <c r="B35" s="50">
        <v>1</v>
      </c>
      <c r="C35" s="56">
        <f>IFERROR(C30/$B35,0)</f>
        <v>3.6363636363636364E-9</v>
      </c>
      <c r="D35" s="56">
        <f>IFERROR(D30/$B35,0)</f>
        <v>9.0250320889537196E-6</v>
      </c>
      <c r="E35" s="56">
        <f>IFERROR(E30/$B35,0)</f>
        <v>2.654545454545454E-5</v>
      </c>
      <c r="F35" s="56">
        <f t="shared" ref="F35:F61" si="20">IF(AND(C35&lt;&gt;0,D35&lt;&gt;0,E35&lt;&gt;0),1/((1/C35)+(1/D35)+(1/E35)),IF(AND(C35&lt;&gt;0,D35&lt;&gt;0,E35=0), 1/((1/C35)+(1/D35)),IF(AND(C35&lt;&gt;0,D35=0,E35&lt;&gt;0),1/((1/C35)+(1/E35)),IF(AND(C35=0,D35&lt;&gt;0,E35&lt;&gt;0),1/((1/D35)+(1/E35)),IF(AND(C35&lt;&gt;0,D35=0,E35=0),1/((1/C35)),IF(AND(C35=0,D35&lt;&gt;0,E35=0),1/((1/D35)),IF(AND(C35=0,D35=0,E35&lt;&gt;0),1/((1/E35)),IF(AND(C35=0,D35=0,E35=0),0))))))))</f>
        <v>3.6344014010688553E-9</v>
      </c>
      <c r="G35" s="64">
        <f>IFERROR(up_RadSpec!$I$30*G30,".")*$B$35</f>
        <v>15277625</v>
      </c>
      <c r="H35" s="64">
        <f>IFERROR(up_RadSpec!$G$30*H30,".")*$B$35</f>
        <v>6155.6567835362166</v>
      </c>
      <c r="I35" s="64">
        <f>IFERROR(up_RadSpec!$F$30*I30,".")*$B$35</f>
        <v>2092.8253424657532</v>
      </c>
      <c r="J35" s="73">
        <f t="shared" si="10"/>
        <v>1</v>
      </c>
      <c r="K35" s="73">
        <f t="shared" si="10"/>
        <v>1</v>
      </c>
      <c r="L35" s="73">
        <f t="shared" si="10"/>
        <v>1</v>
      </c>
      <c r="M35" s="73">
        <f t="shared" si="14"/>
        <v>1</v>
      </c>
      <c r="N35" s="56">
        <f t="shared" ref="N35:AD35" si="21">IFERROR(N30/$B35,0)</f>
        <v>2.654545454545454E-5</v>
      </c>
      <c r="O35" s="56">
        <f t="shared" si="21"/>
        <v>1.3004536082474226E-4</v>
      </c>
      <c r="P35" s="56">
        <f t="shared" si="21"/>
        <v>4.6863931523022416E-5</v>
      </c>
      <c r="Q35" s="56">
        <f t="shared" si="21"/>
        <v>3.4883160981632983E-5</v>
      </c>
      <c r="R35" s="56">
        <f t="shared" si="21"/>
        <v>3.1854545454545447E-3</v>
      </c>
      <c r="S35" s="64">
        <f>IFERROR(up_RadSpec!$F$30*S30,".")*$B$35</f>
        <v>2092.8253424657532</v>
      </c>
      <c r="T35" s="64">
        <f>IFERROR(up_RadSpec!$M$30*T30,".")*$B$35</f>
        <v>427.19709221207506</v>
      </c>
      <c r="U35" s="64">
        <f>IFERROR(up_RadSpec!$N$30*U30,".")*$B$35</f>
        <v>1185.4532514564637</v>
      </c>
      <c r="V35" s="64">
        <f>IFERROR(up_RadSpec!$O$30*V30,".")*$B$35</f>
        <v>1592.6022308944807</v>
      </c>
      <c r="W35" s="64">
        <f>IFERROR(up_RadSpec!$K$30*W30,".")*$B$35</f>
        <v>17.440211187214608</v>
      </c>
      <c r="X35" s="73">
        <f t="shared" si="16"/>
        <v>1</v>
      </c>
      <c r="Y35" s="73">
        <f t="shared" si="12"/>
        <v>1</v>
      </c>
      <c r="Z35" s="73">
        <f t="shared" si="12"/>
        <v>1</v>
      </c>
      <c r="AA35" s="73">
        <f t="shared" si="12"/>
        <v>1</v>
      </c>
      <c r="AB35" s="73">
        <f t="shared" si="12"/>
        <v>0.99999997334292345</v>
      </c>
      <c r="AC35" s="56">
        <f t="shared" si="21"/>
        <v>2.9090909090909089E-11</v>
      </c>
      <c r="AD35" s="56">
        <f t="shared" si="21"/>
        <v>1.5927272727272726E-7</v>
      </c>
      <c r="AE35" s="56">
        <f t="shared" si="17"/>
        <v>2.9085596653164224E-11</v>
      </c>
      <c r="AF35" s="64">
        <f>IFERROR(up_RadSpec!$G$30*AF30,".")*$B$35</f>
        <v>1909703125</v>
      </c>
      <c r="AG35" s="64">
        <f>IFERROR(up_RadSpec!$J$30*AG30,".")*$B$35</f>
        <v>348804.22374429216</v>
      </c>
      <c r="AH35" s="73">
        <f t="shared" si="18"/>
        <v>1</v>
      </c>
      <c r="AI35" s="73">
        <f t="shared" si="18"/>
        <v>1</v>
      </c>
      <c r="AJ35" s="73">
        <f t="shared" si="19"/>
        <v>1</v>
      </c>
    </row>
    <row r="36" spans="1:36" x14ac:dyDescent="0.25">
      <c r="A36" s="55" t="s">
        <v>294</v>
      </c>
      <c r="B36" s="50">
        <v>1</v>
      </c>
      <c r="C36" s="56">
        <f>IFERROR(C26/$B36,0)</f>
        <v>3.6363636363636364E-9</v>
      </c>
      <c r="D36" s="56">
        <f>IFERROR(D26/$B36,0)</f>
        <v>9.0250320889537196E-6</v>
      </c>
      <c r="E36" s="56">
        <f>IFERROR(E26/$B36,0)</f>
        <v>2.7899814471243031E-5</v>
      </c>
      <c r="F36" s="56">
        <f t="shared" si="20"/>
        <v>3.6344255563047033E-9</v>
      </c>
      <c r="G36" s="64">
        <f>IFERROR(up_RadSpec!$I$26*G26,".")*$B$37</f>
        <v>15277625</v>
      </c>
      <c r="H36" s="64">
        <f>IFERROR(up_RadSpec!$G$26*H26,".")*$B$37</f>
        <v>6155.6567835362166</v>
      </c>
      <c r="I36" s="64">
        <f>IFERROR(up_RadSpec!$F$26*I26,".")*$B$37</f>
        <v>1991.2318792392612</v>
      </c>
      <c r="J36" s="73">
        <f t="shared" si="10"/>
        <v>1</v>
      </c>
      <c r="K36" s="73">
        <f t="shared" si="10"/>
        <v>1</v>
      </c>
      <c r="L36" s="73">
        <f t="shared" si="10"/>
        <v>1</v>
      </c>
      <c r="M36" s="73">
        <f t="shared" si="14"/>
        <v>1</v>
      </c>
      <c r="N36" s="56">
        <f t="shared" ref="N36:AD36" si="22">IFERROR(N26/$B36,0)</f>
        <v>2.7899814471243031E-5</v>
      </c>
      <c r="O36" s="56">
        <f t="shared" si="22"/>
        <v>5.0938165204298848E-5</v>
      </c>
      <c r="P36" s="56">
        <f t="shared" si="22"/>
        <v>3.6817148325358841E-5</v>
      </c>
      <c r="Q36" s="56">
        <f t="shared" si="22"/>
        <v>3.149256198347106E-5</v>
      </c>
      <c r="R36" s="56">
        <f t="shared" si="22"/>
        <v>2.968949605026463E-4</v>
      </c>
      <c r="S36" s="64">
        <f>IFERROR(up_RadSpec!$F$26*S26,".")*$B$37</f>
        <v>1991.2318792392612</v>
      </c>
      <c r="T36" s="64">
        <f>IFERROR(up_RadSpec!$M$26*T26,".")*$B$37</f>
        <v>1090.6360638861704</v>
      </c>
      <c r="U36" s="64">
        <f>IFERROR(up_RadSpec!$N$26*U26,".")*$B$37</f>
        <v>1508.9435908792243</v>
      </c>
      <c r="V36" s="64">
        <f>IFERROR(up_RadSpec!$O$26*V26,".")*$B$37</f>
        <v>1764.0673384768809</v>
      </c>
      <c r="W36" s="64">
        <f>IFERROR(up_RadSpec!$K$26*W26,".")*$B$37</f>
        <v>187.12005049174562</v>
      </c>
      <c r="X36" s="73">
        <f t="shared" si="16"/>
        <v>1</v>
      </c>
      <c r="Y36" s="73">
        <f t="shared" si="12"/>
        <v>1</v>
      </c>
      <c r="Z36" s="73">
        <f t="shared" si="12"/>
        <v>1</v>
      </c>
      <c r="AA36" s="73">
        <f t="shared" si="12"/>
        <v>1</v>
      </c>
      <c r="AB36" s="73">
        <f t="shared" si="12"/>
        <v>1</v>
      </c>
      <c r="AC36" s="56">
        <f t="shared" si="22"/>
        <v>2.9090909090909089E-11</v>
      </c>
      <c r="AD36" s="56">
        <f t="shared" si="22"/>
        <v>1.5927272727272726E-7</v>
      </c>
      <c r="AE36" s="56">
        <f t="shared" si="17"/>
        <v>2.9085596653164224E-11</v>
      </c>
      <c r="AF36" s="64">
        <f>IFERROR(up_RadSpec!$G$26*AF26,".")*$B$37</f>
        <v>1909703125</v>
      </c>
      <c r="AG36" s="64">
        <f>IFERROR(up_RadSpec!$J$26*AG26,".")*$B$37</f>
        <v>348804.22374429216</v>
      </c>
      <c r="AH36" s="73">
        <f t="shared" si="18"/>
        <v>1</v>
      </c>
      <c r="AI36" s="73">
        <f t="shared" si="18"/>
        <v>1</v>
      </c>
      <c r="AJ36" s="73">
        <f t="shared" si="19"/>
        <v>1</v>
      </c>
    </row>
    <row r="37" spans="1:36" x14ac:dyDescent="0.25">
      <c r="A37" s="55" t="s">
        <v>295</v>
      </c>
      <c r="B37" s="50">
        <v>1</v>
      </c>
      <c r="C37" s="56">
        <f>IFERROR(C22/$B37,0)</f>
        <v>3.6363636363636364E-9</v>
      </c>
      <c r="D37" s="56">
        <f>IFERROR(D22/$B37,0)</f>
        <v>9.0250320889537196E-6</v>
      </c>
      <c r="E37" s="56">
        <f>IFERROR(E22/$B37,0)</f>
        <v>15.285043988269797</v>
      </c>
      <c r="F37" s="56">
        <f t="shared" si="20"/>
        <v>3.6348990628919511E-9</v>
      </c>
      <c r="G37" s="64">
        <f>IFERROR(up_RadSpec!$I$22*G22,".")*$B$37</f>
        <v>15277625</v>
      </c>
      <c r="H37" s="64">
        <f>IFERROR(up_RadSpec!$G$22*H22,".")*$B$37</f>
        <v>6155.6567835362166</v>
      </c>
      <c r="I37" s="64">
        <f>IFERROR(up_RadSpec!$F$22*I22,".")*$B$37</f>
        <v>3.6345986339741364E-3</v>
      </c>
      <c r="J37" s="73">
        <f t="shared" si="10"/>
        <v>1</v>
      </c>
      <c r="K37" s="73">
        <f t="shared" si="10"/>
        <v>1</v>
      </c>
      <c r="L37" s="73">
        <f t="shared" si="10"/>
        <v>3.6345986339741364E-3</v>
      </c>
      <c r="M37" s="73">
        <f t="shared" si="14"/>
        <v>1</v>
      </c>
      <c r="N37" s="56">
        <f t="shared" ref="N37:AD37" si="23">IFERROR(N22/$B37,0)</f>
        <v>15.285043988269797</v>
      </c>
      <c r="O37" s="56">
        <f t="shared" si="23"/>
        <v>14.006003150167917</v>
      </c>
      <c r="P37" s="56">
        <f t="shared" si="23"/>
        <v>10.760360759143474</v>
      </c>
      <c r="Q37" s="56">
        <f t="shared" si="23"/>
        <v>11.08825757575757</v>
      </c>
      <c r="R37" s="56">
        <f t="shared" si="23"/>
        <v>78.678866993535507</v>
      </c>
      <c r="S37" s="64">
        <f>IFERROR(up_RadSpec!$F$22*S22,".")*$B$37</f>
        <v>3.6345986339741364E-3</v>
      </c>
      <c r="T37" s="64">
        <f>IFERROR(up_RadSpec!$M$22*T22,".")*$B$37</f>
        <v>3.9665134588616697E-3</v>
      </c>
      <c r="U37" s="64">
        <f>IFERROR(up_RadSpec!$N$22*U22,".")*$B$37</f>
        <v>5.1629309874943428E-3</v>
      </c>
      <c r="V37" s="64">
        <f>IFERROR(up_RadSpec!$O$22*V22,".")*$B$37</f>
        <v>5.0102551839579148E-3</v>
      </c>
      <c r="W37" s="64">
        <f>IFERROR(up_RadSpec!$K$22*W22,".")*$B$37</f>
        <v>7.0609811913743706E-4</v>
      </c>
      <c r="X37" s="73">
        <f t="shared" si="16"/>
        <v>3.6345986339741364E-3</v>
      </c>
      <c r="Y37" s="73">
        <f t="shared" si="12"/>
        <v>3.9665134588616697E-3</v>
      </c>
      <c r="Z37" s="73">
        <f t="shared" si="12"/>
        <v>5.1629309874943428E-3</v>
      </c>
      <c r="AA37" s="73">
        <f t="shared" si="12"/>
        <v>5.0102551839579148E-3</v>
      </c>
      <c r="AB37" s="73">
        <f t="shared" si="12"/>
        <v>7.0609811913743706E-4</v>
      </c>
      <c r="AC37" s="56">
        <f t="shared" si="23"/>
        <v>2.9090909090909089E-11</v>
      </c>
      <c r="AD37" s="56">
        <f t="shared" si="23"/>
        <v>1.5927272727272726E-7</v>
      </c>
      <c r="AE37" s="56">
        <f t="shared" si="17"/>
        <v>2.9085596653164224E-11</v>
      </c>
      <c r="AF37" s="64">
        <f>IFERROR(up_RadSpec!$G$22*AF22,".")*$B$37</f>
        <v>1909703125</v>
      </c>
      <c r="AG37" s="64">
        <f>IFERROR(up_RadSpec!$J$22*AG22,".")*$B$37</f>
        <v>348804.22374429216</v>
      </c>
      <c r="AH37" s="73">
        <f t="shared" si="18"/>
        <v>1</v>
      </c>
      <c r="AI37" s="73">
        <f t="shared" si="18"/>
        <v>1</v>
      </c>
      <c r="AJ37" s="73">
        <f t="shared" si="19"/>
        <v>1</v>
      </c>
    </row>
    <row r="38" spans="1:36" x14ac:dyDescent="0.25">
      <c r="A38" s="55" t="s">
        <v>296</v>
      </c>
      <c r="B38" s="50">
        <v>1</v>
      </c>
      <c r="C38" s="56">
        <f>IFERROR(C2/$B38,0)</f>
        <v>3.6363636363636364E-9</v>
      </c>
      <c r="D38" s="56">
        <f>IFERROR(D2/$B38,0)</f>
        <v>9.0250320889537196E-6</v>
      </c>
      <c r="E38" s="56">
        <f>IFERROR(E2/$B38,0)</f>
        <v>1.6909254955570751E-5</v>
      </c>
      <c r="F38" s="56">
        <f t="shared" si="20"/>
        <v>3.6341178553811329E-9</v>
      </c>
      <c r="G38" s="64">
        <f>IFERROR(up_RadSpec!$I$2*G2,".")*$B$38</f>
        <v>15277625</v>
      </c>
      <c r="H38" s="64">
        <f>IFERROR(up_RadSpec!$G$2*H2,".")*$B$38</f>
        <v>6155.6567835362166</v>
      </c>
      <c r="I38" s="64">
        <f>IFERROR(up_RadSpec!$F$2*I2,".")*$B$38</f>
        <v>3285.4788780446779</v>
      </c>
      <c r="J38" s="73">
        <f t="shared" si="10"/>
        <v>1</v>
      </c>
      <c r="K38" s="73">
        <f t="shared" si="10"/>
        <v>1</v>
      </c>
      <c r="L38" s="73">
        <f t="shared" si="10"/>
        <v>1</v>
      </c>
      <c r="M38" s="73">
        <f t="shared" si="14"/>
        <v>1</v>
      </c>
      <c r="N38" s="56">
        <f t="shared" ref="N38:AD38" si="24">IFERROR(N2/$B38,0)</f>
        <v>1.6909254955570751E-5</v>
      </c>
      <c r="O38" s="56">
        <f t="shared" si="24"/>
        <v>3.4189433603046162E-5</v>
      </c>
      <c r="P38" s="56">
        <f t="shared" si="24"/>
        <v>2.322107051826677E-5</v>
      </c>
      <c r="Q38" s="56">
        <f t="shared" si="24"/>
        <v>1.9301841948900769E-5</v>
      </c>
      <c r="R38" s="56">
        <f t="shared" si="24"/>
        <v>2.705519000939976E-4</v>
      </c>
      <c r="S38" s="64">
        <f>IFERROR(up_RadSpec!$F$2*S2,".")*$B$38</f>
        <v>3285.4788780446779</v>
      </c>
      <c r="T38" s="64">
        <f>IFERROR(up_RadSpec!$M$2*T2,".")*$B$38</f>
        <v>1624.9172374429227</v>
      </c>
      <c r="U38" s="64">
        <f>IFERROR(up_RadSpec!$N$2*U2,".")*$B$38</f>
        <v>2392.4392269640562</v>
      </c>
      <c r="V38" s="64">
        <f>IFERROR(up_RadSpec!$O$2*V2,".")*$B$38</f>
        <v>2878.2227181776207</v>
      </c>
      <c r="W38" s="64">
        <f>IFERROR(up_RadSpec!$K$2*W2,".")*$B$38</f>
        <v>205.33952997816155</v>
      </c>
      <c r="X38" s="73">
        <f t="shared" si="16"/>
        <v>1</v>
      </c>
      <c r="Y38" s="73">
        <f t="shared" si="12"/>
        <v>1</v>
      </c>
      <c r="Z38" s="73">
        <f t="shared" si="12"/>
        <v>1</v>
      </c>
      <c r="AA38" s="73">
        <f t="shared" si="12"/>
        <v>1</v>
      </c>
      <c r="AB38" s="73">
        <f t="shared" si="12"/>
        <v>1</v>
      </c>
      <c r="AC38" s="56">
        <f t="shared" si="24"/>
        <v>2.9090909090909089E-11</v>
      </c>
      <c r="AD38" s="56">
        <f t="shared" si="24"/>
        <v>1.5927272727272726E-7</v>
      </c>
      <c r="AE38" s="56">
        <f t="shared" si="17"/>
        <v>2.9085596653164224E-11</v>
      </c>
      <c r="AF38" s="64">
        <f>IFERROR(up_RadSpec!$G$2*AF2,".")*$B$38</f>
        <v>1909703125</v>
      </c>
      <c r="AG38" s="64">
        <f>IFERROR(up_RadSpec!$J$2*AG2,".")*$B$38</f>
        <v>348804.22374429216</v>
      </c>
      <c r="AH38" s="73">
        <f t="shared" si="18"/>
        <v>1</v>
      </c>
      <c r="AI38" s="73">
        <f t="shared" si="18"/>
        <v>1</v>
      </c>
      <c r="AJ38" s="73">
        <f t="shared" si="19"/>
        <v>1</v>
      </c>
    </row>
    <row r="39" spans="1:36" x14ac:dyDescent="0.25">
      <c r="A39" s="55" t="s">
        <v>297</v>
      </c>
      <c r="B39" s="50">
        <v>1</v>
      </c>
      <c r="C39" s="56">
        <f>IFERROR(C11/$B39,0)</f>
        <v>3.6363636363636364E-9</v>
      </c>
      <c r="D39" s="56">
        <f>IFERROR(D11/$B39,0)</f>
        <v>9.0250320889537196E-6</v>
      </c>
      <c r="E39" s="56">
        <f>IFERROR(E11/$B39,0)</f>
        <v>1.4877122877122873E-5</v>
      </c>
      <c r="F39" s="56">
        <f t="shared" si="20"/>
        <v>3.6340111727361278E-9</v>
      </c>
      <c r="G39" s="64">
        <f>IFERROR(up_RadSpec!$I$11*G11,".")*$B$39</f>
        <v>15277625</v>
      </c>
      <c r="H39" s="64">
        <f>IFERROR(up_RadSpec!$G$11*H11,".")*$B$39</f>
        <v>6155.6567835362166</v>
      </c>
      <c r="I39" s="64">
        <f>IFERROR(up_RadSpec!$F$11*I11,".")*$B$39</f>
        <v>3734.2569836153634</v>
      </c>
      <c r="J39" s="73">
        <f t="shared" si="10"/>
        <v>1</v>
      </c>
      <c r="K39" s="73">
        <f t="shared" si="10"/>
        <v>1</v>
      </c>
      <c r="L39" s="73">
        <f t="shared" si="10"/>
        <v>1</v>
      </c>
      <c r="M39" s="73">
        <f t="shared" si="14"/>
        <v>1</v>
      </c>
      <c r="N39" s="56">
        <f t="shared" ref="N39:AD39" si="25">IFERROR(N11/$B39,0)</f>
        <v>1.4877122877122873E-5</v>
      </c>
      <c r="O39" s="56">
        <f t="shared" si="25"/>
        <v>1.8824477461596577E-5</v>
      </c>
      <c r="P39" s="56">
        <f t="shared" si="25"/>
        <v>1.4609548724656637E-5</v>
      </c>
      <c r="Q39" s="56">
        <f t="shared" si="25"/>
        <v>1.3916387959866224E-5</v>
      </c>
      <c r="R39" s="56">
        <f t="shared" si="25"/>
        <v>3.5044063079777362E-5</v>
      </c>
      <c r="S39" s="64">
        <f>IFERROR(up_RadSpec!$F$11*S11,".")*$B$39</f>
        <v>3734.2569836153634</v>
      </c>
      <c r="T39" s="64">
        <f>IFERROR(up_RadSpec!$M$11*T11,".")*$B$39</f>
        <v>2951.2107368364718</v>
      </c>
      <c r="U39" s="64">
        <f>IFERROR(up_RadSpec!$N$11*U11,".")*$B$39</f>
        <v>3802.6499686632651</v>
      </c>
      <c r="V39" s="64">
        <f>IFERROR(up_RadSpec!$O$11*V11,".")*$B$39</f>
        <v>3992.0559961547683</v>
      </c>
      <c r="W39" s="64">
        <f>IFERROR(up_RadSpec!$K$11*W11,".")*$B$39</f>
        <v>1585.2899212494208</v>
      </c>
      <c r="X39" s="73">
        <f t="shared" si="16"/>
        <v>1</v>
      </c>
      <c r="Y39" s="73">
        <f t="shared" si="12"/>
        <v>1</v>
      </c>
      <c r="Z39" s="73">
        <f t="shared" si="12"/>
        <v>1</v>
      </c>
      <c r="AA39" s="73">
        <f t="shared" si="12"/>
        <v>1</v>
      </c>
      <c r="AB39" s="73">
        <f t="shared" si="12"/>
        <v>1</v>
      </c>
      <c r="AC39" s="56">
        <f t="shared" si="25"/>
        <v>2.9090909090909089E-11</v>
      </c>
      <c r="AD39" s="56">
        <f t="shared" si="25"/>
        <v>1.5927272727272726E-7</v>
      </c>
      <c r="AE39" s="56">
        <f t="shared" si="17"/>
        <v>2.9085596653164224E-11</v>
      </c>
      <c r="AF39" s="64">
        <f>IFERROR(up_RadSpec!$G$11*AF11,".")*$B$39</f>
        <v>1909703125</v>
      </c>
      <c r="AG39" s="64">
        <f>IFERROR(up_RadSpec!$J$11*AG11,".")*$B$39</f>
        <v>348804.22374429216</v>
      </c>
      <c r="AH39" s="73">
        <f t="shared" si="18"/>
        <v>1</v>
      </c>
      <c r="AI39" s="73">
        <f t="shared" si="18"/>
        <v>1</v>
      </c>
      <c r="AJ39" s="73">
        <f t="shared" si="19"/>
        <v>1</v>
      </c>
    </row>
    <row r="40" spans="1:36" x14ac:dyDescent="0.25">
      <c r="A40" s="55" t="s">
        <v>298</v>
      </c>
      <c r="B40" s="50">
        <v>1</v>
      </c>
      <c r="C40" s="56">
        <f>IFERROR(C4/$B40,0)</f>
        <v>3.6363636363636364E-9</v>
      </c>
      <c r="D40" s="56">
        <f>IFERROR(D4/$B40,0)</f>
        <v>9.0250320889537196E-6</v>
      </c>
      <c r="E40" s="56">
        <f>IFERROR(E4/$B40,0)</f>
        <v>8.2585858585858615E-6</v>
      </c>
      <c r="F40" s="56">
        <f t="shared" si="20"/>
        <v>3.6332999184912709E-9</v>
      </c>
      <c r="G40" s="64">
        <f>IFERROR(up_RadSpec!$I$4*G4,".")*$B$40</f>
        <v>15277625</v>
      </c>
      <c r="H40" s="64">
        <f>IFERROR(up_RadSpec!$G$4*H4,".")*$B$40</f>
        <v>6155.6567835362166</v>
      </c>
      <c r="I40" s="64">
        <f>IFERROR(up_RadSpec!$F$4*I4,".")*$B$40</f>
        <v>6726.9386007827761</v>
      </c>
      <c r="J40" s="73">
        <f t="shared" si="10"/>
        <v>1</v>
      </c>
      <c r="K40" s="73">
        <f t="shared" si="10"/>
        <v>1</v>
      </c>
      <c r="L40" s="73">
        <f t="shared" si="10"/>
        <v>1</v>
      </c>
      <c r="M40" s="73">
        <f t="shared" si="14"/>
        <v>1</v>
      </c>
      <c r="N40" s="56">
        <f t="shared" ref="N40:AD40" si="26">IFERROR(N4/$B40,0)</f>
        <v>8.2585858585858615E-6</v>
      </c>
      <c r="O40" s="56">
        <f t="shared" si="26"/>
        <v>1.3476923076923083E-5</v>
      </c>
      <c r="P40" s="56">
        <f t="shared" si="26"/>
        <v>9.694861660079048E-6</v>
      </c>
      <c r="Q40" s="56">
        <f t="shared" si="26"/>
        <v>8.4393416567329615E-6</v>
      </c>
      <c r="R40" s="56">
        <f t="shared" si="26"/>
        <v>2.4888664733324919E-5</v>
      </c>
      <c r="S40" s="64">
        <f>IFERROR(up_RadSpec!$F$4*S4,".")*$B$40</f>
        <v>6726.9386007827761</v>
      </c>
      <c r="T40" s="64">
        <f>IFERROR(up_RadSpec!$M$4*T4,".")*$B$40</f>
        <v>4122.2317351598158</v>
      </c>
      <c r="U40" s="64">
        <f>IFERROR(up_RadSpec!$N$4*U4,".")*$B$40</f>
        <v>5730.3551043705156</v>
      </c>
      <c r="V40" s="64">
        <f>IFERROR(up_RadSpec!$O$4*V4,".")*$B$40</f>
        <v>6582.8594527486457</v>
      </c>
      <c r="W40" s="64">
        <f>IFERROR(up_RadSpec!$K$4*W4,".")*$B$40</f>
        <v>2232.1406389316694</v>
      </c>
      <c r="X40" s="73">
        <f t="shared" si="16"/>
        <v>1</v>
      </c>
      <c r="Y40" s="73">
        <f t="shared" si="12"/>
        <v>1</v>
      </c>
      <c r="Z40" s="73">
        <f t="shared" si="12"/>
        <v>1</v>
      </c>
      <c r="AA40" s="73">
        <f t="shared" si="12"/>
        <v>1</v>
      </c>
      <c r="AB40" s="73">
        <f t="shared" si="12"/>
        <v>1</v>
      </c>
      <c r="AC40" s="56">
        <f t="shared" si="26"/>
        <v>2.9090909090909089E-11</v>
      </c>
      <c r="AD40" s="56">
        <f t="shared" si="26"/>
        <v>1.5927272727272726E-7</v>
      </c>
      <c r="AE40" s="56">
        <f t="shared" si="17"/>
        <v>2.9085596653164224E-11</v>
      </c>
      <c r="AF40" s="64">
        <f>IFERROR(up_RadSpec!$G$4*AF4,".")*$B$40</f>
        <v>1909703125</v>
      </c>
      <c r="AG40" s="64">
        <f>IFERROR(up_RadSpec!$J$4*AG4,".")*$B$40</f>
        <v>348804.22374429216</v>
      </c>
      <c r="AH40" s="73">
        <f t="shared" si="18"/>
        <v>1</v>
      </c>
      <c r="AI40" s="73">
        <f t="shared" si="18"/>
        <v>1</v>
      </c>
      <c r="AJ40" s="73">
        <f t="shared" si="19"/>
        <v>1</v>
      </c>
    </row>
    <row r="41" spans="1:36" x14ac:dyDescent="0.25">
      <c r="A41" s="55" t="s">
        <v>299</v>
      </c>
      <c r="B41" s="57">
        <v>0.99987999999999999</v>
      </c>
      <c r="C41" s="56">
        <f>IFERROR(C8/$B41,0)</f>
        <v>3.636800052369921E-9</v>
      </c>
      <c r="D41" s="56">
        <f>IFERROR(D8/$B41,0)</f>
        <v>9.0261152227804538E-6</v>
      </c>
      <c r="E41" s="56">
        <f>IFERROR(E8/$B41,0)</f>
        <v>5.2803925622255007E-6</v>
      </c>
      <c r="F41" s="56">
        <f t="shared" si="20"/>
        <v>3.6328342455145807E-9</v>
      </c>
      <c r="G41" s="64">
        <f>IFERROR(up_RadSpec!$I$8*G8,".")*$B$41</f>
        <v>15275791.685000001</v>
      </c>
      <c r="H41" s="64">
        <f>IFERROR(up_RadSpec!$G$8*H8,".")*$B$41</f>
        <v>6154.9181047221919</v>
      </c>
      <c r="I41" s="64">
        <f>IFERROR(up_RadSpec!$F$8*I8,".")*$B$41</f>
        <v>10520.998078329521</v>
      </c>
      <c r="J41" s="73">
        <f t="shared" si="10"/>
        <v>1</v>
      </c>
      <c r="K41" s="73">
        <f t="shared" si="10"/>
        <v>1</v>
      </c>
      <c r="L41" s="73">
        <f t="shared" si="10"/>
        <v>1</v>
      </c>
      <c r="M41" s="73">
        <f t="shared" si="14"/>
        <v>1</v>
      </c>
      <c r="N41" s="56">
        <f t="shared" ref="N41:AD41" si="27">IFERROR(N8/$B41,0)</f>
        <v>5.2803925622255007E-6</v>
      </c>
      <c r="O41" s="56">
        <f t="shared" si="27"/>
        <v>9.6932155554038047E-6</v>
      </c>
      <c r="P41" s="56">
        <f t="shared" si="27"/>
        <v>7.0751452795470671E-6</v>
      </c>
      <c r="Q41" s="56">
        <f t="shared" si="27"/>
        <v>6.4867913982563713E-6</v>
      </c>
      <c r="R41" s="56">
        <f t="shared" si="27"/>
        <v>1.7960422486818002E-5</v>
      </c>
      <c r="S41" s="64">
        <f>IFERROR(up_RadSpec!$F$8*S8,".")*$B$41</f>
        <v>10520.998078329521</v>
      </c>
      <c r="T41" s="64">
        <f>IFERROR(up_RadSpec!$M$8*T8,".")*$B$41</f>
        <v>5731.328234935313</v>
      </c>
      <c r="U41" s="64">
        <f>IFERROR(up_RadSpec!$N$8*U8,".")*$B$41</f>
        <v>7852.1355823744279</v>
      </c>
      <c r="V41" s="64">
        <f>IFERROR(up_RadSpec!$O$8*V8,".")*$B$41</f>
        <v>8564.3265813870639</v>
      </c>
      <c r="W41" s="64">
        <f>IFERROR(up_RadSpec!$K$8*W8,".")*$B$41</f>
        <v>3093.1900427606547</v>
      </c>
      <c r="X41" s="73">
        <f t="shared" si="16"/>
        <v>1</v>
      </c>
      <c r="Y41" s="73">
        <f t="shared" si="12"/>
        <v>1</v>
      </c>
      <c r="Z41" s="73">
        <f t="shared" si="12"/>
        <v>1</v>
      </c>
      <c r="AA41" s="73">
        <f t="shared" si="12"/>
        <v>1</v>
      </c>
      <c r="AB41" s="73">
        <f t="shared" si="12"/>
        <v>1</v>
      </c>
      <c r="AC41" s="56">
        <f t="shared" si="27"/>
        <v>2.9094400418959364E-11</v>
      </c>
      <c r="AD41" s="56">
        <f t="shared" si="27"/>
        <v>1.5929184229380251E-7</v>
      </c>
      <c r="AE41" s="56">
        <f t="shared" si="17"/>
        <v>2.9089087343645458E-11</v>
      </c>
      <c r="AF41" s="64">
        <f>IFERROR(up_RadSpec!$G$8*AF8,".")*$B$41</f>
        <v>1909473960.625</v>
      </c>
      <c r="AG41" s="64">
        <f>IFERROR(up_RadSpec!$J$8*AG8,".")*$B$41</f>
        <v>348762.36723744287</v>
      </c>
      <c r="AH41" s="73">
        <f t="shared" si="18"/>
        <v>1</v>
      </c>
      <c r="AI41" s="73">
        <f t="shared" si="18"/>
        <v>1</v>
      </c>
      <c r="AJ41" s="73">
        <f t="shared" si="19"/>
        <v>1</v>
      </c>
    </row>
    <row r="42" spans="1:36" x14ac:dyDescent="0.25">
      <c r="A42" s="55" t="s">
        <v>300</v>
      </c>
      <c r="B42" s="50">
        <v>0.97898250799999997</v>
      </c>
      <c r="C42" s="56">
        <f>IFERROR(C19/$B42,0)</f>
        <v>3.714431674364131E-9</v>
      </c>
      <c r="D42" s="56">
        <f>IFERROR(D19/$B42,0)</f>
        <v>9.2187878896746543E-6</v>
      </c>
      <c r="E42" s="56">
        <f>IFERROR(E19/$B42,0)</f>
        <v>3.7334275877263396E-6</v>
      </c>
      <c r="F42" s="56">
        <f t="shared" si="20"/>
        <v>3.709246771705405E-9</v>
      </c>
      <c r="G42" s="74">
        <f>IFERROR(up_RadSpec!$I$19*G19,".")*$B$42</f>
        <v>14956527.6387835</v>
      </c>
      <c r="H42" s="74">
        <f>IFERROR(up_RadSpec!$G$19*H19,".")*$B$42</f>
        <v>6026.2803163334984</v>
      </c>
      <c r="I42" s="74">
        <f>IFERROR(up_RadSpec!$F$19*I19,".")*$B$42</f>
        <v>14880.427889545066</v>
      </c>
      <c r="J42" s="73">
        <f t="shared" si="10"/>
        <v>1</v>
      </c>
      <c r="K42" s="73">
        <f t="shared" si="10"/>
        <v>1</v>
      </c>
      <c r="L42" s="73">
        <f t="shared" si="10"/>
        <v>1</v>
      </c>
      <c r="M42" s="73">
        <f t="shared" si="14"/>
        <v>1</v>
      </c>
      <c r="N42" s="56">
        <f t="shared" ref="N42:AD42" si="28">IFERROR(N19/$B42,0)</f>
        <v>3.7334275877263396E-6</v>
      </c>
      <c r="O42" s="56">
        <f t="shared" si="28"/>
        <v>7.4048936703994236E-6</v>
      </c>
      <c r="P42" s="56">
        <f t="shared" si="28"/>
        <v>5.1330664881774284E-6</v>
      </c>
      <c r="Q42" s="56">
        <f t="shared" si="28"/>
        <v>4.287156882532978E-6</v>
      </c>
      <c r="R42" s="56">
        <f t="shared" si="28"/>
        <v>1.2751430676891291E-5</v>
      </c>
      <c r="S42" s="74">
        <f>IFERROR(up_RadSpec!$F$19*S19,".")*$B$42</f>
        <v>14880.427889545066</v>
      </c>
      <c r="T42" s="74">
        <f>IFERROR(up_RadSpec!$M$19*T19,".")*$B$42</f>
        <v>7502.4709972646151</v>
      </c>
      <c r="U42" s="74">
        <f>IFERROR(up_RadSpec!$N$19*U19,".")*$B$42</f>
        <v>10822.965205682658</v>
      </c>
      <c r="V42" s="74">
        <f>IFERROR(up_RadSpec!$O$19*V19,".")*$B$42</f>
        <v>12958.471435077616</v>
      </c>
      <c r="W42" s="74">
        <f>IFERROR(up_RadSpec!$K$19*W19,".")*$B$42</f>
        <v>4356.7660294526195</v>
      </c>
      <c r="X42" s="73">
        <f t="shared" si="16"/>
        <v>1</v>
      </c>
      <c r="Y42" s="73">
        <f t="shared" si="12"/>
        <v>1</v>
      </c>
      <c r="Z42" s="73">
        <f t="shared" si="12"/>
        <v>1</v>
      </c>
      <c r="AA42" s="73">
        <f t="shared" si="12"/>
        <v>1</v>
      </c>
      <c r="AB42" s="73">
        <f t="shared" si="12"/>
        <v>1</v>
      </c>
      <c r="AC42" s="56">
        <f t="shared" si="28"/>
        <v>2.9715453394913047E-11</v>
      </c>
      <c r="AD42" s="56">
        <f t="shared" si="28"/>
        <v>1.6269210733714892E-7</v>
      </c>
      <c r="AE42" s="56">
        <f t="shared" si="17"/>
        <v>2.9710026905980444E-11</v>
      </c>
      <c r="AF42" s="74">
        <f>IFERROR(up_RadSpec!$G$19*AF19,".")*$B$42</f>
        <v>1869565954.8479373</v>
      </c>
      <c r="AG42" s="74">
        <f>IFERROR(up_RadSpec!$J$19*AG19,".")*$B$42</f>
        <v>341473.23376218026</v>
      </c>
      <c r="AH42" s="73">
        <f t="shared" si="18"/>
        <v>1</v>
      </c>
      <c r="AI42" s="73">
        <f t="shared" si="18"/>
        <v>1</v>
      </c>
      <c r="AJ42" s="73">
        <f t="shared" si="19"/>
        <v>1</v>
      </c>
    </row>
    <row r="43" spans="1:36" x14ac:dyDescent="0.25">
      <c r="A43" s="55" t="s">
        <v>301</v>
      </c>
      <c r="B43" s="50">
        <v>2.0897492E-2</v>
      </c>
      <c r="C43" s="56">
        <f>IFERROR(C28/$B43,0)</f>
        <v>1.7400957188372825E-7</v>
      </c>
      <c r="D43" s="56">
        <f>IFERROR(D28/$B43,0)</f>
        <v>4.3187154175983031E-4</v>
      </c>
      <c r="E43" s="56">
        <f>IFERROR(E28/$B43,0)</f>
        <v>1.2447524495357338E-4</v>
      </c>
      <c r="F43" s="56">
        <f t="shared" si="20"/>
        <v>1.7369676746302958E-7</v>
      </c>
      <c r="G43" s="74">
        <f>IFERROR(up_RadSpec!$I$28*G28,".")*$B$43</f>
        <v>319264.04621649999</v>
      </c>
      <c r="H43" s="74">
        <f>IFERROR(up_RadSpec!$G$28*H28,".")*$B$43</f>
        <v>128.63778838869382</v>
      </c>
      <c r="I43" s="74">
        <f>IFERROR(up_RadSpec!$F$28*I28,".")*$B$43</f>
        <v>446.31364269032639</v>
      </c>
      <c r="J43" s="73">
        <f t="shared" si="10"/>
        <v>1</v>
      </c>
      <c r="K43" s="73">
        <f t="shared" si="10"/>
        <v>1</v>
      </c>
      <c r="L43" s="73">
        <f t="shared" si="10"/>
        <v>1</v>
      </c>
      <c r="M43" s="73">
        <f t="shared" si="14"/>
        <v>1</v>
      </c>
      <c r="N43" s="56">
        <f t="shared" ref="N43:AD43" si="29">IFERROR(N28/$B43,0)</f>
        <v>1.2447524495357338E-4</v>
      </c>
      <c r="O43" s="56">
        <f t="shared" si="29"/>
        <v>2.7756240506474132E-4</v>
      </c>
      <c r="P43" s="56">
        <f t="shared" si="29"/>
        <v>1.9270845128969139E-4</v>
      </c>
      <c r="Q43" s="56">
        <f t="shared" si="29"/>
        <v>1.6684751996732269E-4</v>
      </c>
      <c r="R43" s="56">
        <f t="shared" si="29"/>
        <v>4.8794493601554673E-4</v>
      </c>
      <c r="S43" s="74">
        <f>IFERROR(up_RadSpec!$F$28*S28,".")*$B$43</f>
        <v>446.31364269032639</v>
      </c>
      <c r="T43" s="74">
        <f>IFERROR(up_RadSpec!$M$28*T28,".")*$B$43</f>
        <v>200.15318712576297</v>
      </c>
      <c r="U43" s="74">
        <f>IFERROR(up_RadSpec!$N$28*U28,".")*$B$43</f>
        <v>288.28522894663422</v>
      </c>
      <c r="V43" s="74">
        <f>IFERROR(up_RadSpec!$O$28*V28,".")*$B$43</f>
        <v>332.96868908138714</v>
      </c>
      <c r="W43" s="74">
        <f>IFERROR(up_RadSpec!$K$28*W28,".")*$B$43</f>
        <v>113.85506006815059</v>
      </c>
      <c r="X43" s="73">
        <f t="shared" si="16"/>
        <v>1</v>
      </c>
      <c r="Y43" s="73">
        <f t="shared" si="12"/>
        <v>1</v>
      </c>
      <c r="Z43" s="73">
        <f t="shared" si="12"/>
        <v>1</v>
      </c>
      <c r="AA43" s="73">
        <f t="shared" si="12"/>
        <v>1</v>
      </c>
      <c r="AB43" s="73">
        <f t="shared" si="12"/>
        <v>1</v>
      </c>
      <c r="AC43" s="56">
        <f t="shared" si="29"/>
        <v>1.392076575069826E-9</v>
      </c>
      <c r="AD43" s="56">
        <f t="shared" si="29"/>
        <v>7.6216192485072977E-6</v>
      </c>
      <c r="AE43" s="56">
        <f t="shared" si="17"/>
        <v>1.3918223609399737E-9</v>
      </c>
      <c r="AF43" s="74">
        <f>IFERROR(up_RadSpec!$G$28*AF28,".")*$B$43</f>
        <v>39908005.777062498</v>
      </c>
      <c r="AG43" s="74">
        <f>IFERROR(up_RadSpec!$J$28*AG28,".")*$B$43</f>
        <v>7289.1334752625553</v>
      </c>
      <c r="AH43" s="73">
        <f t="shared" si="18"/>
        <v>1</v>
      </c>
      <c r="AI43" s="73">
        <f t="shared" si="18"/>
        <v>1</v>
      </c>
      <c r="AJ43" s="73">
        <f t="shared" si="19"/>
        <v>1</v>
      </c>
    </row>
    <row r="44" spans="1:36" x14ac:dyDescent="0.25">
      <c r="A44" s="55" t="s">
        <v>302</v>
      </c>
      <c r="B44" s="50">
        <v>0.99987999999999999</v>
      </c>
      <c r="C44" s="56">
        <f>IFERROR(C15/$B44,0)</f>
        <v>3.636800052369921E-9</v>
      </c>
      <c r="D44" s="56">
        <f>IFERROR(D15/$B44,0)</f>
        <v>9.0261152227804538E-6</v>
      </c>
      <c r="E44" s="56">
        <f>IFERROR(E15/$B44,0)</f>
        <v>0</v>
      </c>
      <c r="F44" s="56">
        <f t="shared" si="20"/>
        <v>3.6353353039928369E-9</v>
      </c>
      <c r="G44" s="64">
        <f>IFERROR(up_RadSpec!$I$15*G15,".")*$B$44</f>
        <v>15275791.685000001</v>
      </c>
      <c r="H44" s="64">
        <f>IFERROR(up_RadSpec!$G$15*H15,".")*$B$44</f>
        <v>6154.9181047221919</v>
      </c>
      <c r="I44" s="64">
        <f>IFERROR(up_RadSpec!$F$15*I15,".")*$B$44</f>
        <v>0</v>
      </c>
      <c r="J44" s="73">
        <f t="shared" si="10"/>
        <v>1</v>
      </c>
      <c r="K44" s="73">
        <f t="shared" si="10"/>
        <v>1</v>
      </c>
      <c r="L44" s="73">
        <f t="shared" si="10"/>
        <v>0</v>
      </c>
      <c r="M44" s="73">
        <f t="shared" si="14"/>
        <v>1</v>
      </c>
      <c r="N44" s="56">
        <f t="shared" ref="N44:AD44" si="30">IFERROR(N15/$B44,0)</f>
        <v>0</v>
      </c>
      <c r="O44" s="56">
        <f t="shared" si="30"/>
        <v>0</v>
      </c>
      <c r="P44" s="56">
        <f t="shared" si="30"/>
        <v>0</v>
      </c>
      <c r="Q44" s="56">
        <f t="shared" si="30"/>
        <v>0</v>
      </c>
      <c r="R44" s="56">
        <f t="shared" si="30"/>
        <v>0</v>
      </c>
      <c r="S44" s="64">
        <f>IFERROR(up_RadSpec!$F$15*S15,".")*$B$44</f>
        <v>0</v>
      </c>
      <c r="T44" s="64">
        <f>IFERROR(up_RadSpec!$M$15*T15,".")*$B$44</f>
        <v>0</v>
      </c>
      <c r="U44" s="64">
        <f>IFERROR(up_RadSpec!$N$15*U15,".")*$B$44</f>
        <v>0</v>
      </c>
      <c r="V44" s="64">
        <f>IFERROR(up_RadSpec!$O$15*V15,".")*$B$44</f>
        <v>0</v>
      </c>
      <c r="W44" s="64">
        <f>IFERROR(up_RadSpec!$K$15*W15,".")*$B$44</f>
        <v>0</v>
      </c>
      <c r="X44" s="73">
        <f t="shared" si="16"/>
        <v>0</v>
      </c>
      <c r="Y44" s="73">
        <f t="shared" si="12"/>
        <v>0</v>
      </c>
      <c r="Z44" s="73">
        <f t="shared" si="12"/>
        <v>0</v>
      </c>
      <c r="AA44" s="73">
        <f t="shared" si="12"/>
        <v>0</v>
      </c>
      <c r="AB44" s="73">
        <f t="shared" si="12"/>
        <v>0</v>
      </c>
      <c r="AC44" s="56">
        <f t="shared" si="30"/>
        <v>2.9094400418959364E-11</v>
      </c>
      <c r="AD44" s="56">
        <f t="shared" si="30"/>
        <v>1.5929184229380251E-7</v>
      </c>
      <c r="AE44" s="56">
        <f t="shared" si="17"/>
        <v>2.9089087343645458E-11</v>
      </c>
      <c r="AF44" s="64">
        <f>IFERROR(up_RadSpec!$G$15*AF15,".")*$B$44</f>
        <v>1909473960.625</v>
      </c>
      <c r="AG44" s="64">
        <f>IFERROR(up_RadSpec!$J$15*AG15,".")*$B$44</f>
        <v>348762.36723744287</v>
      </c>
      <c r="AH44" s="73">
        <f t="shared" si="18"/>
        <v>1</v>
      </c>
      <c r="AI44" s="73">
        <f t="shared" si="18"/>
        <v>1</v>
      </c>
      <c r="AJ44" s="73">
        <f t="shared" si="19"/>
        <v>1</v>
      </c>
    </row>
    <row r="45" spans="1:36" x14ac:dyDescent="0.25">
      <c r="A45" s="52" t="s">
        <v>20</v>
      </c>
      <c r="B45" s="52" t="s">
        <v>289</v>
      </c>
      <c r="C45" s="53">
        <f>IFERROR(IF(AND(C46&lt;&gt;0,C47&lt;&gt;0),1/SUM(1/C46,1/C47),IF(AND(C46&lt;&gt;0,C47=0),1/(1/C46),IF(AND(C46=0,C47&lt;&gt;0),1/(1/C47),IF(AND(C46=0,C47=0),".")))),".")</f>
        <v>1.8705670483714608E-9</v>
      </c>
      <c r="D45" s="53">
        <f t="shared" ref="D45:F45" si="31">IFERROR(IF(AND(D46&lt;&gt;0,D47&lt;&gt;0),1/SUM(1/D46,1/D47),IF(AND(D46&lt;&gt;0,D47=0),1/(1/D46),IF(AND(D46=0,D47&lt;&gt;0),1/(1/D47),IF(AND(D46=0,D47=0),".")))),".")</f>
        <v>4.6425300999252675E-6</v>
      </c>
      <c r="E45" s="53">
        <f t="shared" si="31"/>
        <v>2.3619228255008183E-6</v>
      </c>
      <c r="F45" s="54">
        <f t="shared" si="31"/>
        <v>1.868334598450551E-9</v>
      </c>
      <c r="G45" s="71"/>
      <c r="H45" s="71"/>
      <c r="I45" s="71"/>
      <c r="J45" s="72">
        <f>IFERROR(IF(SUM(G46:G47)&gt;0.01,1-EXP(-SUM(G46:G47)),SUM(G46:G47)),".")</f>
        <v>1</v>
      </c>
      <c r="K45" s="72">
        <f>IFERROR(IF(SUM(H46:H47)&gt;0.01,1-EXP(-SUM(H46:H47)),SUM(H46:H47)),".")</f>
        <v>1</v>
      </c>
      <c r="L45" s="72">
        <f>IFERROR(IF(SUM(I46:I47)&gt;0.01,1-EXP(-SUM(I46:I47)),SUM(I46:I47)),".")</f>
        <v>1</v>
      </c>
      <c r="M45" s="72">
        <f>IFERROR(IF(SUM(G46:I47)&gt;0.01,1-EXP(-SUM(G46:I47)),SUM(G46:I47)),".")</f>
        <v>1</v>
      </c>
      <c r="N45" s="53">
        <f t="shared" ref="N45:AE45" si="32">IFERROR(IF(AND(N46&lt;&gt;0,N47&lt;&gt;0),1/SUM(1/N46,1/N47),IF(AND(N46&lt;&gt;0,N47=0),1/(1/N46),IF(AND(N46=0,N47&lt;&gt;0),1/(1/N47),IF(AND(N46=0,N47=0),".")))),".")</f>
        <v>2.3619228255008183E-6</v>
      </c>
      <c r="O45" s="53">
        <f t="shared" si="32"/>
        <v>4.0304374552807868E-6</v>
      </c>
      <c r="P45" s="53">
        <f t="shared" si="32"/>
        <v>2.8637265186322225E-6</v>
      </c>
      <c r="Q45" s="53">
        <f t="shared" si="32"/>
        <v>2.4917090520755079E-6</v>
      </c>
      <c r="R45" s="53">
        <f t="shared" si="32"/>
        <v>6.7729291215221662E-6</v>
      </c>
      <c r="S45" s="71"/>
      <c r="T45" s="71"/>
      <c r="U45" s="71"/>
      <c r="V45" s="71"/>
      <c r="W45" s="71"/>
      <c r="X45" s="72">
        <f>IFERROR(IF(SUM(S46:S47)&gt;0.01,1-EXP(-SUM(S46:S47)),SUM(S46:S47)),".")</f>
        <v>1</v>
      </c>
      <c r="Y45" s="72">
        <f t="shared" ref="Y45:AB45" si="33">IFERROR(IF(SUM(T46:T47)&gt;0.01,1-EXP(-SUM(T46:T47)),SUM(T46:T47)),".")</f>
        <v>1</v>
      </c>
      <c r="Z45" s="72">
        <f t="shared" si="33"/>
        <v>1</v>
      </c>
      <c r="AA45" s="72">
        <f t="shared" si="33"/>
        <v>1</v>
      </c>
      <c r="AB45" s="72">
        <f t="shared" si="33"/>
        <v>1</v>
      </c>
      <c r="AC45" s="53">
        <f t="shared" si="32"/>
        <v>1.4964536386971686E-11</v>
      </c>
      <c r="AD45" s="53">
        <f t="shared" si="32"/>
        <v>8.1930836718669983E-8</v>
      </c>
      <c r="AE45" s="54">
        <f t="shared" si="32"/>
        <v>1.4961803637448867E-11</v>
      </c>
      <c r="AF45" s="71"/>
      <c r="AG45" s="71"/>
      <c r="AH45" s="72">
        <f>IFERROR(IF(SUM(AF46:AF47)&gt;0.01,1-EXP(-SUM(AF46:AF47)),SUM(AF46:AF47)),".")</f>
        <v>1</v>
      </c>
      <c r="AI45" s="72">
        <f>IFERROR(IF(SUM(AG46:AG47)&gt;0.01,1-EXP(-SUM(AG46:AG47)),SUM(AG46:AG47)),".")</f>
        <v>1</v>
      </c>
      <c r="AJ45" s="72">
        <f>IFERROR(IF(SUM(AF46:AG47)&gt;0.01,1-EXP(-SUM(AF46:AG47)),SUM(AF46:AG47)),".")</f>
        <v>1</v>
      </c>
    </row>
    <row r="46" spans="1:36" x14ac:dyDescent="0.25">
      <c r="A46" s="55" t="s">
        <v>303</v>
      </c>
      <c r="B46" s="50">
        <v>1</v>
      </c>
      <c r="C46" s="56">
        <f>IFERROR(C10/$B46,0)</f>
        <v>3.6363636363636364E-9</v>
      </c>
      <c r="D46" s="56">
        <f>IFERROR(D10/$B46,0)</f>
        <v>9.0250320889537196E-6</v>
      </c>
      <c r="E46" s="56">
        <f>IFERROR(E10/$B46,0)</f>
        <v>4.9753766233766233E-6</v>
      </c>
      <c r="F46" s="56">
        <f t="shared" si="20"/>
        <v>3.632245426353803E-9</v>
      </c>
      <c r="G46" s="64">
        <f>IFERROR(up_RadSpec!$I$10*G10,".")*$B$46</f>
        <v>15277625</v>
      </c>
      <c r="H46" s="64">
        <f>IFERROR(up_RadSpec!$G$10*H10,".")*$B$46</f>
        <v>6155.6567835362166</v>
      </c>
      <c r="I46" s="64">
        <f>IFERROR(up_RadSpec!$F$10*I10,".")*$B$46</f>
        <v>11165.988869863013</v>
      </c>
      <c r="J46" s="73">
        <f t="shared" ref="J46:L47" si="34">IFERROR(IF(G46&gt;0.01,1-EXP(-G46),G46),".")</f>
        <v>1</v>
      </c>
      <c r="K46" s="73">
        <f t="shared" si="34"/>
        <v>1</v>
      </c>
      <c r="L46" s="73">
        <f t="shared" si="34"/>
        <v>1</v>
      </c>
      <c r="M46" s="73">
        <f t="shared" ref="M46:M47" si="35">IFERROR(IF(SUM(G46:I46)&gt;0.01,1-EXP(-SUM(G46:I46)),SUM(G46:I46)),".")</f>
        <v>1</v>
      </c>
      <c r="N46" s="56">
        <f t="shared" ref="N46:AD46" si="36">IFERROR(N10/$B46,0)</f>
        <v>4.9753766233766233E-6</v>
      </c>
      <c r="O46" s="56">
        <f t="shared" si="36"/>
        <v>7.7529581529581501E-6</v>
      </c>
      <c r="P46" s="56">
        <f t="shared" si="36"/>
        <v>5.5366265416759942E-6</v>
      </c>
      <c r="Q46" s="56">
        <f t="shared" si="36"/>
        <v>5.0638919313618114E-6</v>
      </c>
      <c r="R46" s="56">
        <f t="shared" si="36"/>
        <v>1.3033370352742081E-5</v>
      </c>
      <c r="S46" s="64">
        <f>IFERROR(up_RadSpec!$F$10*S10,".")*$B46</f>
        <v>11165.988869863013</v>
      </c>
      <c r="T46" s="64">
        <f>IFERROR(up_RadSpec!$M$10*T10,".")*$B46</f>
        <v>7165.6519877903529</v>
      </c>
      <c r="U46" s="64">
        <f>IFERROR(up_RadSpec!$N$10*U10,".")*$B46</f>
        <v>10034.088371650027</v>
      </c>
      <c r="V46" s="64">
        <f>IFERROR(up_RadSpec!$O$10*V10,".")*$B46</f>
        <v>10970.810742609949</v>
      </c>
      <c r="W46" s="64">
        <f>IFERROR(up_RadSpec!$K$10*W10,".")*$B46</f>
        <v>4262.5198622021671</v>
      </c>
      <c r="X46" s="73">
        <f t="shared" ref="X46:AB47" si="37">IFERROR(IF(S46&gt;0.01,1-EXP(-S46),S46),".")</f>
        <v>1</v>
      </c>
      <c r="Y46" s="73">
        <f t="shared" si="37"/>
        <v>1</v>
      </c>
      <c r="Z46" s="73">
        <f t="shared" si="37"/>
        <v>1</v>
      </c>
      <c r="AA46" s="73">
        <f t="shared" si="37"/>
        <v>1</v>
      </c>
      <c r="AB46" s="73">
        <f t="shared" si="37"/>
        <v>1</v>
      </c>
      <c r="AC46" s="56">
        <f t="shared" si="36"/>
        <v>2.9090909090909089E-11</v>
      </c>
      <c r="AD46" s="56">
        <f t="shared" si="36"/>
        <v>1.5927272727272726E-7</v>
      </c>
      <c r="AE46" s="56">
        <f t="shared" ref="AE46:AE47" si="38">IFERROR(IF(AND(AC46&lt;&gt;0,AD46&lt;&gt;0),1/((1/AC46)+(1/AD46)),IF(AND(AC46&lt;&gt;0,AD46=0),1/((1/AC46)),IF(AND(AC46=0,AD46&lt;&gt;0),1/((1/AD46)),IF(AND(AC46=0,AD46=0),0)))),0)</f>
        <v>2.9085596653164224E-11</v>
      </c>
      <c r="AF46" s="64">
        <f>IFERROR(up_RadSpec!$G$10*AF10,".")*$B$46</f>
        <v>1909703125</v>
      </c>
      <c r="AG46" s="64">
        <f>IFERROR(up_RadSpec!$J$10*AG10,".")*$B$46</f>
        <v>348804.22374429216</v>
      </c>
      <c r="AH46" s="73">
        <f>IFERROR(IF(AF46&gt;0.01,1-EXP(-AF46),AF46),".")</f>
        <v>1</v>
      </c>
      <c r="AI46" s="73">
        <f>IFERROR(IF(AG46&gt;0.01,1-EXP(-AG46),AG46),".")</f>
        <v>1</v>
      </c>
      <c r="AJ46" s="73">
        <f>IFERROR(IF(SUM(AF46:AG46)&gt;0.01,1-EXP(-SUM(AF46:AG46)),SUM(AF46:AG46)),".")</f>
        <v>1</v>
      </c>
    </row>
    <row r="47" spans="1:36" x14ac:dyDescent="0.25">
      <c r="A47" s="55" t="s">
        <v>304</v>
      </c>
      <c r="B47" s="58">
        <v>0.94399</v>
      </c>
      <c r="C47" s="56">
        <f>IFERROR(C6/$B$47,0)</f>
        <v>3.8521209296323442E-9</v>
      </c>
      <c r="D47" s="56">
        <f>IFERROR(D6/$B$47,0)</f>
        <v>9.5605166251270878E-6</v>
      </c>
      <c r="E47" s="56">
        <f>IFERROR(E6/$B$47,0)</f>
        <v>4.496523191558974E-6</v>
      </c>
      <c r="F47" s="56">
        <f t="shared" si="20"/>
        <v>3.8472748694373336E-9</v>
      </c>
      <c r="G47" s="64">
        <f>IFERROR(up_RadSpec!$I$6*G6,".")*$B$47</f>
        <v>14421925.223750001</v>
      </c>
      <c r="H47" s="64">
        <f>IFERROR(up_RadSpec!$G$6*H6,".")*$B$47</f>
        <v>5810.8784470903529</v>
      </c>
      <c r="I47" s="64">
        <f>IFERROR(up_RadSpec!$F$6*I6,".")*$B$47</f>
        <v>12355.101404634081</v>
      </c>
      <c r="J47" s="73">
        <f t="shared" si="34"/>
        <v>1</v>
      </c>
      <c r="K47" s="73">
        <f t="shared" si="34"/>
        <v>1</v>
      </c>
      <c r="L47" s="73">
        <f t="shared" si="34"/>
        <v>1</v>
      </c>
      <c r="M47" s="73">
        <f t="shared" si="35"/>
        <v>1</v>
      </c>
      <c r="N47" s="56">
        <f t="shared" ref="N47:AD47" si="39">IFERROR(N6/$B$47,0)</f>
        <v>4.496523191558974E-6</v>
      </c>
      <c r="O47" s="56">
        <f t="shared" si="39"/>
        <v>8.3942617024007131E-6</v>
      </c>
      <c r="P47" s="56">
        <f t="shared" si="39"/>
        <v>5.9319032191504109E-6</v>
      </c>
      <c r="Q47" s="56">
        <f t="shared" si="39"/>
        <v>4.9054619971684757E-6</v>
      </c>
      <c r="R47" s="56">
        <f t="shared" si="39"/>
        <v>1.4100299060944834E-5</v>
      </c>
      <c r="S47" s="64">
        <f>IFERROR(up_RadSpec!$F$6*S6,".")*$B47</f>
        <v>12355.101404634081</v>
      </c>
      <c r="T47" s="64">
        <f>IFERROR(up_RadSpec!$M$6*T6,".")*$B47</f>
        <v>6618.2115794783449</v>
      </c>
      <c r="U47" s="64">
        <f>IFERROR(up_RadSpec!$N$6*U6,".")*$B47</f>
        <v>9365.4596084183577</v>
      </c>
      <c r="V47" s="64">
        <f>IFERROR(up_RadSpec!$O$6*V6,".")*$B47</f>
        <v>11325.131054336447</v>
      </c>
      <c r="W47" s="64">
        <f>IFERROR(up_RadSpec!$K$6*W6,".")*$B47</f>
        <v>3939.9873548694322</v>
      </c>
      <c r="X47" s="73">
        <f t="shared" si="37"/>
        <v>1</v>
      </c>
      <c r="Y47" s="73">
        <f t="shared" si="37"/>
        <v>1</v>
      </c>
      <c r="Z47" s="73">
        <f t="shared" si="37"/>
        <v>1</v>
      </c>
      <c r="AA47" s="73">
        <f t="shared" si="37"/>
        <v>1</v>
      </c>
      <c r="AB47" s="73">
        <f t="shared" si="37"/>
        <v>1</v>
      </c>
      <c r="AC47" s="56">
        <f t="shared" si="39"/>
        <v>3.0816967437058749E-11</v>
      </c>
      <c r="AD47" s="56">
        <f t="shared" si="39"/>
        <v>1.6872289671789665E-7</v>
      </c>
      <c r="AE47" s="56">
        <f t="shared" si="38"/>
        <v>3.0811339795087044E-11</v>
      </c>
      <c r="AF47" s="64">
        <f>IFERROR(up_RadSpec!$G$6*AF6,".")*$B$47</f>
        <v>1802740652.96875</v>
      </c>
      <c r="AG47" s="64">
        <f>IFERROR(up_RadSpec!$J$6*AG6,".")*$B$47</f>
        <v>329267.69917237438</v>
      </c>
      <c r="AH47" s="73">
        <f>IFERROR(IF(AF47&gt;0.01,1-EXP(-AF47),AF47),".")</f>
        <v>1</v>
      </c>
      <c r="AI47" s="73">
        <f>IFERROR(IF(AG47&gt;0.01,1-EXP(-AG47),AG47),".")</f>
        <v>1</v>
      </c>
      <c r="AJ47" s="73">
        <f>IFERROR(IF(SUM(AF47:AG47)&gt;0.01,1-EXP(-SUM(AF47:AG47)),SUM(AF47:AG47)),".")</f>
        <v>1</v>
      </c>
    </row>
    <row r="48" spans="1:36" x14ac:dyDescent="0.25">
      <c r="A48" s="52" t="s">
        <v>33</v>
      </c>
      <c r="B48" s="52" t="s">
        <v>289</v>
      </c>
      <c r="C48" s="53">
        <f>1/SUM(1/C49,1/C52,1/C54,1/C58,1/C59,1/C61)</f>
        <v>6.060808289575989E-10</v>
      </c>
      <c r="D48" s="53">
        <f>1/SUM(1/D49,1/D50,1/D51,1/D52,1/D54,1/D58,1/D59,1/D61)</f>
        <v>1.1281572432542275E-6</v>
      </c>
      <c r="E48" s="53">
        <f>1/SUM(1/E49,1/E50,1/E52,1/E54,1/E55,1/E56,1/E57,1/E58,1/E59,1/E60,1/E61,1/E62)</f>
        <v>5.9730603257587573E-7</v>
      </c>
      <c r="F48" s="54">
        <f>1/SUM(1/F49,1/F50,1/F51,1/F52,1/F54,1/F55,1/F56,1/F57,1/F58,1/F59,1/F60,1/F61,1/F62)</f>
        <v>4.0361373247342744E-10</v>
      </c>
      <c r="G48" s="71"/>
      <c r="H48" s="71"/>
      <c r="I48" s="71"/>
      <c r="J48" s="72">
        <f>IFERROR(IF(SUM(G49:G62)&gt;0.01,1-EXP(-SUM(G49:G62)),SUM(G49:G62)),".")</f>
        <v>1</v>
      </c>
      <c r="K48" s="72">
        <f>IFERROR(IF(SUM(H49:H62)&gt;0.01,1-EXP(-SUM(H49:H62)),SUM(H49:H62)),".")</f>
        <v>1</v>
      </c>
      <c r="L48" s="72">
        <f>IFERROR(IF(SUM(I49:I62)&gt;0.01,1-EXP(-SUM(I49:I62)),SUM(I49:I62)),".")</f>
        <v>1</v>
      </c>
      <c r="M48" s="72">
        <f>IFERROR(IF(SUM(G49:I62)&gt;0.01,1-EXP(-SUM(G49:I62)),SUM(G49:I62)),".")</f>
        <v>1</v>
      </c>
      <c r="N48" s="53">
        <f t="shared" ref="N48:R48" si="40">1/SUM(1/N49,1/N50,1/N52,1/N54,1/N55,1/N56,1/N57,1/N58,1/N59,1/N60,1/N61,1/N62)</f>
        <v>5.9730603257587573E-7</v>
      </c>
      <c r="O48" s="53">
        <f t="shared" si="40"/>
        <v>1.1243919358138257E-6</v>
      </c>
      <c r="P48" s="53">
        <f t="shared" si="40"/>
        <v>7.9968513615528212E-7</v>
      </c>
      <c r="Q48" s="53">
        <f t="shared" si="40"/>
        <v>6.7669381505905337E-7</v>
      </c>
      <c r="R48" s="53">
        <f t="shared" si="40"/>
        <v>1.9339257525101659E-6</v>
      </c>
      <c r="S48" s="71"/>
      <c r="T48" s="71"/>
      <c r="U48" s="71"/>
      <c r="V48" s="71"/>
      <c r="W48" s="71"/>
      <c r="X48" s="72">
        <f>IFERROR(IF(SUM(S49:S62)&gt;0.01,1-EXP(-SUM(S49:S62)),SUM(S49:S62)),".")</f>
        <v>1</v>
      </c>
      <c r="Y48" s="72">
        <f t="shared" ref="Y48:AB48" si="41">IFERROR(IF(SUM(T49:T62)&gt;0.01,1-EXP(-SUM(T49:T62)),SUM(T49:T62)),".")</f>
        <v>1</v>
      </c>
      <c r="Z48" s="72">
        <f t="shared" si="41"/>
        <v>1</v>
      </c>
      <c r="AA48" s="72">
        <f t="shared" si="41"/>
        <v>1</v>
      </c>
      <c r="AB48" s="72">
        <f t="shared" si="41"/>
        <v>1</v>
      </c>
      <c r="AC48" s="53">
        <f>1/SUM(1/AC49,1/AC50,1/AC51,1/AC52,1/AC54,1/AC58,1/AC59,1/AC61)</f>
        <v>3.6364546386409682E-12</v>
      </c>
      <c r="AD48" s="53">
        <f t="shared" ref="AD48:AE48" si="42">1/SUM(1/AD49,1/AD50,1/AD51,1/AD52,1/AD53,1/AD54,1/AD55,1/AD56,1/AD57,1/AD58,1/AD59,1/AD60,1/AD61,1/AD62)</f>
        <v>1.7696967026694004E-8</v>
      </c>
      <c r="AE48" s="54">
        <f t="shared" si="42"/>
        <v>3.2317324738301693E-12</v>
      </c>
      <c r="AF48" s="71"/>
      <c r="AG48" s="71"/>
      <c r="AH48" s="72">
        <f>IFERROR(IF(SUM(AF49:AF62)&gt;0.01,1-EXP(-SUM(AF49:AF62)),SUM(AF49:AF62)),".")</f>
        <v>1</v>
      </c>
      <c r="AI48" s="72">
        <f>IFERROR(IF(SUM(AG49:AG62)&gt;0.01,1-EXP(-SUM(AG49:AG62)),SUM(AG49:AG62)),".")</f>
        <v>1</v>
      </c>
      <c r="AJ48" s="72">
        <f>IFERROR(IF(SUM(AF49:AG62)&gt;0.01,1-EXP(-SUM(AF49:AG62)),SUM(AF49:AG62)),".")</f>
        <v>1</v>
      </c>
    </row>
    <row r="49" spans="1:36" x14ac:dyDescent="0.25">
      <c r="A49" s="55" t="s">
        <v>305</v>
      </c>
      <c r="B49" s="50">
        <v>1</v>
      </c>
      <c r="C49" s="56">
        <f>IFERROR(C23/$B49,0)</f>
        <v>3.6363636363636364E-9</v>
      </c>
      <c r="D49" s="56">
        <f>IFERROR(D23/$B49,0)</f>
        <v>9.0250320889537196E-6</v>
      </c>
      <c r="E49" s="56">
        <f>IFERROR(E23/$B49,0)</f>
        <v>3.500392353284914E-6</v>
      </c>
      <c r="F49" s="56">
        <f t="shared" si="20"/>
        <v>3.6311284049537353E-9</v>
      </c>
      <c r="G49" s="64">
        <f>IFERROR(up_RadSpec!$I$23*G23,".")*$B$49</f>
        <v>15277625</v>
      </c>
      <c r="H49" s="64">
        <f>IFERROR(up_RadSpec!$G$23*H23,".")*$B$49</f>
        <v>6155.6567835362166</v>
      </c>
      <c r="I49" s="64">
        <f>IFERROR(up_RadSpec!$F$23*I23,".")*$B$49</f>
        <v>15871.077980119819</v>
      </c>
      <c r="J49" s="73">
        <f t="shared" ref="J49:L62" si="43">IFERROR(IF(G49&gt;0.01,1-EXP(-G49),G49),".")</f>
        <v>1</v>
      </c>
      <c r="K49" s="73">
        <f t="shared" si="43"/>
        <v>1</v>
      </c>
      <c r="L49" s="73">
        <f t="shared" si="43"/>
        <v>1</v>
      </c>
      <c r="M49" s="73">
        <f t="shared" ref="M49:M62" si="44">IFERROR(IF(SUM(G49:I49)&gt;0.01,1-EXP(-SUM(G49:I49)),SUM(G49:I49)),".")</f>
        <v>1</v>
      </c>
      <c r="N49" s="56">
        <f t="shared" ref="N49:AD49" si="45">IFERROR(N23/$B49,0)</f>
        <v>3.500392353284914E-6</v>
      </c>
      <c r="O49" s="56">
        <f t="shared" si="45"/>
        <v>6.2307642417036039E-6</v>
      </c>
      <c r="P49" s="56">
        <f t="shared" si="45"/>
        <v>4.4059313285674297E-6</v>
      </c>
      <c r="Q49" s="56">
        <f t="shared" si="45"/>
        <v>3.6055144855144848E-6</v>
      </c>
      <c r="R49" s="56">
        <f t="shared" si="45"/>
        <v>9.8081956878073364E-6</v>
      </c>
      <c r="S49" s="64">
        <f>IFERROR(up_RadSpec!$F$23*S23,".")*$B$49</f>
        <v>15871.077980119819</v>
      </c>
      <c r="T49" s="64">
        <f>IFERROR(up_RadSpec!$M$23*T23,".")*$B$49</f>
        <v>8916.2417072629032</v>
      </c>
      <c r="U49" s="64">
        <f>IFERROR(up_RadSpec!$N$23*U23,".")*$B$49</f>
        <v>12609.138875994118</v>
      </c>
      <c r="V49" s="64">
        <f>IFERROR(up_RadSpec!$O$23*V23,".")*$B$49</f>
        <v>15408.341922684751</v>
      </c>
      <c r="W49" s="64">
        <f>IFERROR(up_RadSpec!$K$23*W23,".")*$B$49</f>
        <v>5664.1406603521327</v>
      </c>
      <c r="X49" s="73">
        <f t="shared" ref="X49:AB62" si="46">IFERROR(IF(S49&gt;0.01,1-EXP(-S49),S49),".")</f>
        <v>1</v>
      </c>
      <c r="Y49" s="73">
        <f t="shared" si="46"/>
        <v>1</v>
      </c>
      <c r="Z49" s="73">
        <f t="shared" si="46"/>
        <v>1</v>
      </c>
      <c r="AA49" s="73">
        <f t="shared" si="46"/>
        <v>1</v>
      </c>
      <c r="AB49" s="73">
        <f t="shared" si="46"/>
        <v>1</v>
      </c>
      <c r="AC49" s="56">
        <f t="shared" si="45"/>
        <v>2.9090909090909089E-11</v>
      </c>
      <c r="AD49" s="56">
        <f t="shared" si="45"/>
        <v>1.5927272727272726E-7</v>
      </c>
      <c r="AE49" s="56">
        <f t="shared" ref="AE49:AE62" si="47">IFERROR(IF(AND(AC49&lt;&gt;0,AD49&lt;&gt;0),1/((1/AC49)+(1/AD49)),IF(AND(AC49&lt;&gt;0,AD49=0),1/((1/AC49)),IF(AND(AC49=0,AD49&lt;&gt;0),1/((1/AD49)),IF(AND(AC49=0,AD49=0),0)))),0)</f>
        <v>2.9085596653164224E-11</v>
      </c>
      <c r="AF49" s="64">
        <f>IFERROR(up_RadSpec!$G$23*AF23,".")*$B$49</f>
        <v>1909703125</v>
      </c>
      <c r="AG49" s="64">
        <f>IFERROR(up_RadSpec!$J$23*AG23,".")*$B$49</f>
        <v>348804.22374429216</v>
      </c>
      <c r="AH49" s="73">
        <f t="shared" ref="AH49:AI62" si="48">IFERROR(IF(AF49&gt;0.01,1-EXP(-AF49),AF49),".")</f>
        <v>1</v>
      </c>
      <c r="AI49" s="73">
        <f t="shared" si="48"/>
        <v>1</v>
      </c>
      <c r="AJ49" s="73">
        <f t="shared" ref="AJ49:AJ62" si="49">IFERROR(IF(SUM(AF49:AG49)&gt;0.01,1-EXP(-SUM(AF49:AG49)),SUM(AF49:AG49)),".")</f>
        <v>1</v>
      </c>
    </row>
    <row r="50" spans="1:36" x14ac:dyDescent="0.25">
      <c r="A50" s="55" t="s">
        <v>306</v>
      </c>
      <c r="B50" s="50">
        <v>1</v>
      </c>
      <c r="C50" s="56">
        <f>IFERROR(C25/$B50,0)</f>
        <v>3.6363636363636364E-9</v>
      </c>
      <c r="D50" s="56">
        <f>IFERROR(D25/$B50,0)</f>
        <v>9.0250320889537196E-6</v>
      </c>
      <c r="E50" s="56">
        <f>IFERROR(E25/$B50,0)</f>
        <v>5.117196056955094E-6</v>
      </c>
      <c r="F50" s="56">
        <f t="shared" si="20"/>
        <v>3.6323189178157529E-9</v>
      </c>
      <c r="G50" s="64">
        <f>IFERROR(up_RadSpec!$I$25*G25,".")*$B$50</f>
        <v>15277625</v>
      </c>
      <c r="H50" s="64">
        <f>IFERROR(up_RadSpec!$G$25*H25,".")*$B$50</f>
        <v>6155.6567835362166</v>
      </c>
      <c r="I50" s="64">
        <f>IFERROR(up_RadSpec!$F$25*I25,".")*$B$50</f>
        <v>10856.531464041092</v>
      </c>
      <c r="J50" s="73">
        <f t="shared" si="43"/>
        <v>1</v>
      </c>
      <c r="K50" s="73">
        <f t="shared" si="43"/>
        <v>1</v>
      </c>
      <c r="L50" s="73">
        <f t="shared" si="43"/>
        <v>1</v>
      </c>
      <c r="M50" s="73">
        <f t="shared" si="44"/>
        <v>1</v>
      </c>
      <c r="N50" s="56">
        <f t="shared" ref="N50:AD50" si="50">IFERROR(N25/$B50,0)</f>
        <v>5.117196056955094E-6</v>
      </c>
      <c r="O50" s="56">
        <f t="shared" si="50"/>
        <v>9.1638362553616773E-6</v>
      </c>
      <c r="P50" s="56">
        <f t="shared" si="50"/>
        <v>6.5732694272020127E-6</v>
      </c>
      <c r="Q50" s="56">
        <f t="shared" si="50"/>
        <v>5.8697641341709141E-6</v>
      </c>
      <c r="R50" s="56">
        <f t="shared" si="50"/>
        <v>1.6429752066115701E-5</v>
      </c>
      <c r="S50" s="64">
        <f>IFERROR(up_RadSpec!$F$25*S25,".")*$B$50</f>
        <v>10856.531464041092</v>
      </c>
      <c r="T50" s="64">
        <f>IFERROR(up_RadSpec!$M$25*T25,".")*$B$50</f>
        <v>6062.4173601416405</v>
      </c>
      <c r="U50" s="64">
        <f>IFERROR(up_RadSpec!$N$25*U25,".")*$B$50</f>
        <v>8451.6541753329002</v>
      </c>
      <c r="V50" s="64">
        <f>IFERROR(up_RadSpec!$O$25*V25,".")*$B$50</f>
        <v>9464.6051749483049</v>
      </c>
      <c r="W50" s="64">
        <f>IFERROR(up_RadSpec!$K$25*W25,".")*$B$50</f>
        <v>3381.3656941649897</v>
      </c>
      <c r="X50" s="73">
        <f t="shared" si="46"/>
        <v>1</v>
      </c>
      <c r="Y50" s="73">
        <f t="shared" si="46"/>
        <v>1</v>
      </c>
      <c r="Z50" s="73">
        <f t="shared" si="46"/>
        <v>1</v>
      </c>
      <c r="AA50" s="73">
        <f t="shared" si="46"/>
        <v>1</v>
      </c>
      <c r="AB50" s="73">
        <f t="shared" si="46"/>
        <v>1</v>
      </c>
      <c r="AC50" s="56">
        <f t="shared" si="50"/>
        <v>2.9090909090909089E-11</v>
      </c>
      <c r="AD50" s="56">
        <f t="shared" si="50"/>
        <v>1.5927272727272726E-7</v>
      </c>
      <c r="AE50" s="56">
        <f t="shared" si="47"/>
        <v>2.9085596653164224E-11</v>
      </c>
      <c r="AF50" s="64">
        <f>IFERROR(up_RadSpec!$G$25*AF$25,".")*$B$50</f>
        <v>1909703125</v>
      </c>
      <c r="AG50" s="64">
        <f>IFERROR(up_RadSpec!$J$25*AG25,".")*$B$50</f>
        <v>348804.22374429216</v>
      </c>
      <c r="AH50" s="73">
        <f t="shared" si="48"/>
        <v>1</v>
      </c>
      <c r="AI50" s="73">
        <f t="shared" si="48"/>
        <v>1</v>
      </c>
      <c r="AJ50" s="73">
        <f t="shared" si="49"/>
        <v>1</v>
      </c>
    </row>
    <row r="51" spans="1:36" x14ac:dyDescent="0.25">
      <c r="A51" s="55" t="s">
        <v>307</v>
      </c>
      <c r="B51" s="50">
        <v>1</v>
      </c>
      <c r="C51" s="56">
        <f>IFERROR(C21/$B51,0)</f>
        <v>3.6363636363636364E-9</v>
      </c>
      <c r="D51" s="56">
        <f>IFERROR(D21/$B51,0)</f>
        <v>9.0250320889537196E-6</v>
      </c>
      <c r="E51" s="56">
        <f>IFERROR(E21/$B51,0)</f>
        <v>0</v>
      </c>
      <c r="F51" s="56">
        <f t="shared" si="20"/>
        <v>3.6348990637563577E-9</v>
      </c>
      <c r="G51" s="64">
        <f>IFERROR(up_RadSpec!$I$21*G21,".")*$B$51</f>
        <v>15277625</v>
      </c>
      <c r="H51" s="64">
        <f>IFERROR(up_RadSpec!$G$21*H21,".")*$B$51</f>
        <v>6155.6567835362166</v>
      </c>
      <c r="I51" s="64">
        <f>IFERROR(up_RadSpec!$F$21*I21,".")*$B$51</f>
        <v>0</v>
      </c>
      <c r="J51" s="73">
        <f t="shared" si="43"/>
        <v>1</v>
      </c>
      <c r="K51" s="73">
        <f t="shared" si="43"/>
        <v>1</v>
      </c>
      <c r="L51" s="73">
        <f t="shared" si="43"/>
        <v>0</v>
      </c>
      <c r="M51" s="73">
        <f t="shared" si="44"/>
        <v>1</v>
      </c>
      <c r="N51" s="56">
        <f t="shared" ref="N51:AD51" si="51">IFERROR(N21/$B51,0)</f>
        <v>0</v>
      </c>
      <c r="O51" s="56">
        <f t="shared" si="51"/>
        <v>0</v>
      </c>
      <c r="P51" s="56">
        <f t="shared" si="51"/>
        <v>0</v>
      </c>
      <c r="Q51" s="56">
        <f t="shared" si="51"/>
        <v>0</v>
      </c>
      <c r="R51" s="56">
        <f t="shared" si="51"/>
        <v>0</v>
      </c>
      <c r="S51" s="64">
        <f>IFERROR(up_RadSpec!$F$21*S21,".")*$B$51</f>
        <v>0</v>
      </c>
      <c r="T51" s="64">
        <f>IFERROR(up_RadSpec!$M$21*T21,".")*$B$51</f>
        <v>0</v>
      </c>
      <c r="U51" s="64">
        <f>IFERROR(up_RadSpec!$N$21*U21,".")*$B$51</f>
        <v>0</v>
      </c>
      <c r="V51" s="64">
        <f>IFERROR(up_RadSpec!$O$21*V21,".")*$B$51</f>
        <v>0</v>
      </c>
      <c r="W51" s="64">
        <f>IFERROR(up_RadSpec!$K$21*W21,".")*$B$51</f>
        <v>0</v>
      </c>
      <c r="X51" s="73">
        <f t="shared" si="46"/>
        <v>0</v>
      </c>
      <c r="Y51" s="73">
        <f t="shared" si="46"/>
        <v>0</v>
      </c>
      <c r="Z51" s="73">
        <f t="shared" si="46"/>
        <v>0</v>
      </c>
      <c r="AA51" s="73">
        <f t="shared" si="46"/>
        <v>0</v>
      </c>
      <c r="AB51" s="73">
        <f t="shared" si="46"/>
        <v>0</v>
      </c>
      <c r="AC51" s="56">
        <f t="shared" si="51"/>
        <v>2.9090909090909089E-11</v>
      </c>
      <c r="AD51" s="56">
        <f t="shared" si="51"/>
        <v>1.5927272727272726E-7</v>
      </c>
      <c r="AE51" s="56">
        <f t="shared" si="47"/>
        <v>2.9085596653164224E-11</v>
      </c>
      <c r="AF51" s="64">
        <f>IFERROR(up_RadSpec!$G$21*AF21,".")*$B$51</f>
        <v>1909703125</v>
      </c>
      <c r="AG51" s="64">
        <f>IFERROR(up_RadSpec!$J$21*AG21,".")*$B$51</f>
        <v>348804.22374429216</v>
      </c>
      <c r="AH51" s="73">
        <f t="shared" si="48"/>
        <v>1</v>
      </c>
      <c r="AI51" s="73">
        <f t="shared" si="48"/>
        <v>1</v>
      </c>
      <c r="AJ51" s="73">
        <f t="shared" si="49"/>
        <v>1</v>
      </c>
    </row>
    <row r="52" spans="1:36" x14ac:dyDescent="0.25">
      <c r="A52" s="55" t="s">
        <v>308</v>
      </c>
      <c r="B52" s="58">
        <v>0.99980000000000002</v>
      </c>
      <c r="C52" s="56">
        <f>IFERROR(C17/$B52,0)</f>
        <v>3.6370910545745514E-9</v>
      </c>
      <c r="D52" s="56">
        <f>IFERROR(D17/$B52,0)</f>
        <v>9.0268374564450091E-6</v>
      </c>
      <c r="E52" s="56">
        <f>IFERROR(E17/$B52,0)</f>
        <v>7.0342285694447E-6</v>
      </c>
      <c r="F52" s="56">
        <f t="shared" si="20"/>
        <v>3.6337480939615323E-9</v>
      </c>
      <c r="G52" s="64">
        <f>IFERROR(up_RadSpec!$I$17*G17,".")*$B$52</f>
        <v>15274569.475</v>
      </c>
      <c r="H52" s="64">
        <f>IFERROR(up_RadSpec!$G$17*H17,".")*$B$52</f>
        <v>6154.4256521795096</v>
      </c>
      <c r="I52" s="64">
        <f>IFERROR(up_RadSpec!$F$17*I17,".")*$B$52</f>
        <v>7897.8098950778967</v>
      </c>
      <c r="J52" s="73">
        <f t="shared" si="43"/>
        <v>1</v>
      </c>
      <c r="K52" s="73">
        <f t="shared" si="43"/>
        <v>1</v>
      </c>
      <c r="L52" s="73">
        <f t="shared" si="43"/>
        <v>1</v>
      </c>
      <c r="M52" s="73">
        <f t="shared" si="44"/>
        <v>1</v>
      </c>
      <c r="N52" s="56">
        <f t="shared" ref="N52:AD52" si="52">IFERROR(N17/$B52,0)</f>
        <v>7.0342285694447E-6</v>
      </c>
      <c r="O52" s="56">
        <f t="shared" si="52"/>
        <v>1.229378552079273E-5</v>
      </c>
      <c r="P52" s="56">
        <f t="shared" si="52"/>
        <v>9.2623153705958528E-6</v>
      </c>
      <c r="Q52" s="56">
        <f t="shared" si="52"/>
        <v>8.2363423450425837E-6</v>
      </c>
      <c r="R52" s="56">
        <f t="shared" si="52"/>
        <v>2.3556566311846341E-5</v>
      </c>
      <c r="S52" s="64">
        <f>IFERROR(up_RadSpec!$F$17*S17,".")*$B$52</f>
        <v>7897.8098950778967</v>
      </c>
      <c r="T52" s="64">
        <f>IFERROR(up_RadSpec!$M$17*T17,".")*$B$52</f>
        <v>4518.9498308750117</v>
      </c>
      <c r="U52" s="64">
        <f>IFERROR(up_RadSpec!$N$17*U17,".")*$B$52</f>
        <v>5997.9603130730047</v>
      </c>
      <c r="V52" s="64">
        <f>IFERROR(up_RadSpec!$O$17*V17,".")*$B$52</f>
        <v>6745.1057365820034</v>
      </c>
      <c r="W52" s="64">
        <f>IFERROR(up_RadSpec!$K$17*W17,".")*$B$52</f>
        <v>2358.3657849175574</v>
      </c>
      <c r="X52" s="73">
        <f t="shared" si="46"/>
        <v>1</v>
      </c>
      <c r="Y52" s="73">
        <f t="shared" si="46"/>
        <v>1</v>
      </c>
      <c r="Z52" s="73">
        <f t="shared" si="46"/>
        <v>1</v>
      </c>
      <c r="AA52" s="73">
        <f t="shared" si="46"/>
        <v>1</v>
      </c>
      <c r="AB52" s="73">
        <f t="shared" si="46"/>
        <v>1</v>
      </c>
      <c r="AC52" s="56">
        <f t="shared" si="52"/>
        <v>2.9096728436596409E-11</v>
      </c>
      <c r="AD52" s="56">
        <f t="shared" si="52"/>
        <v>1.5930458819036533E-7</v>
      </c>
      <c r="AE52" s="56">
        <f t="shared" si="47"/>
        <v>2.909141493615145E-11</v>
      </c>
      <c r="AF52" s="64">
        <f>IFERROR(up_RadSpec!$G$17*AF17,".")*$B$52</f>
        <v>1909321184.375</v>
      </c>
      <c r="AG52" s="64">
        <f>IFERROR(up_RadSpec!$J$17*AG17,".")*$B$52</f>
        <v>348734.46289954329</v>
      </c>
      <c r="AH52" s="73">
        <f t="shared" si="48"/>
        <v>1</v>
      </c>
      <c r="AI52" s="73">
        <f t="shared" si="48"/>
        <v>1</v>
      </c>
      <c r="AJ52" s="73">
        <f t="shared" si="49"/>
        <v>1</v>
      </c>
    </row>
    <row r="53" spans="1:36" x14ac:dyDescent="0.25">
      <c r="A53" s="55" t="s">
        <v>309</v>
      </c>
      <c r="B53" s="50">
        <v>2.0000000000000001E-4</v>
      </c>
      <c r="C53" s="56">
        <f>IFERROR(C5/$B53,0)</f>
        <v>1.8181818181818182E-5</v>
      </c>
      <c r="D53" s="56">
        <f>IFERROR(D5/$B53,0)</f>
        <v>4.5125160444768594E-2</v>
      </c>
      <c r="E53" s="56">
        <f>IFERROR(E5/$B53,0)</f>
        <v>0</v>
      </c>
      <c r="F53" s="56">
        <f t="shared" si="20"/>
        <v>1.8174495318781785E-5</v>
      </c>
      <c r="G53" s="64">
        <f>IFERROR(up_RadSpec!$I$5*G5,".")*$B$53</f>
        <v>3055.5250000000001</v>
      </c>
      <c r="H53" s="64">
        <f>IFERROR(up_RadSpec!$G$5*H5,".")*$B$53</f>
        <v>1.2311313567072433</v>
      </c>
      <c r="I53" s="64">
        <f>IFERROR(up_RadSpec!$F$5*I5,".")*$B$53</f>
        <v>0</v>
      </c>
      <c r="J53" s="73">
        <f t="shared" si="43"/>
        <v>1</v>
      </c>
      <c r="K53" s="73">
        <f t="shared" si="43"/>
        <v>0.70803792249532926</v>
      </c>
      <c r="L53" s="73">
        <f t="shared" si="43"/>
        <v>0</v>
      </c>
      <c r="M53" s="73">
        <f t="shared" si="44"/>
        <v>1</v>
      </c>
      <c r="N53" s="56">
        <f t="shared" ref="N53:AD53" si="53">IFERROR(N5/$B53,0)</f>
        <v>0</v>
      </c>
      <c r="O53" s="56">
        <f t="shared" si="53"/>
        <v>0</v>
      </c>
      <c r="P53" s="56">
        <f t="shared" si="53"/>
        <v>0</v>
      </c>
      <c r="Q53" s="56">
        <f t="shared" si="53"/>
        <v>0</v>
      </c>
      <c r="R53" s="56">
        <f t="shared" si="53"/>
        <v>0</v>
      </c>
      <c r="S53" s="64">
        <f>IFERROR(up_RadSpec!$F$5*S5,".")*$B$53</f>
        <v>0</v>
      </c>
      <c r="T53" s="64">
        <f>IFERROR(up_RadSpec!$M$5*T5,".")*$B$53</f>
        <v>0</v>
      </c>
      <c r="U53" s="64">
        <f>IFERROR(up_RadSpec!$N$5*U5,".")*$B$53</f>
        <v>0</v>
      </c>
      <c r="V53" s="64">
        <f>IFERROR(up_RadSpec!$O$5*V5,".")*$B$53</f>
        <v>0</v>
      </c>
      <c r="W53" s="64">
        <f>IFERROR(up_RadSpec!$K$5*W5,".")*$B$53</f>
        <v>0</v>
      </c>
      <c r="X53" s="73">
        <f t="shared" si="46"/>
        <v>0</v>
      </c>
      <c r="Y53" s="73">
        <f t="shared" si="46"/>
        <v>0</v>
      </c>
      <c r="Z53" s="73">
        <f t="shared" si="46"/>
        <v>0</v>
      </c>
      <c r="AA53" s="73">
        <f t="shared" si="46"/>
        <v>0</v>
      </c>
      <c r="AB53" s="73">
        <f t="shared" si="46"/>
        <v>0</v>
      </c>
      <c r="AC53" s="56">
        <f t="shared" si="53"/>
        <v>1.4545454545454543E-7</v>
      </c>
      <c r="AD53" s="56">
        <f t="shared" si="53"/>
        <v>7.9636363636363628E-4</v>
      </c>
      <c r="AE53" s="56">
        <f t="shared" si="47"/>
        <v>1.4542798326582108E-7</v>
      </c>
      <c r="AF53" s="64">
        <f>IFERROR(up_RadSpec!$G$5*AF5,".")*$B$53</f>
        <v>381940.625</v>
      </c>
      <c r="AG53" s="64">
        <f>IFERROR(up_RadSpec!$J$5*AG5,".")*$B$53</f>
        <v>69.760844748858432</v>
      </c>
      <c r="AH53" s="73">
        <f t="shared" si="48"/>
        <v>1</v>
      </c>
      <c r="AI53" s="73">
        <f t="shared" si="48"/>
        <v>1</v>
      </c>
      <c r="AJ53" s="73">
        <f t="shared" si="49"/>
        <v>1</v>
      </c>
    </row>
    <row r="54" spans="1:36" x14ac:dyDescent="0.25">
      <c r="A54" s="55" t="s">
        <v>310</v>
      </c>
      <c r="B54" s="50">
        <v>0.99999979999999999</v>
      </c>
      <c r="C54" s="56">
        <f>IFERROR(C9/$B54,0)</f>
        <v>3.6363643636365093E-9</v>
      </c>
      <c r="D54" s="56">
        <f>IFERROR(D9/$B54,0)</f>
        <v>9.0250338939604981E-6</v>
      </c>
      <c r="E54" s="56">
        <f>IFERROR(E9/$B54,0)</f>
        <v>2.6002186505370886E-6</v>
      </c>
      <c r="F54" s="56">
        <f t="shared" si="20"/>
        <v>3.6298255819786717E-9</v>
      </c>
      <c r="G54" s="64">
        <f>IFERROR(up_RadSpec!$I$9*G9,".")*$B$54</f>
        <v>15277621.944475001</v>
      </c>
      <c r="H54" s="64">
        <f>IFERROR(up_RadSpec!$G$9*H9,".")*$B$54</f>
        <v>6155.6555524048599</v>
      </c>
      <c r="I54" s="64">
        <f>IFERROR(up_RadSpec!$F$9*I9,".")*$B$54</f>
        <v>21365.510930599936</v>
      </c>
      <c r="J54" s="73">
        <f t="shared" si="43"/>
        <v>1</v>
      </c>
      <c r="K54" s="73">
        <f t="shared" si="43"/>
        <v>1</v>
      </c>
      <c r="L54" s="73">
        <f t="shared" si="43"/>
        <v>1</v>
      </c>
      <c r="M54" s="73">
        <f t="shared" si="44"/>
        <v>1</v>
      </c>
      <c r="N54" s="56">
        <f t="shared" ref="N54:AD54" si="54">IFERROR(N9/$B54,0)</f>
        <v>2.6002186505370886E-6</v>
      </c>
      <c r="O54" s="56">
        <f t="shared" si="54"/>
        <v>5.3256828833183967E-6</v>
      </c>
      <c r="P54" s="56">
        <f t="shared" si="54"/>
        <v>3.7472546918109186E-6</v>
      </c>
      <c r="Q54" s="56">
        <f t="shared" si="54"/>
        <v>3.0889262376199586E-6</v>
      </c>
      <c r="R54" s="56">
        <f t="shared" si="54"/>
        <v>9.4332728410522865E-6</v>
      </c>
      <c r="S54" s="64">
        <f>IFERROR(up_RadSpec!$F$9*S9,".")*$B$54</f>
        <v>21365.510930599936</v>
      </c>
      <c r="T54" s="64">
        <f>IFERROR(up_RadSpec!$M$9*T9,".")*$B$54</f>
        <v>10431.526100439543</v>
      </c>
      <c r="U54" s="64">
        <f>IFERROR(up_RadSpec!$N$9*U9,".")*$B$54</f>
        <v>14825.520165844979</v>
      </c>
      <c r="V54" s="64">
        <f>IFERROR(up_RadSpec!$O$9*V9,".")*$B$54</f>
        <v>17985.214189771512</v>
      </c>
      <c r="W54" s="64">
        <f>IFERROR(up_RadSpec!$K$9*W9,".")*$B$54</f>
        <v>5889.2603803668626</v>
      </c>
      <c r="X54" s="73">
        <f t="shared" si="46"/>
        <v>1</v>
      </c>
      <c r="Y54" s="73">
        <f t="shared" si="46"/>
        <v>1</v>
      </c>
      <c r="Z54" s="73">
        <f t="shared" si="46"/>
        <v>1</v>
      </c>
      <c r="AA54" s="73">
        <f t="shared" si="46"/>
        <v>1</v>
      </c>
      <c r="AB54" s="73">
        <f t="shared" si="46"/>
        <v>1</v>
      </c>
      <c r="AC54" s="56">
        <f t="shared" si="54"/>
        <v>2.909091490909207E-11</v>
      </c>
      <c r="AD54" s="56">
        <f t="shared" si="54"/>
        <v>1.5927275912727909E-7</v>
      </c>
      <c r="AE54" s="56">
        <f t="shared" si="47"/>
        <v>2.9085602470284717E-11</v>
      </c>
      <c r="AF54" s="64">
        <f>IFERROR(up_RadSpec!$G$9*AF9,".")*$B$54</f>
        <v>1909702743.059375</v>
      </c>
      <c r="AG54" s="64">
        <f>IFERROR(up_RadSpec!$J$9*AG9,".")*$B$54</f>
        <v>348804.15398344741</v>
      </c>
      <c r="AH54" s="73">
        <f t="shared" si="48"/>
        <v>1</v>
      </c>
      <c r="AI54" s="73">
        <f t="shared" si="48"/>
        <v>1</v>
      </c>
      <c r="AJ54" s="73">
        <f t="shared" si="49"/>
        <v>1</v>
      </c>
    </row>
    <row r="55" spans="1:36" x14ac:dyDescent="0.25">
      <c r="A55" s="55" t="s">
        <v>311</v>
      </c>
      <c r="B55" s="50">
        <v>1.9999999999999999E-7</v>
      </c>
      <c r="C55" s="56">
        <f>IFERROR(C24/$B55,0)</f>
        <v>1.8181818181818184E-2</v>
      </c>
      <c r="D55" s="56">
        <f>IFERROR(D24/$B55,0)</f>
        <v>45.125160444768603</v>
      </c>
      <c r="E55" s="56">
        <f>IFERROR(E24/$B55,0)</f>
        <v>22.943681137790271</v>
      </c>
      <c r="F55" s="56">
        <f t="shared" si="20"/>
        <v>1.8160110058053288E-2</v>
      </c>
      <c r="G55" s="64">
        <f>IFERROR(up_RadSpec!$I$24*G24,".")*$B$55</f>
        <v>3.0555249999999998</v>
      </c>
      <c r="H55" s="64">
        <f>IFERROR(up_RadSpec!$G$24*H24,".")*$B$55</f>
        <v>1.2311313567072433E-3</v>
      </c>
      <c r="I55" s="64">
        <f>IFERROR(up_RadSpec!$F$24*I24,".")*$B$55</f>
        <v>2.4213638459478059E-3</v>
      </c>
      <c r="J55" s="73">
        <f t="shared" si="43"/>
        <v>0.95290201216511283</v>
      </c>
      <c r="K55" s="73">
        <f t="shared" si="43"/>
        <v>1.2311313567072433E-3</v>
      </c>
      <c r="L55" s="73">
        <f t="shared" si="43"/>
        <v>2.4213638459478059E-3</v>
      </c>
      <c r="M55" s="73">
        <f t="shared" si="44"/>
        <v>0.95307372356131292</v>
      </c>
      <c r="N55" s="56">
        <f t="shared" ref="N55:AD55" si="55">IFERROR(N24/$B55,0)</f>
        <v>22.943681137790271</v>
      </c>
      <c r="O55" s="56">
        <f t="shared" si="55"/>
        <v>41.59723721131018</v>
      </c>
      <c r="P55" s="56">
        <f t="shared" si="55"/>
        <v>29.370337401551669</v>
      </c>
      <c r="Q55" s="56">
        <f t="shared" si="55"/>
        <v>24.526136013662963</v>
      </c>
      <c r="R55" s="56">
        <f t="shared" si="55"/>
        <v>69.134865134865109</v>
      </c>
      <c r="S55" s="64">
        <f>IFERROR(up_RadSpec!$F$24*S24,".")*$B$55</f>
        <v>2.4213638459478059E-3</v>
      </c>
      <c r="T55" s="64">
        <f>IFERROR(up_RadSpec!$M$24*T24,".")*$B$55</f>
        <v>1.3355454286010787E-3</v>
      </c>
      <c r="U55" s="64">
        <f>IFERROR(up_RadSpec!$N$24*U24,".")*$B$55</f>
        <v>1.8915342796526728E-3</v>
      </c>
      <c r="V55" s="64">
        <f>IFERROR(up_RadSpec!$O$24*V24,".")*$B$55</f>
        <v>2.2651346289954337E-3</v>
      </c>
      <c r="W55" s="64">
        <f>IFERROR(up_RadSpec!$K$24*W24,".")*$B$55</f>
        <v>8.0357428761343289E-4</v>
      </c>
      <c r="X55" s="73">
        <f t="shared" si="46"/>
        <v>2.4213638459478059E-3</v>
      </c>
      <c r="Y55" s="73">
        <f t="shared" si="46"/>
        <v>1.3355454286010787E-3</v>
      </c>
      <c r="Z55" s="73">
        <f t="shared" si="46"/>
        <v>1.8915342796526728E-3</v>
      </c>
      <c r="AA55" s="73">
        <f t="shared" si="46"/>
        <v>2.2651346289954337E-3</v>
      </c>
      <c r="AB55" s="73">
        <f t="shared" si="46"/>
        <v>8.0357428761343289E-4</v>
      </c>
      <c r="AC55" s="56">
        <f t="shared" si="55"/>
        <v>1.4545454545454546E-4</v>
      </c>
      <c r="AD55" s="56">
        <f t="shared" si="55"/>
        <v>0.79636363636363638</v>
      </c>
      <c r="AE55" s="56">
        <f t="shared" si="47"/>
        <v>1.4542798326582112E-4</v>
      </c>
      <c r="AF55" s="64">
        <f>IFERROR(up_RadSpec!$G$24*AF24,".")*$B$55</f>
        <v>381.94062499999995</v>
      </c>
      <c r="AG55" s="64">
        <f>IFERROR(up_RadSpec!$J$24*AG24,".")*$B$55</f>
        <v>6.9760844748858436E-2</v>
      </c>
      <c r="AH55" s="73">
        <f t="shared" si="48"/>
        <v>1</v>
      </c>
      <c r="AI55" s="73">
        <f t="shared" si="48"/>
        <v>6.7383166549522144E-2</v>
      </c>
      <c r="AJ55" s="73">
        <f t="shared" si="49"/>
        <v>1</v>
      </c>
    </row>
    <row r="56" spans="1:36" x14ac:dyDescent="0.25">
      <c r="A56" s="55" t="s">
        <v>312</v>
      </c>
      <c r="B56" s="50">
        <v>0.99979000004200003</v>
      </c>
      <c r="C56" s="56">
        <f>IFERROR(C20/$B56,0)</f>
        <v>3.6371274329718012E-9</v>
      </c>
      <c r="D56" s="56">
        <f>IFERROR(D20/$B56,0)</f>
        <v>9.0269277434007028E-6</v>
      </c>
      <c r="E56" s="56">
        <f>IFERROR(E20/$B56,0)</f>
        <v>3.5946960422736805E-6</v>
      </c>
      <c r="F56" s="56">
        <f t="shared" si="20"/>
        <v>3.6319891720506608E-9</v>
      </c>
      <c r="G56" s="64">
        <f>IFERROR(up_RadSpec!$I$20*G20,".")*$B$56</f>
        <v>15274416.699391661</v>
      </c>
      <c r="H56" s="64">
        <f>IFERROR(up_RadSpec!$G$20*H20,".")*$B$56</f>
        <v>6154.3640958702117</v>
      </c>
      <c r="I56" s="64">
        <f>IFERROR(up_RadSpec!$F$20*I20,".")*$B$56</f>
        <v>15454.714208565156</v>
      </c>
      <c r="J56" s="73">
        <f t="shared" si="43"/>
        <v>1</v>
      </c>
      <c r="K56" s="73">
        <f t="shared" si="43"/>
        <v>1</v>
      </c>
      <c r="L56" s="73">
        <f t="shared" si="43"/>
        <v>1</v>
      </c>
      <c r="M56" s="73">
        <f t="shared" si="44"/>
        <v>1</v>
      </c>
      <c r="N56" s="56">
        <f t="shared" ref="N56:AD56" si="56">IFERROR(N20/$B56,0)</f>
        <v>3.5946960422736805E-6</v>
      </c>
      <c r="O56" s="56">
        <f t="shared" si="56"/>
        <v>7.089081048046034E-6</v>
      </c>
      <c r="P56" s="56">
        <f t="shared" si="56"/>
        <v>4.9600825761736329E-6</v>
      </c>
      <c r="Q56" s="56">
        <f t="shared" si="56"/>
        <v>4.1648674918735938E-6</v>
      </c>
      <c r="R56" s="56">
        <f t="shared" si="56"/>
        <v>1.2079522776261757E-5</v>
      </c>
      <c r="S56" s="64">
        <f>IFERROR(up_RadSpec!$F$20*S20,".")*$B$56</f>
        <v>15454.714208565156</v>
      </c>
      <c r="T56" s="64">
        <f>IFERROR(up_RadSpec!$M$20*T20,".")*$B$56</f>
        <v>7836.6997955697861</v>
      </c>
      <c r="U56" s="64">
        <f>IFERROR(up_RadSpec!$N$20*U20,".")*$B$56</f>
        <v>11200.418369416926</v>
      </c>
      <c r="V56" s="64">
        <f>IFERROR(up_RadSpec!$O$20*V20,".")*$B$56</f>
        <v>13338.959788852297</v>
      </c>
      <c r="W56" s="64">
        <f>IFERROR(up_RadSpec!$K$20*W20,".")*$B$56</f>
        <v>4599.1055299945028</v>
      </c>
      <c r="X56" s="73">
        <f t="shared" si="46"/>
        <v>1</v>
      </c>
      <c r="Y56" s="73">
        <f t="shared" si="46"/>
        <v>1</v>
      </c>
      <c r="Z56" s="73">
        <f t="shared" si="46"/>
        <v>1</v>
      </c>
      <c r="AA56" s="73">
        <f t="shared" si="46"/>
        <v>1</v>
      </c>
      <c r="AB56" s="73">
        <f t="shared" si="46"/>
        <v>1</v>
      </c>
      <c r="AC56" s="56">
        <f t="shared" si="56"/>
        <v>2.9097019463774407E-11</v>
      </c>
      <c r="AD56" s="56">
        <f t="shared" si="56"/>
        <v>1.5930618156416487E-7</v>
      </c>
      <c r="AE56" s="56">
        <f t="shared" si="47"/>
        <v>2.9091705910183507E-11</v>
      </c>
      <c r="AF56" s="64">
        <f>IFERROR(up_RadSpec!$G$20*AF20,".")*$B$56</f>
        <v>1909302087.4239576</v>
      </c>
      <c r="AG56" s="64">
        <f>IFERROR(up_RadSpec!$J$20*AG20,".")*$B$56</f>
        <v>348730.97487195564</v>
      </c>
      <c r="AH56" s="73">
        <f t="shared" si="48"/>
        <v>1</v>
      </c>
      <c r="AI56" s="73">
        <f t="shared" si="48"/>
        <v>1</v>
      </c>
      <c r="AJ56" s="73">
        <f t="shared" si="49"/>
        <v>1</v>
      </c>
    </row>
    <row r="57" spans="1:36" x14ac:dyDescent="0.25">
      <c r="A57" s="55" t="s">
        <v>313</v>
      </c>
      <c r="B57" s="50">
        <v>2.0999995799999999E-4</v>
      </c>
      <c r="C57" s="56">
        <f>IFERROR(C29/$B57,0)</f>
        <v>1.7316020779221475E-5</v>
      </c>
      <c r="D57" s="56">
        <f>IFERROR(D29/$B57,0)</f>
        <v>4.2976351876002378E-2</v>
      </c>
      <c r="E57" s="56">
        <f>IFERROR(E29/$B57,0)</f>
        <v>1.3469593212689498E-2</v>
      </c>
      <c r="F57" s="56">
        <f t="shared" si="20"/>
        <v>1.7286832248250486E-5</v>
      </c>
      <c r="G57" s="64">
        <f>IFERROR(up_RadSpec!$I$29*G29,".")*$B$57</f>
        <v>3208.3006083397499</v>
      </c>
      <c r="H57" s="64">
        <f>IFERROR(up_RadSpec!$G$29*H29,".")*$B$57</f>
        <v>1.2926876660050206</v>
      </c>
      <c r="I57" s="64">
        <f>IFERROR(up_RadSpec!$F$29*I29,".")*$B$57</f>
        <v>4.1244749654104238</v>
      </c>
      <c r="J57" s="73">
        <f t="shared" si="43"/>
        <v>1</v>
      </c>
      <c r="K57" s="73">
        <f t="shared" si="43"/>
        <v>0.72546805951030835</v>
      </c>
      <c r="L57" s="73">
        <f t="shared" si="43"/>
        <v>0.98382801678987186</v>
      </c>
      <c r="M57" s="73">
        <f t="shared" si="44"/>
        <v>1</v>
      </c>
      <c r="N57" s="56">
        <f t="shared" ref="N57:AD57" si="57">IFERROR(N29/$B57,0)</f>
        <v>1.3469593212689498E-2</v>
      </c>
      <c r="O57" s="56">
        <f t="shared" si="57"/>
        <v>2.6878109727410501E-2</v>
      </c>
      <c r="P57" s="56">
        <f t="shared" si="57"/>
        <v>1.9147851056235173E-2</v>
      </c>
      <c r="Q57" s="56">
        <f t="shared" si="57"/>
        <v>1.6242320930781859E-2</v>
      </c>
      <c r="R57" s="56">
        <f t="shared" si="57"/>
        <v>4.8264472462811847E-2</v>
      </c>
      <c r="S57" s="64">
        <f>IFERROR(up_RadSpec!$F$29*S29,".")*$B$57</f>
        <v>4.1244749654104238</v>
      </c>
      <c r="T57" s="64">
        <f>IFERROR(up_RadSpec!$M$29*T29,".")*$B$57</f>
        <v>2.0669236253375578</v>
      </c>
      <c r="U57" s="64">
        <f>IFERROR(up_RadSpec!$N$29*U29,".")*$B$57</f>
        <v>2.9013699676710956</v>
      </c>
      <c r="V57" s="64">
        <f>IFERROR(up_RadSpec!$O$29*V29,".")*$B$57</f>
        <v>3.4203855616911345</v>
      </c>
      <c r="W57" s="64">
        <f>IFERROR(up_RadSpec!$K$29*W29,".")*$B$57</f>
        <v>1.1510537081453764</v>
      </c>
      <c r="X57" s="73">
        <f t="shared" si="46"/>
        <v>0.98382801678987186</v>
      </c>
      <c r="Y57" s="73">
        <f t="shared" si="46"/>
        <v>0.87342542582434091</v>
      </c>
      <c r="Z57" s="73">
        <f t="shared" si="46"/>
        <v>0.94505210836569664</v>
      </c>
      <c r="AA57" s="73">
        <f t="shared" si="46"/>
        <v>0.96730017529154932</v>
      </c>
      <c r="AB57" s="73">
        <f t="shared" si="46"/>
        <v>0.68369669764465357</v>
      </c>
      <c r="AC57" s="56">
        <f t="shared" si="57"/>
        <v>1.3852816623377178E-7</v>
      </c>
      <c r="AD57" s="56">
        <f t="shared" si="57"/>
        <v>7.5844171012990041E-4</v>
      </c>
      <c r="AE57" s="56">
        <f t="shared" si="47"/>
        <v>1.3850286890611771E-7</v>
      </c>
      <c r="AF57" s="64">
        <f>IFERROR(up_RadSpec!$G$29*AF29,".")*$B$57</f>
        <v>401037.57604246872</v>
      </c>
      <c r="AG57" s="64">
        <f>IFERROR(up_RadSpec!$J$29*AG29,".")*$B$57</f>
        <v>73.248872336523945</v>
      </c>
      <c r="AH57" s="73">
        <f t="shared" si="48"/>
        <v>1</v>
      </c>
      <c r="AI57" s="73">
        <f t="shared" si="48"/>
        <v>1</v>
      </c>
      <c r="AJ57" s="73">
        <f t="shared" si="49"/>
        <v>1</v>
      </c>
    </row>
    <row r="58" spans="1:36" x14ac:dyDescent="0.25">
      <c r="A58" s="55" t="s">
        <v>314</v>
      </c>
      <c r="B58" s="50">
        <v>1</v>
      </c>
      <c r="C58" s="56">
        <f>IFERROR(C16/$B58,0)</f>
        <v>3.6363636363636364E-9</v>
      </c>
      <c r="D58" s="56">
        <f>IFERROR(D16/$B58,0)</f>
        <v>9.0250320889537196E-6</v>
      </c>
      <c r="E58" s="56">
        <f>IFERROR(E16/$B58,0)</f>
        <v>7.6494620302510558E-2</v>
      </c>
      <c r="F58" s="56">
        <f t="shared" si="20"/>
        <v>3.6348988910319158E-9</v>
      </c>
      <c r="G58" s="64">
        <f>IFERROR(up_RadSpec!$I$16*G16,".")*$B$58</f>
        <v>15277625</v>
      </c>
      <c r="H58" s="64">
        <f>IFERROR(up_RadSpec!$G$16*H16,".")*$B$58</f>
        <v>6155.6567835362166</v>
      </c>
      <c r="I58" s="64">
        <f>IFERROR(up_RadSpec!$F$16*I16,".")*$B$58</f>
        <v>0.72626022301043658</v>
      </c>
      <c r="J58" s="73">
        <f t="shared" si="43"/>
        <v>1</v>
      </c>
      <c r="K58" s="73">
        <f t="shared" si="43"/>
        <v>1</v>
      </c>
      <c r="L58" s="73">
        <f t="shared" si="43"/>
        <v>0.5162854035795148</v>
      </c>
      <c r="M58" s="73">
        <f t="shared" si="44"/>
        <v>1</v>
      </c>
      <c r="N58" s="56">
        <f t="shared" ref="N58:AD58" si="58">IFERROR(N16/$B58,0)</f>
        <v>7.6494620302510558E-2</v>
      </c>
      <c r="O58" s="56">
        <f t="shared" si="58"/>
        <v>0.13623429416112345</v>
      </c>
      <c r="P58" s="56">
        <f t="shared" si="58"/>
        <v>8.1841380561977761E-2</v>
      </c>
      <c r="Q58" s="56">
        <f t="shared" si="58"/>
        <v>8.2264249380461771E-2</v>
      </c>
      <c r="R58" s="56">
        <f t="shared" si="58"/>
        <v>3.1854545454545455</v>
      </c>
      <c r="S58" s="64">
        <f>IFERROR(up_RadSpec!$F$16*S16,".")*$B$58</f>
        <v>0.72626022301043658</v>
      </c>
      <c r="T58" s="64">
        <f>IFERROR(up_RadSpec!$M$16*T16,".")*$B$58</f>
        <v>0.40779012613590104</v>
      </c>
      <c r="U58" s="64">
        <f>IFERROR(up_RadSpec!$N$16*U16,".")*$B$58</f>
        <v>0.67881308475641711</v>
      </c>
      <c r="V58" s="64">
        <f>IFERROR(up_RadSpec!$O$16*V16,".")*$B$58</f>
        <v>0.67532373319380989</v>
      </c>
      <c r="W58" s="64">
        <f>IFERROR(up_RadSpec!$K$16*W16,".")*$B$58</f>
        <v>1.7440211187214609E-2</v>
      </c>
      <c r="X58" s="73">
        <f t="shared" si="46"/>
        <v>0.5162854035795148</v>
      </c>
      <c r="Y58" s="73">
        <f t="shared" si="46"/>
        <v>0.33488154484455557</v>
      </c>
      <c r="Z58" s="73">
        <f t="shared" si="46"/>
        <v>0.49278133920943523</v>
      </c>
      <c r="AA58" s="73">
        <f t="shared" si="46"/>
        <v>0.49100838354891563</v>
      </c>
      <c r="AB58" s="73">
        <f t="shared" si="46"/>
        <v>1.7289010967995955E-2</v>
      </c>
      <c r="AC58" s="56">
        <f t="shared" si="58"/>
        <v>2.9090909090909089E-11</v>
      </c>
      <c r="AD58" s="56">
        <f t="shared" si="58"/>
        <v>1.5927272727272726E-7</v>
      </c>
      <c r="AE58" s="56">
        <f t="shared" si="47"/>
        <v>2.9085596653164224E-11</v>
      </c>
      <c r="AF58" s="64">
        <f>IFERROR(up_RadSpec!$G$16*AF16,".")*$B$58</f>
        <v>1909703125</v>
      </c>
      <c r="AG58" s="64">
        <f>IFERROR(up_RadSpec!$J$16*AG16,".")*$B$58</f>
        <v>348804.22374429216</v>
      </c>
      <c r="AH58" s="73">
        <f t="shared" si="48"/>
        <v>1</v>
      </c>
      <c r="AI58" s="73">
        <f t="shared" si="48"/>
        <v>1</v>
      </c>
      <c r="AJ58" s="73">
        <f t="shared" si="49"/>
        <v>1</v>
      </c>
    </row>
    <row r="59" spans="1:36" x14ac:dyDescent="0.25">
      <c r="A59" s="55" t="s">
        <v>315</v>
      </c>
      <c r="B59" s="50">
        <v>1</v>
      </c>
      <c r="C59" s="56">
        <f>IFERROR(C7/$B59,0)</f>
        <v>3.6363636363636364E-9</v>
      </c>
      <c r="D59" s="56">
        <f>IFERROR(D7/$B59,0)</f>
        <v>9.0250320889537196E-6</v>
      </c>
      <c r="E59" s="56">
        <f>IFERROR(E7/$B59,0)</f>
        <v>9.1843397478433964E-6</v>
      </c>
      <c r="F59" s="56">
        <f t="shared" si="20"/>
        <v>3.633461043767029E-9</v>
      </c>
      <c r="G59" s="64">
        <f>IFERROR(up_RadSpec!$I$7*G7,".")*$B$59</f>
        <v>15277625</v>
      </c>
      <c r="H59" s="64">
        <f>IFERROR(up_RadSpec!$G$7*H7,".")*$B$59</f>
        <v>6155.6567835362166</v>
      </c>
      <c r="I59" s="64">
        <f>IFERROR(up_RadSpec!$F$7*I7,".")*$B$59</f>
        <v>6048.8833737934237</v>
      </c>
      <c r="J59" s="73">
        <f t="shared" si="43"/>
        <v>1</v>
      </c>
      <c r="K59" s="73">
        <f t="shared" si="43"/>
        <v>1</v>
      </c>
      <c r="L59" s="73">
        <f t="shared" si="43"/>
        <v>1</v>
      </c>
      <c r="M59" s="73">
        <f t="shared" si="44"/>
        <v>1</v>
      </c>
      <c r="N59" s="56">
        <f t="shared" ref="N59:AD59" si="59">IFERROR(N7/$B59,0)</f>
        <v>9.1843397478433964E-6</v>
      </c>
      <c r="O59" s="56">
        <f t="shared" si="59"/>
        <v>1.4611153552330032E-5</v>
      </c>
      <c r="P59" s="56">
        <f t="shared" si="59"/>
        <v>1.0704545454545454E-5</v>
      </c>
      <c r="Q59" s="56">
        <f t="shared" si="59"/>
        <v>9.8471359678034877E-6</v>
      </c>
      <c r="R59" s="56">
        <f t="shared" si="59"/>
        <v>2.5004236405305914E-5</v>
      </c>
      <c r="S59" s="64">
        <f>IFERROR(up_RadSpec!$F$7*S7,".")*$B$59</f>
        <v>6048.8833737934237</v>
      </c>
      <c r="T59" s="64">
        <f>IFERROR(up_RadSpec!$M$7*T7,".")*$B$59</f>
        <v>3802.2323015789998</v>
      </c>
      <c r="U59" s="64">
        <f>IFERROR(up_RadSpec!$N$7*U7,".")*$B$59</f>
        <v>5189.8513800424607</v>
      </c>
      <c r="V59" s="64">
        <f>IFERROR(up_RadSpec!$O$7*V7,".")*$B$59</f>
        <v>5641.7419421895274</v>
      </c>
      <c r="W59" s="64">
        <f>IFERROR(up_RadSpec!$K$7*W7,".")*$B$59</f>
        <v>2221.8234982057352</v>
      </c>
      <c r="X59" s="73">
        <f t="shared" si="46"/>
        <v>1</v>
      </c>
      <c r="Y59" s="73">
        <f t="shared" si="46"/>
        <v>1</v>
      </c>
      <c r="Z59" s="73">
        <f t="shared" si="46"/>
        <v>1</v>
      </c>
      <c r="AA59" s="73">
        <f t="shared" si="46"/>
        <v>1</v>
      </c>
      <c r="AB59" s="73">
        <f t="shared" si="46"/>
        <v>1</v>
      </c>
      <c r="AC59" s="56">
        <f t="shared" si="59"/>
        <v>2.9090909090909089E-11</v>
      </c>
      <c r="AD59" s="56">
        <f t="shared" si="59"/>
        <v>1.5927272727272726E-7</v>
      </c>
      <c r="AE59" s="56">
        <f t="shared" si="47"/>
        <v>2.9085596653164224E-11</v>
      </c>
      <c r="AF59" s="64">
        <f>IFERROR(up_RadSpec!$G$7*AF7,".")*$B$59</f>
        <v>1909703125</v>
      </c>
      <c r="AG59" s="64">
        <f>IFERROR(up_RadSpec!$J$7*AG7,".")*$B$59</f>
        <v>348804.22374429216</v>
      </c>
      <c r="AH59" s="73">
        <f t="shared" si="48"/>
        <v>1</v>
      </c>
      <c r="AI59" s="73">
        <f t="shared" si="48"/>
        <v>1</v>
      </c>
      <c r="AJ59" s="73">
        <f t="shared" si="49"/>
        <v>1</v>
      </c>
    </row>
    <row r="60" spans="1:36" x14ac:dyDescent="0.25">
      <c r="A60" s="55" t="s">
        <v>316</v>
      </c>
      <c r="B60" s="59">
        <v>1.9000000000000001E-8</v>
      </c>
      <c r="C60" s="56">
        <f>IFERROR(C12/$B60,0)</f>
        <v>0.19138755980861244</v>
      </c>
      <c r="D60" s="56">
        <f>IFERROR(D12/$B60,0)</f>
        <v>475.00168889230099</v>
      </c>
      <c r="E60" s="56">
        <f>IFERROR(E12/$B60,0)</f>
        <v>375.16872799494445</v>
      </c>
      <c r="F60" s="56">
        <f t="shared" si="20"/>
        <v>0.19121297145883548</v>
      </c>
      <c r="G60" s="64">
        <f>IFERROR(up_RadSpec!$I$12*G12,".")*$B$60</f>
        <v>0.29027487500000004</v>
      </c>
      <c r="H60" s="64">
        <f>IFERROR(up_RadSpec!$G$12*H12,".")*$B$60</f>
        <v>1.1695747888718812E-4</v>
      </c>
      <c r="I60" s="64">
        <f>IFERROR(up_RadSpec!$F$12*I12,".")*$B$60</f>
        <v>1.4808003933832305E-4</v>
      </c>
      <c r="J60" s="73">
        <f t="shared" si="43"/>
        <v>0.25194208310416244</v>
      </c>
      <c r="K60" s="73">
        <f t="shared" si="43"/>
        <v>1.1695747888718812E-4</v>
      </c>
      <c r="L60" s="73">
        <f t="shared" si="43"/>
        <v>1.4808003933832305E-4</v>
      </c>
      <c r="M60" s="73">
        <f t="shared" si="44"/>
        <v>0.2521403202466449</v>
      </c>
      <c r="N60" s="56">
        <f t="shared" ref="N60:AD60" si="60">IFERROR(N12/$B60,0)</f>
        <v>375.16872799494445</v>
      </c>
      <c r="O60" s="56">
        <f t="shared" si="60"/>
        <v>673.07676010623607</v>
      </c>
      <c r="P60" s="56">
        <f t="shared" si="60"/>
        <v>488.039636348236</v>
      </c>
      <c r="Q60" s="56">
        <f t="shared" si="60"/>
        <v>431.00706650788999</v>
      </c>
      <c r="R60" s="56">
        <f t="shared" si="60"/>
        <v>1161.8982521238161</v>
      </c>
      <c r="S60" s="64">
        <f>IFERROR(up_RadSpec!$F$12*S12,".")*$B$60</f>
        <v>1.4808003933832305E-4</v>
      </c>
      <c r="T60" s="64">
        <f>IFERROR(up_RadSpec!$M$12*T12,".")*$B$60</f>
        <v>8.2538877127820274E-5</v>
      </c>
      <c r="U60" s="64">
        <f>IFERROR(up_RadSpec!$N$12*U12,".")*$B$60</f>
        <v>1.1383296737062408E-4</v>
      </c>
      <c r="V60" s="64">
        <f>IFERROR(up_RadSpec!$O$12*V12,".")*$B$60</f>
        <v>1.2889579850770963E-4</v>
      </c>
      <c r="W60" s="64">
        <f>IFERROR(up_RadSpec!$K$12*W12,".")*$B$60</f>
        <v>4.7813997394739049E-5</v>
      </c>
      <c r="X60" s="73">
        <f t="shared" si="46"/>
        <v>1.4808003933832305E-4</v>
      </c>
      <c r="Y60" s="73">
        <f t="shared" si="46"/>
        <v>8.2538877127820274E-5</v>
      </c>
      <c r="Z60" s="73">
        <f t="shared" si="46"/>
        <v>1.1383296737062408E-4</v>
      </c>
      <c r="AA60" s="73">
        <f t="shared" si="46"/>
        <v>1.2889579850770963E-4</v>
      </c>
      <c r="AB60" s="73">
        <f t="shared" si="46"/>
        <v>4.7813997394739049E-5</v>
      </c>
      <c r="AC60" s="56">
        <f t="shared" si="60"/>
        <v>1.5311004784688993E-3</v>
      </c>
      <c r="AD60" s="56">
        <f t="shared" si="60"/>
        <v>8.3827751196172233</v>
      </c>
      <c r="AE60" s="56">
        <f t="shared" si="47"/>
        <v>1.5308208764823273E-3</v>
      </c>
      <c r="AF60" s="64">
        <f>IFERROR(up_RadSpec!$G$12*AF12,".")*$B$60</f>
        <v>36.284359375000001</v>
      </c>
      <c r="AG60" s="64">
        <f>IFERROR(up_RadSpec!$J$12*AG12,".")*$B$60</f>
        <v>6.6272802511415513E-3</v>
      </c>
      <c r="AH60" s="73">
        <f t="shared" si="48"/>
        <v>0.99999999999999978</v>
      </c>
      <c r="AI60" s="73">
        <f t="shared" si="48"/>
        <v>6.6272802511415513E-3</v>
      </c>
      <c r="AJ60" s="73">
        <f t="shared" si="49"/>
        <v>0.99999999999999978</v>
      </c>
    </row>
    <row r="61" spans="1:36" x14ac:dyDescent="0.25">
      <c r="A61" s="55" t="s">
        <v>317</v>
      </c>
      <c r="B61" s="50">
        <v>1</v>
      </c>
      <c r="C61" s="56">
        <f>IFERROR(C18/$B61,0)</f>
        <v>3.6363636363636364E-9</v>
      </c>
      <c r="D61" s="56">
        <f>IFERROR(D18/$B61,0)</f>
        <v>9.0250320889537196E-6</v>
      </c>
      <c r="E61" s="56">
        <f>IFERROR(E18/$B61,0)</f>
        <v>3.5819104981705612E-6</v>
      </c>
      <c r="F61" s="56">
        <f t="shared" si="20"/>
        <v>3.6312141316916604E-9</v>
      </c>
      <c r="G61" s="64">
        <f>IFERROR(up_RadSpec!$I$18*G18,".")*$B$61</f>
        <v>15277625</v>
      </c>
      <c r="H61" s="64">
        <f>IFERROR(up_RadSpec!$G$18*H18,".")*$B$61</f>
        <v>6155.6567835362166</v>
      </c>
      <c r="I61" s="64">
        <f>IFERROR(up_RadSpec!$F$18*I18,".")*$B$61</f>
        <v>15509.879442374222</v>
      </c>
      <c r="J61" s="73">
        <f t="shared" si="43"/>
        <v>1</v>
      </c>
      <c r="K61" s="73">
        <f t="shared" si="43"/>
        <v>1</v>
      </c>
      <c r="L61" s="73">
        <f t="shared" si="43"/>
        <v>1</v>
      </c>
      <c r="M61" s="73">
        <f t="shared" si="44"/>
        <v>1</v>
      </c>
      <c r="N61" s="56">
        <f t="shared" ref="N61:AD61" si="61">IFERROR(N18/$B61,0)</f>
        <v>3.5819104981705612E-6</v>
      </c>
      <c r="O61" s="56">
        <f t="shared" si="61"/>
        <v>7.087561164048418E-6</v>
      </c>
      <c r="P61" s="56">
        <f t="shared" si="61"/>
        <v>4.9633877043552491E-6</v>
      </c>
      <c r="Q61" s="56">
        <f t="shared" si="61"/>
        <v>4.1122563526890516E-6</v>
      </c>
      <c r="R61" s="56">
        <f t="shared" si="61"/>
        <v>1.2047552447552445E-5</v>
      </c>
      <c r="S61" s="64">
        <f>IFERROR(up_RadSpec!$F$18*S18,".")*$B$61</f>
        <v>15509.879442374222</v>
      </c>
      <c r="T61" s="64">
        <f>IFERROR(up_RadSpec!$M$18*T18,".")*$B$61</f>
        <v>7838.3803277497173</v>
      </c>
      <c r="U61" s="64">
        <f>IFERROR(up_RadSpec!$N$18*U18,".")*$B$61</f>
        <v>11192.959992073931</v>
      </c>
      <c r="V61" s="64">
        <f>IFERROR(up_RadSpec!$O$18*V18,".")*$B$61</f>
        <v>13509.614974190979</v>
      </c>
      <c r="W61" s="64">
        <f>IFERROR(up_RadSpec!$K$18*W18,".")*$B$61</f>
        <v>4611.3100766194566</v>
      </c>
      <c r="X61" s="73">
        <f t="shared" si="46"/>
        <v>1</v>
      </c>
      <c r="Y61" s="73">
        <f t="shared" si="46"/>
        <v>1</v>
      </c>
      <c r="Z61" s="73">
        <f t="shared" si="46"/>
        <v>1</v>
      </c>
      <c r="AA61" s="73">
        <f t="shared" si="46"/>
        <v>1</v>
      </c>
      <c r="AB61" s="73">
        <f t="shared" si="46"/>
        <v>1</v>
      </c>
      <c r="AC61" s="56">
        <f t="shared" si="61"/>
        <v>2.9090909090909089E-11</v>
      </c>
      <c r="AD61" s="56">
        <f t="shared" si="61"/>
        <v>1.5927272727272726E-7</v>
      </c>
      <c r="AE61" s="56">
        <f t="shared" si="47"/>
        <v>2.9085596653164224E-11</v>
      </c>
      <c r="AF61" s="64">
        <f>IFERROR(up_RadSpec!$G$18*AF18,".")*$B$61</f>
        <v>1909703125</v>
      </c>
      <c r="AG61" s="64">
        <f>IFERROR(up_RadSpec!$J$18*AG18,".")*$B$61</f>
        <v>348804.22374429216</v>
      </c>
      <c r="AH61" s="73">
        <f t="shared" si="48"/>
        <v>1</v>
      </c>
      <c r="AI61" s="73">
        <f t="shared" si="48"/>
        <v>1</v>
      </c>
      <c r="AJ61" s="73">
        <f t="shared" si="49"/>
        <v>1</v>
      </c>
    </row>
    <row r="62" spans="1:36" x14ac:dyDescent="0.25">
      <c r="A62" s="55" t="s">
        <v>318</v>
      </c>
      <c r="B62" s="50">
        <v>1.339E-6</v>
      </c>
      <c r="C62" s="56">
        <f>IFERROR(C27/$B62,0)</f>
        <v>2.7157308710706769E-3</v>
      </c>
      <c r="D62" s="56">
        <f>IFERROR(D27/$B62,0)</f>
        <v>6.7401285205031511</v>
      </c>
      <c r="E62" s="56">
        <f>IFERROR(E27/$B62,0)</f>
        <v>4.3901003530817375</v>
      </c>
      <c r="F62" s="56">
        <f t="shared" ref="F62" si="62">IFERROR(SUM(C62:E62),0)</f>
        <v>11.132944604455959</v>
      </c>
      <c r="G62" s="64">
        <f>IFERROR(up_RadSpec!$I$27*G27,".")*$B$62</f>
        <v>20.456739875</v>
      </c>
      <c r="H62" s="64">
        <f>IFERROR(up_RadSpec!$G$27*H27,".")*$B$62</f>
        <v>8.2424244331549944E-3</v>
      </c>
      <c r="I62" s="64">
        <f>IFERROR(up_RadSpec!$F$27*I27,".")*$B$62</f>
        <v>1.2654608216644023E-2</v>
      </c>
      <c r="J62" s="73">
        <f t="shared" si="43"/>
        <v>0.99999999869457856</v>
      </c>
      <c r="K62" s="73">
        <f t="shared" si="43"/>
        <v>8.2424244331549944E-3</v>
      </c>
      <c r="L62" s="73">
        <f t="shared" si="43"/>
        <v>1.2574875345876424E-2</v>
      </c>
      <c r="M62" s="73">
        <f t="shared" si="44"/>
        <v>0.99999999872157486</v>
      </c>
      <c r="N62" s="56">
        <f t="shared" ref="N62:AD62" si="63">IFERROR(N27/$B62,0)</f>
        <v>4.3901003530817375</v>
      </c>
      <c r="O62" s="56">
        <f t="shared" si="63"/>
        <v>13.021786593580162</v>
      </c>
      <c r="P62" s="56">
        <f t="shared" si="63"/>
        <v>7.9833343734491127</v>
      </c>
      <c r="Q62" s="56">
        <f t="shared" si="63"/>
        <v>5.8075673411227244</v>
      </c>
      <c r="R62" s="56">
        <f t="shared" si="63"/>
        <v>40.731919794291827</v>
      </c>
      <c r="S62" s="64">
        <f>IFERROR(up_RadSpec!$F$27*S27,".")*$B$62</f>
        <v>1.2654608216644023E-2</v>
      </c>
      <c r="T62" s="64">
        <f>IFERROR(up_RadSpec!$M$27*T27,".")*$B$62</f>
        <v>4.2663116616723723E-3</v>
      </c>
      <c r="U62" s="64">
        <f>IFERROR(up_RadSpec!$N$27*U27,".")*$B$62</f>
        <v>6.9588717447141143E-3</v>
      </c>
      <c r="V62" s="64">
        <f>IFERROR(up_RadSpec!$O$27*V27,".")*$B$62</f>
        <v>9.5659674243674022E-3</v>
      </c>
      <c r="W62" s="64">
        <f>IFERROR(up_RadSpec!$K$27*W27,".")*$B$62</f>
        <v>1.3639180348132148E-3</v>
      </c>
      <c r="X62" s="73">
        <f t="shared" si="46"/>
        <v>1.2574875345876424E-2</v>
      </c>
      <c r="Y62" s="73">
        <f t="shared" si="46"/>
        <v>4.2663116616723723E-3</v>
      </c>
      <c r="Z62" s="73">
        <f t="shared" si="46"/>
        <v>6.9588717447141143E-3</v>
      </c>
      <c r="AA62" s="73">
        <f t="shared" si="46"/>
        <v>9.5659674243674022E-3</v>
      </c>
      <c r="AB62" s="73">
        <f t="shared" si="46"/>
        <v>1.3639180348132148E-3</v>
      </c>
      <c r="AC62" s="56">
        <f t="shared" si="63"/>
        <v>2.1725846968565415E-5</v>
      </c>
      <c r="AD62" s="56">
        <f t="shared" si="63"/>
        <v>0.11894901215289563</v>
      </c>
      <c r="AE62" s="56">
        <f t="shared" si="47"/>
        <v>2.1721879501989711E-5</v>
      </c>
      <c r="AF62" s="64">
        <f>IFERROR(up_RadSpec!$G$27*AF27,".")*$B$62</f>
        <v>2557.0924843749999</v>
      </c>
      <c r="AG62" s="64">
        <f>IFERROR(up_RadSpec!$J$27*AG27,".")*$B$62</f>
        <v>0.4670488555936072</v>
      </c>
      <c r="AH62" s="73">
        <f t="shared" si="48"/>
        <v>1</v>
      </c>
      <c r="AI62" s="73">
        <f t="shared" si="48"/>
        <v>0.37315053543843246</v>
      </c>
      <c r="AJ62" s="73">
        <f t="shared" si="49"/>
        <v>1</v>
      </c>
    </row>
    <row r="63" spans="1:36" x14ac:dyDescent="0.25">
      <c r="A63" s="52" t="s">
        <v>35</v>
      </c>
      <c r="B63" s="52" t="s">
        <v>289</v>
      </c>
      <c r="C63" s="53">
        <f>1/SUM(1/C66,1/C68,1/C72,1/C73,1/C75)</f>
        <v>7.2730184843873871E-10</v>
      </c>
      <c r="D63" s="53">
        <f>1/SUM(1/D64,1/D65,1/D66,1/D68,1/D72,1/D73,1/D75)</f>
        <v>1.289327173179113E-6</v>
      </c>
      <c r="E63" s="53">
        <f>1/SUM(1/E64,1/E66,1/E68,1/E69,1/E70,1/E71,1/E72,1/E73,1/E74,1/E75,1/E76)</f>
        <v>7.2020093032882845E-7</v>
      </c>
      <c r="F63" s="54">
        <f>1/SUM(1/F64,1/F65,1/F66,1/F68,1/F69,1/F70,1/F71,1/F72,1/F73,1/F74,1/F75,1/F76)</f>
        <v>4.5408718227261119E-10</v>
      </c>
      <c r="G63" s="71"/>
      <c r="H63" s="71"/>
      <c r="I63" s="71"/>
      <c r="J63" s="72">
        <f>IFERROR(IF(SUM(G64:G76)&gt;0.01,1-EXP(-SUM(G64:G76)),SUM(G64:G76)),".")</f>
        <v>1</v>
      </c>
      <c r="K63" s="72">
        <f>IFERROR(IF(SUM(H64:H76)&gt;0.01,1-EXP(-SUM(H64:H76)),SUM(H64:H76)),".")</f>
        <v>1</v>
      </c>
      <c r="L63" s="72">
        <f>IFERROR(IF(SUM(I64:I76)&gt;0.01,1-EXP(-SUM(I64:I76)),SUM(I64:I76)),".")</f>
        <v>1</v>
      </c>
      <c r="M63" s="72">
        <f>IFERROR(IF(SUM(G64:I76)&gt;0.01,1-EXP(-SUM(G64:I76)),SUM(G64:I76)),".")</f>
        <v>1</v>
      </c>
      <c r="N63" s="53">
        <f t="shared" ref="N63:R63" si="64">1/SUM(1/N64,1/N66,1/N68,1/N69,1/N70,1/N71,1/N72,1/N73,1/N74,1/N75,1/N76)</f>
        <v>7.2020093032882845E-7</v>
      </c>
      <c r="O63" s="53">
        <f t="shared" si="64"/>
        <v>1.3719761599145529E-6</v>
      </c>
      <c r="P63" s="53">
        <f t="shared" si="64"/>
        <v>9.7701532463028106E-7</v>
      </c>
      <c r="Q63" s="53">
        <f t="shared" si="64"/>
        <v>8.330415641576592E-7</v>
      </c>
      <c r="R63" s="53">
        <f t="shared" si="64"/>
        <v>2.4088991591820396E-6</v>
      </c>
      <c r="S63" s="71"/>
      <c r="T63" s="71"/>
      <c r="U63" s="71"/>
      <c r="V63" s="71"/>
      <c r="W63" s="71"/>
      <c r="X63" s="72">
        <f>IFERROR(IF(SUM(S64:S76)&gt;0.01,1-EXP(-SUM(S64:S76)),SUM(S64:S76)),".")</f>
        <v>1</v>
      </c>
      <c r="Y63" s="72">
        <f t="shared" ref="Y63:AB63" si="65">IFERROR(IF(SUM(T64:T76)&gt;0.01,1-EXP(-SUM(T64:T76)),SUM(T64:T76)),".")</f>
        <v>1</v>
      </c>
      <c r="Z63" s="72">
        <f t="shared" si="65"/>
        <v>1</v>
      </c>
      <c r="AA63" s="72">
        <f t="shared" si="65"/>
        <v>1</v>
      </c>
      <c r="AB63" s="72">
        <f t="shared" si="65"/>
        <v>1</v>
      </c>
      <c r="AC63" s="53">
        <f>1/SUM(1/AC64,1/AC65,1/AC66,1/AC68,1/AC72,1/AC73,1/AC75)</f>
        <v>4.1559630163864246E-12</v>
      </c>
      <c r="AD63" s="53">
        <f t="shared" ref="AD63:AE63" si="66">1/SUM(1/AD64,1/AD65,1/AD66,1/AD67,1/AD68,1/AD69,1/AD70,1/AD71,1/AD72,1/AD73,1/AD74,1/AD75,1/AD76)</f>
        <v>1.99090875295233E-8</v>
      </c>
      <c r="AE63" s="54">
        <f t="shared" si="66"/>
        <v>3.6356989644856286E-12</v>
      </c>
      <c r="AF63" s="71"/>
      <c r="AG63" s="71"/>
      <c r="AH63" s="72">
        <f>IFERROR(IF(SUM(AF64:AF76)&gt;0.01,1-EXP(-SUM(AF64:AF76)),SUM(AF64:AF76)),".")</f>
        <v>1</v>
      </c>
      <c r="AI63" s="72">
        <f>IFERROR(IF(SUM(AG64:AG76)&gt;0.01,1-EXP(-SUM(AG64:AG76)),SUM(AG64:AG76)),".")</f>
        <v>1</v>
      </c>
      <c r="AJ63" s="72">
        <f>IFERROR(IF(SUM(AF64:AG76)&gt;0.01,1-EXP(-SUM(AF64:AG76)),SUM(AF64:AG76)),".")</f>
        <v>1</v>
      </c>
    </row>
    <row r="64" spans="1:36" x14ac:dyDescent="0.25">
      <c r="A64" s="55" t="s">
        <v>306</v>
      </c>
      <c r="B64" s="60">
        <v>1</v>
      </c>
      <c r="C64" s="56">
        <f>IFERROR(C25/$B50,0)</f>
        <v>3.6363636363636364E-9</v>
      </c>
      <c r="D64" s="56">
        <f>IFERROR(D25/$B50,0)</f>
        <v>9.0250320889537196E-6</v>
      </c>
      <c r="E64" s="56">
        <f>IFERROR(E25/$B50,0)</f>
        <v>5.117196056955094E-6</v>
      </c>
      <c r="F64" s="56">
        <f t="shared" ref="F64:F76" si="67">IF(AND(C64&lt;&gt;0,D64&lt;&gt;0,E64&lt;&gt;0),1/((1/C64)+(1/D64)+(1/E64)),IF(AND(C64&lt;&gt;0,D64&lt;&gt;0,E64=0), 1/((1/C64)+(1/D64)),IF(AND(C64&lt;&gt;0,D64=0,E64&lt;&gt;0),1/((1/C64)+(1/E64)),IF(AND(C64=0,D64&lt;&gt;0,E64&lt;&gt;0),1/((1/D64)+(1/E64)),IF(AND(C64&lt;&gt;0,D64=0,E64=0),1/((1/C64)),IF(AND(C64=0,D64&lt;&gt;0,E64=0),1/((1/D64)),IF(AND(C64=0,D64=0,E64&lt;&gt;0),1/((1/E64)),IF(AND(C64=0,D64=0,E64=0),0))))))))</f>
        <v>3.6323189178157529E-9</v>
      </c>
      <c r="G64" s="64">
        <f>IFERROR(up_RadSpec!$I$25*G25,".")*$B$64</f>
        <v>15277625</v>
      </c>
      <c r="H64" s="64">
        <f>IFERROR(up_RadSpec!$G$25*H25,".")*$B$64</f>
        <v>6155.6567835362166</v>
      </c>
      <c r="I64" s="64">
        <f>IFERROR(up_RadSpec!$F$25*I25,".")*$B$64</f>
        <v>10856.531464041092</v>
      </c>
      <c r="J64" s="73">
        <f t="shared" ref="J64:L76" si="68">IFERROR(IF(G64&gt;0.01,1-EXP(-G64),G64),".")</f>
        <v>1</v>
      </c>
      <c r="K64" s="73">
        <f t="shared" si="68"/>
        <v>1</v>
      </c>
      <c r="L64" s="73">
        <f t="shared" si="68"/>
        <v>1</v>
      </c>
      <c r="M64" s="73">
        <f t="shared" ref="M64:M76" si="69">IFERROR(IF(SUM(G64:I64)&gt;0.01,1-EXP(-SUM(G64:I64)),SUM(G64:I64)),".")</f>
        <v>1</v>
      </c>
      <c r="N64" s="56">
        <f t="shared" ref="N64:AD64" si="70">IFERROR(N25/$B50,0)</f>
        <v>5.117196056955094E-6</v>
      </c>
      <c r="O64" s="56">
        <f t="shared" si="70"/>
        <v>9.1638362553616773E-6</v>
      </c>
      <c r="P64" s="56">
        <f t="shared" si="70"/>
        <v>6.5732694272020127E-6</v>
      </c>
      <c r="Q64" s="56">
        <f t="shared" si="70"/>
        <v>5.8697641341709141E-6</v>
      </c>
      <c r="R64" s="56">
        <f t="shared" si="70"/>
        <v>1.6429752066115701E-5</v>
      </c>
      <c r="S64" s="64">
        <f>IFERROR(up_RadSpec!$F$25*S25,".")*$B$64</f>
        <v>10856.531464041092</v>
      </c>
      <c r="T64" s="64">
        <f>IFERROR(up_RadSpec!$M$25*T25,".")*$B$64</f>
        <v>6062.4173601416405</v>
      </c>
      <c r="U64" s="64">
        <f>IFERROR(up_RadSpec!$N$25*U25,".")*$B$64</f>
        <v>8451.6541753329002</v>
      </c>
      <c r="V64" s="64">
        <f>IFERROR(up_RadSpec!$O$25*V25,".")*$B$64</f>
        <v>9464.6051749483049</v>
      </c>
      <c r="W64" s="64">
        <f>IFERROR(up_RadSpec!$K$25*W25,".")*$B$64</f>
        <v>3381.3656941649897</v>
      </c>
      <c r="X64" s="73">
        <f t="shared" ref="X64:AB76" si="71">IFERROR(IF(S64&gt;0.01,1-EXP(-S64),S64),".")</f>
        <v>1</v>
      </c>
      <c r="Y64" s="73">
        <f t="shared" si="71"/>
        <v>1</v>
      </c>
      <c r="Z64" s="73">
        <f t="shared" si="71"/>
        <v>1</v>
      </c>
      <c r="AA64" s="73">
        <f t="shared" si="71"/>
        <v>1</v>
      </c>
      <c r="AB64" s="73">
        <f t="shared" si="71"/>
        <v>1</v>
      </c>
      <c r="AC64" s="56">
        <f t="shared" si="70"/>
        <v>2.9090909090909089E-11</v>
      </c>
      <c r="AD64" s="56">
        <f t="shared" si="70"/>
        <v>1.5927272727272726E-7</v>
      </c>
      <c r="AE64" s="56">
        <f t="shared" ref="AE64:AE76" si="72">IFERROR(IF(AND(AC64&lt;&gt;0,AD64&lt;&gt;0),1/((1/AC64)+(1/AD64)),IF(AND(AC64&lt;&gt;0,AD64=0),1/((1/AC64)),IF(AND(AC64=0,AD64&lt;&gt;0),1/((1/AD64)),IF(AND(AC64=0,AD64=0),0)))),0)</f>
        <v>2.9085596653164224E-11</v>
      </c>
      <c r="AF64" s="64">
        <f>IFERROR(up_RadSpec!$G$25*AF25,".")*$B$64</f>
        <v>1909703125</v>
      </c>
      <c r="AG64" s="64">
        <f>IFERROR(up_RadSpec!$J$25*AG25,".")*$B$64</f>
        <v>348804.22374429216</v>
      </c>
      <c r="AH64" s="73">
        <f t="shared" ref="AH64:AI76" si="73">IFERROR(IF(AF64&gt;0.01,1-EXP(-AF64),AF64),".")</f>
        <v>1</v>
      </c>
      <c r="AI64" s="73">
        <f t="shared" si="73"/>
        <v>1</v>
      </c>
      <c r="AJ64" s="73">
        <f t="shared" ref="AJ64:AJ76" si="74">IFERROR(IF(SUM(AF64:AG64)&gt;0.01,1-EXP(-SUM(AF64:AG64)),SUM(AF64:AG64)),".")</f>
        <v>1</v>
      </c>
    </row>
    <row r="65" spans="1:36" x14ac:dyDescent="0.25">
      <c r="A65" s="55" t="s">
        <v>307</v>
      </c>
      <c r="B65" s="60">
        <v>1</v>
      </c>
      <c r="C65" s="56">
        <f>IFERROR(C21/$B51,0)</f>
        <v>3.6363636363636364E-9</v>
      </c>
      <c r="D65" s="56">
        <f>IFERROR(D21/$B51,0)</f>
        <v>9.0250320889537196E-6</v>
      </c>
      <c r="E65" s="56">
        <f>IFERROR(E21/$B51,0)</f>
        <v>0</v>
      </c>
      <c r="F65" s="56">
        <f t="shared" si="67"/>
        <v>3.6348990637563577E-9</v>
      </c>
      <c r="G65" s="64">
        <f>IFERROR(up_RadSpec!$I$21*G21,".")*$B$65</f>
        <v>15277625</v>
      </c>
      <c r="H65" s="64">
        <f>IFERROR(up_RadSpec!$G$21*H21,".")*$B$65</f>
        <v>6155.6567835362166</v>
      </c>
      <c r="I65" s="64">
        <f>IFERROR(up_RadSpec!$F$21*I21,".")*$B$65</f>
        <v>0</v>
      </c>
      <c r="J65" s="73">
        <f t="shared" si="68"/>
        <v>1</v>
      </c>
      <c r="K65" s="73">
        <f t="shared" si="68"/>
        <v>1</v>
      </c>
      <c r="L65" s="73">
        <f t="shared" si="68"/>
        <v>0</v>
      </c>
      <c r="M65" s="73">
        <f t="shared" si="69"/>
        <v>1</v>
      </c>
      <c r="N65" s="56">
        <f t="shared" ref="N65:AD65" si="75">IFERROR(N21/$B51,0)</f>
        <v>0</v>
      </c>
      <c r="O65" s="56">
        <f t="shared" si="75"/>
        <v>0</v>
      </c>
      <c r="P65" s="56">
        <f t="shared" si="75"/>
        <v>0</v>
      </c>
      <c r="Q65" s="56">
        <f t="shared" si="75"/>
        <v>0</v>
      </c>
      <c r="R65" s="56">
        <f t="shared" si="75"/>
        <v>0</v>
      </c>
      <c r="S65" s="64">
        <f>IFERROR(up_RadSpec!$F$21*S21,".")*$B$65</f>
        <v>0</v>
      </c>
      <c r="T65" s="64">
        <f>IFERROR(up_RadSpec!$M$21*T21,".")*$B$65</f>
        <v>0</v>
      </c>
      <c r="U65" s="64">
        <f>IFERROR(up_RadSpec!$N$21*U21,".")*$B$65</f>
        <v>0</v>
      </c>
      <c r="V65" s="64">
        <f>IFERROR(up_RadSpec!$O$21*V21,".")*$B$65</f>
        <v>0</v>
      </c>
      <c r="W65" s="64">
        <f>IFERROR(up_RadSpec!$K$21*W21,".")*$B$65</f>
        <v>0</v>
      </c>
      <c r="X65" s="73">
        <f t="shared" si="71"/>
        <v>0</v>
      </c>
      <c r="Y65" s="73">
        <f t="shared" si="71"/>
        <v>0</v>
      </c>
      <c r="Z65" s="73">
        <f t="shared" si="71"/>
        <v>0</v>
      </c>
      <c r="AA65" s="73">
        <f t="shared" si="71"/>
        <v>0</v>
      </c>
      <c r="AB65" s="73">
        <f t="shared" si="71"/>
        <v>0</v>
      </c>
      <c r="AC65" s="56">
        <f t="shared" si="75"/>
        <v>2.9090909090909089E-11</v>
      </c>
      <c r="AD65" s="56">
        <f t="shared" si="75"/>
        <v>1.5927272727272726E-7</v>
      </c>
      <c r="AE65" s="56">
        <f t="shared" si="72"/>
        <v>2.9085596653164224E-11</v>
      </c>
      <c r="AF65" s="64">
        <f>IFERROR(up_RadSpec!$G$21*AF21,".")*$B$65</f>
        <v>1909703125</v>
      </c>
      <c r="AG65" s="64">
        <f>IFERROR(up_RadSpec!$J$21*AG21,".")*$B$65</f>
        <v>348804.22374429216</v>
      </c>
      <c r="AH65" s="73">
        <f t="shared" si="73"/>
        <v>1</v>
      </c>
      <c r="AI65" s="73">
        <f t="shared" si="73"/>
        <v>1</v>
      </c>
      <c r="AJ65" s="73">
        <f t="shared" si="74"/>
        <v>1</v>
      </c>
    </row>
    <row r="66" spans="1:36" x14ac:dyDescent="0.25">
      <c r="A66" s="55" t="s">
        <v>308</v>
      </c>
      <c r="B66" s="61">
        <v>0.99980000000000002</v>
      </c>
      <c r="C66" s="56">
        <f>IFERROR(C17/$B52,0)</f>
        <v>3.6370910545745514E-9</v>
      </c>
      <c r="D66" s="56">
        <f>IFERROR(D17/$B52,0)</f>
        <v>9.0268374564450091E-6</v>
      </c>
      <c r="E66" s="56">
        <f>IFERROR(E17/$B52,0)</f>
        <v>7.0342285694447E-6</v>
      </c>
      <c r="F66" s="56">
        <f t="shared" si="67"/>
        <v>3.6337480939615323E-9</v>
      </c>
      <c r="G66" s="64">
        <f>IFERROR(up_RadSpec!$I$17*G17,".")*$B$66</f>
        <v>15274569.475</v>
      </c>
      <c r="H66" s="64">
        <f>IFERROR(up_RadSpec!$G$17*H17,".")*$B$66</f>
        <v>6154.4256521795096</v>
      </c>
      <c r="I66" s="64">
        <f>IFERROR(up_RadSpec!$F$17*I17,".")*$B$66</f>
        <v>7897.8098950778967</v>
      </c>
      <c r="J66" s="73">
        <f t="shared" si="68"/>
        <v>1</v>
      </c>
      <c r="K66" s="73">
        <f t="shared" si="68"/>
        <v>1</v>
      </c>
      <c r="L66" s="73">
        <f t="shared" si="68"/>
        <v>1</v>
      </c>
      <c r="M66" s="73">
        <f t="shared" si="69"/>
        <v>1</v>
      </c>
      <c r="N66" s="56">
        <f t="shared" ref="N66:AD66" si="76">IFERROR(N17/$B52,0)</f>
        <v>7.0342285694447E-6</v>
      </c>
      <c r="O66" s="56">
        <f t="shared" si="76"/>
        <v>1.229378552079273E-5</v>
      </c>
      <c r="P66" s="56">
        <f t="shared" si="76"/>
        <v>9.2623153705958528E-6</v>
      </c>
      <c r="Q66" s="56">
        <f t="shared" si="76"/>
        <v>8.2363423450425837E-6</v>
      </c>
      <c r="R66" s="56">
        <f t="shared" si="76"/>
        <v>2.3556566311846341E-5</v>
      </c>
      <c r="S66" s="64">
        <f>IFERROR(up_RadSpec!$F$17*S17,".")*$B$66</f>
        <v>7897.8098950778967</v>
      </c>
      <c r="T66" s="64">
        <f>IFERROR(up_RadSpec!$M$17*T17,".")*$B$66</f>
        <v>4518.9498308750117</v>
      </c>
      <c r="U66" s="64">
        <f>IFERROR(up_RadSpec!$N$17*U17,".")*$B$66</f>
        <v>5997.9603130730047</v>
      </c>
      <c r="V66" s="64">
        <f>IFERROR(up_RadSpec!$O$17*V17,".")*$B$66</f>
        <v>6745.1057365820034</v>
      </c>
      <c r="W66" s="64">
        <f>IFERROR(up_RadSpec!$K$17*W17,".")*$B$66</f>
        <v>2358.3657849175574</v>
      </c>
      <c r="X66" s="73">
        <f t="shared" si="71"/>
        <v>1</v>
      </c>
      <c r="Y66" s="73">
        <f t="shared" si="71"/>
        <v>1</v>
      </c>
      <c r="Z66" s="73">
        <f t="shared" si="71"/>
        <v>1</v>
      </c>
      <c r="AA66" s="73">
        <f t="shared" si="71"/>
        <v>1</v>
      </c>
      <c r="AB66" s="73">
        <f t="shared" si="71"/>
        <v>1</v>
      </c>
      <c r="AC66" s="56">
        <f t="shared" si="76"/>
        <v>2.9096728436596409E-11</v>
      </c>
      <c r="AD66" s="56">
        <f t="shared" si="76"/>
        <v>1.5930458819036533E-7</v>
      </c>
      <c r="AE66" s="56">
        <f t="shared" si="72"/>
        <v>2.909141493615145E-11</v>
      </c>
      <c r="AF66" s="64">
        <f>IFERROR(up_RadSpec!$G$17*AF17,".")*$B$66</f>
        <v>1909321184.375</v>
      </c>
      <c r="AG66" s="64">
        <f>IFERROR(up_RadSpec!$J$17*AG17,".")*$B$66</f>
        <v>348734.46289954329</v>
      </c>
      <c r="AH66" s="73">
        <f t="shared" si="73"/>
        <v>1</v>
      </c>
      <c r="AI66" s="73">
        <f t="shared" si="73"/>
        <v>1</v>
      </c>
      <c r="AJ66" s="73">
        <f t="shared" si="74"/>
        <v>1</v>
      </c>
    </row>
    <row r="67" spans="1:36" x14ac:dyDescent="0.25">
      <c r="A67" s="55" t="s">
        <v>309</v>
      </c>
      <c r="B67" s="60">
        <v>2.0000000000000001E-4</v>
      </c>
      <c r="C67" s="56">
        <f>IFERROR(C5/$B53,0)</f>
        <v>1.8181818181818182E-5</v>
      </c>
      <c r="D67" s="56">
        <f>IFERROR(D5/$B53,0)</f>
        <v>4.5125160444768594E-2</v>
      </c>
      <c r="E67" s="56">
        <f>IFERROR(E5/$B53,0)</f>
        <v>0</v>
      </c>
      <c r="F67" s="56">
        <f t="shared" si="67"/>
        <v>1.8174495318781785E-5</v>
      </c>
      <c r="G67" s="64">
        <f>IFERROR(up_RadSpec!$I$5*G5,".")*$B$67</f>
        <v>3055.5250000000001</v>
      </c>
      <c r="H67" s="64">
        <f>IFERROR(up_RadSpec!$G$5*H5,".")*$B$67</f>
        <v>1.2311313567072433</v>
      </c>
      <c r="I67" s="64">
        <f>IFERROR(up_RadSpec!$F$5*I5,".")*$B$67</f>
        <v>0</v>
      </c>
      <c r="J67" s="73">
        <f t="shared" si="68"/>
        <v>1</v>
      </c>
      <c r="K67" s="73">
        <f t="shared" si="68"/>
        <v>0.70803792249532926</v>
      </c>
      <c r="L67" s="73">
        <f t="shared" si="68"/>
        <v>0</v>
      </c>
      <c r="M67" s="73">
        <f t="shared" si="69"/>
        <v>1</v>
      </c>
      <c r="N67" s="56">
        <f t="shared" ref="N67:AD67" si="77">IFERROR(N5/$B53,0)</f>
        <v>0</v>
      </c>
      <c r="O67" s="56">
        <f t="shared" si="77"/>
        <v>0</v>
      </c>
      <c r="P67" s="56">
        <f t="shared" si="77"/>
        <v>0</v>
      </c>
      <c r="Q67" s="56">
        <f t="shared" si="77"/>
        <v>0</v>
      </c>
      <c r="R67" s="56">
        <f t="shared" si="77"/>
        <v>0</v>
      </c>
      <c r="S67" s="64">
        <f>IFERROR(up_RadSpec!$F$5*S5,".")*$B$67</f>
        <v>0</v>
      </c>
      <c r="T67" s="64">
        <f>IFERROR(up_RadSpec!$M$5*T5,".")*$B$67</f>
        <v>0</v>
      </c>
      <c r="U67" s="64">
        <f>IFERROR(up_RadSpec!$N$5*U5,".")*$B$67</f>
        <v>0</v>
      </c>
      <c r="V67" s="64">
        <f>IFERROR(up_RadSpec!$O$5*V5,".")*$B$67</f>
        <v>0</v>
      </c>
      <c r="W67" s="64">
        <f>IFERROR(up_RadSpec!$K$5*W5,".")*$B$67</f>
        <v>0</v>
      </c>
      <c r="X67" s="73">
        <f t="shared" si="71"/>
        <v>0</v>
      </c>
      <c r="Y67" s="73">
        <f t="shared" si="71"/>
        <v>0</v>
      </c>
      <c r="Z67" s="73">
        <f t="shared" si="71"/>
        <v>0</v>
      </c>
      <c r="AA67" s="73">
        <f t="shared" si="71"/>
        <v>0</v>
      </c>
      <c r="AB67" s="73">
        <f t="shared" si="71"/>
        <v>0</v>
      </c>
      <c r="AC67" s="56">
        <f t="shared" si="77"/>
        <v>1.4545454545454543E-7</v>
      </c>
      <c r="AD67" s="56">
        <f t="shared" si="77"/>
        <v>7.9636363636363628E-4</v>
      </c>
      <c r="AE67" s="56">
        <f t="shared" si="72"/>
        <v>1.4542798326582108E-7</v>
      </c>
      <c r="AF67" s="64">
        <f>IFERROR(up_RadSpec!$G$5*AF5,".")*$B$67</f>
        <v>381940.625</v>
      </c>
      <c r="AG67" s="64">
        <f>IFERROR(up_RadSpec!$J$5*AG5,".")*$B$67</f>
        <v>69.760844748858432</v>
      </c>
      <c r="AH67" s="73">
        <f t="shared" si="73"/>
        <v>1</v>
      </c>
      <c r="AI67" s="73">
        <f t="shared" si="73"/>
        <v>1</v>
      </c>
      <c r="AJ67" s="73">
        <f t="shared" si="74"/>
        <v>1</v>
      </c>
    </row>
    <row r="68" spans="1:36" x14ac:dyDescent="0.25">
      <c r="A68" s="55" t="s">
        <v>310</v>
      </c>
      <c r="B68" s="60">
        <v>0.99999979999999999</v>
      </c>
      <c r="C68" s="56">
        <f>IFERROR(C9/$B54,0)</f>
        <v>3.6363643636365093E-9</v>
      </c>
      <c r="D68" s="56">
        <f>IFERROR(D9/$B54,0)</f>
        <v>9.0250338939604981E-6</v>
      </c>
      <c r="E68" s="56">
        <f>IFERROR(E9/$B54,0)</f>
        <v>2.6002186505370886E-6</v>
      </c>
      <c r="F68" s="56">
        <f t="shared" si="67"/>
        <v>3.6298255819786717E-9</v>
      </c>
      <c r="G68" s="64">
        <f>IFERROR(up_RadSpec!$I$9*G9,".")*$B$68</f>
        <v>15277621.944475001</v>
      </c>
      <c r="H68" s="64">
        <f>IFERROR(up_RadSpec!$G$9*H9,".")*$B$68</f>
        <v>6155.6555524048599</v>
      </c>
      <c r="I68" s="64">
        <f>IFERROR(up_RadSpec!$F$9*I9,".")*$B$68</f>
        <v>21365.510930599936</v>
      </c>
      <c r="J68" s="73">
        <f t="shared" si="68"/>
        <v>1</v>
      </c>
      <c r="K68" s="73">
        <f t="shared" si="68"/>
        <v>1</v>
      </c>
      <c r="L68" s="73">
        <f t="shared" si="68"/>
        <v>1</v>
      </c>
      <c r="M68" s="73">
        <f t="shared" si="69"/>
        <v>1</v>
      </c>
      <c r="N68" s="56">
        <f t="shared" ref="N68:AD68" si="78">IFERROR(N9/$B54,0)</f>
        <v>2.6002186505370886E-6</v>
      </c>
      <c r="O68" s="56">
        <f t="shared" si="78"/>
        <v>5.3256828833183967E-6</v>
      </c>
      <c r="P68" s="56">
        <f t="shared" si="78"/>
        <v>3.7472546918109186E-6</v>
      </c>
      <c r="Q68" s="56">
        <f t="shared" si="78"/>
        <v>3.0889262376199586E-6</v>
      </c>
      <c r="R68" s="56">
        <f t="shared" si="78"/>
        <v>9.4332728410522865E-6</v>
      </c>
      <c r="S68" s="64">
        <f>IFERROR(up_RadSpec!$F$9*S9,".")*$B$68</f>
        <v>21365.510930599936</v>
      </c>
      <c r="T68" s="64">
        <f>IFERROR(up_RadSpec!$M$9*T9,".")*$B$68</f>
        <v>10431.526100439543</v>
      </c>
      <c r="U68" s="64">
        <f>IFERROR(up_RadSpec!$N$9*U9,".")*$B$68</f>
        <v>14825.520165844979</v>
      </c>
      <c r="V68" s="64">
        <f>IFERROR(up_RadSpec!$O$9*V9,".")*$B$68</f>
        <v>17985.214189771512</v>
      </c>
      <c r="W68" s="64">
        <f>IFERROR(up_RadSpec!$K$9*W9,".")*$B$68</f>
        <v>5889.2603803668626</v>
      </c>
      <c r="X68" s="73">
        <f t="shared" si="71"/>
        <v>1</v>
      </c>
      <c r="Y68" s="73">
        <f t="shared" si="71"/>
        <v>1</v>
      </c>
      <c r="Z68" s="73">
        <f t="shared" si="71"/>
        <v>1</v>
      </c>
      <c r="AA68" s="73">
        <f t="shared" si="71"/>
        <v>1</v>
      </c>
      <c r="AB68" s="73">
        <f t="shared" si="71"/>
        <v>1</v>
      </c>
      <c r="AC68" s="56">
        <f t="shared" si="78"/>
        <v>2.909091490909207E-11</v>
      </c>
      <c r="AD68" s="56">
        <f t="shared" si="78"/>
        <v>1.5927275912727909E-7</v>
      </c>
      <c r="AE68" s="56">
        <f t="shared" si="72"/>
        <v>2.9085602470284717E-11</v>
      </c>
      <c r="AF68" s="64">
        <f>IFERROR(up_RadSpec!$G$9*AF9,".")*$B$68</f>
        <v>1909702743.059375</v>
      </c>
      <c r="AG68" s="64">
        <f>IFERROR(up_RadSpec!$J$9*AG9,".")*$B$68</f>
        <v>348804.15398344741</v>
      </c>
      <c r="AH68" s="73">
        <f t="shared" si="73"/>
        <v>1</v>
      </c>
      <c r="AI68" s="73">
        <f t="shared" si="73"/>
        <v>1</v>
      </c>
      <c r="AJ68" s="73">
        <f t="shared" si="74"/>
        <v>1</v>
      </c>
    </row>
    <row r="69" spans="1:36" x14ac:dyDescent="0.25">
      <c r="A69" s="55" t="s">
        <v>311</v>
      </c>
      <c r="B69" s="60">
        <v>1.9999999999999999E-7</v>
      </c>
      <c r="C69" s="56">
        <f>IFERROR(C24/$B55,0)</f>
        <v>1.8181818181818184E-2</v>
      </c>
      <c r="D69" s="56">
        <f>IFERROR(D24/$B55,0)</f>
        <v>45.125160444768603</v>
      </c>
      <c r="E69" s="56">
        <f>IFERROR(E24/$B55,0)</f>
        <v>22.943681137790271</v>
      </c>
      <c r="F69" s="56">
        <f t="shared" si="67"/>
        <v>1.8160110058053288E-2</v>
      </c>
      <c r="G69" s="64">
        <f>IFERROR(up_RadSpec!$I$24*G24,".")*$B$69</f>
        <v>3.0555249999999998</v>
      </c>
      <c r="H69" s="64">
        <f>IFERROR(up_RadSpec!$G$24*H24,".")*$B$69</f>
        <v>1.2311313567072433E-3</v>
      </c>
      <c r="I69" s="64">
        <f>IFERROR(up_RadSpec!$F$24*I24,".")*$B$69</f>
        <v>2.4213638459478059E-3</v>
      </c>
      <c r="J69" s="73">
        <f t="shared" si="68"/>
        <v>0.95290201216511283</v>
      </c>
      <c r="K69" s="73">
        <f t="shared" si="68"/>
        <v>1.2311313567072433E-3</v>
      </c>
      <c r="L69" s="73">
        <f t="shared" si="68"/>
        <v>2.4213638459478059E-3</v>
      </c>
      <c r="M69" s="73">
        <f t="shared" si="69"/>
        <v>0.95307372356131292</v>
      </c>
      <c r="N69" s="56">
        <f t="shared" ref="N69:AD69" si="79">IFERROR(N24/$B55,0)</f>
        <v>22.943681137790271</v>
      </c>
      <c r="O69" s="56">
        <f t="shared" si="79"/>
        <v>41.59723721131018</v>
      </c>
      <c r="P69" s="56">
        <f t="shared" si="79"/>
        <v>29.370337401551669</v>
      </c>
      <c r="Q69" s="56">
        <f t="shared" si="79"/>
        <v>24.526136013662963</v>
      </c>
      <c r="R69" s="56">
        <f t="shared" si="79"/>
        <v>69.134865134865109</v>
      </c>
      <c r="S69" s="64">
        <f>IFERROR(up_RadSpec!$F$24*S24,".")*$B$69</f>
        <v>2.4213638459478059E-3</v>
      </c>
      <c r="T69" s="64">
        <f>IFERROR(up_RadSpec!$M$24*T24,".")*$B$69</f>
        <v>1.3355454286010787E-3</v>
      </c>
      <c r="U69" s="64">
        <f>IFERROR(up_RadSpec!$N$24*U24,".")*$B$69</f>
        <v>1.8915342796526728E-3</v>
      </c>
      <c r="V69" s="64">
        <f>IFERROR(up_RadSpec!$O$24*V24,".")*$B$69</f>
        <v>2.2651346289954337E-3</v>
      </c>
      <c r="W69" s="64">
        <f>IFERROR(up_RadSpec!$K$24*W24,".")*$B$69</f>
        <v>8.0357428761343289E-4</v>
      </c>
      <c r="X69" s="73">
        <f t="shared" si="71"/>
        <v>2.4213638459478059E-3</v>
      </c>
      <c r="Y69" s="73">
        <f t="shared" si="71"/>
        <v>1.3355454286010787E-3</v>
      </c>
      <c r="Z69" s="73">
        <f t="shared" si="71"/>
        <v>1.8915342796526728E-3</v>
      </c>
      <c r="AA69" s="73">
        <f t="shared" si="71"/>
        <v>2.2651346289954337E-3</v>
      </c>
      <c r="AB69" s="73">
        <f t="shared" si="71"/>
        <v>8.0357428761343289E-4</v>
      </c>
      <c r="AC69" s="56">
        <f t="shared" si="79"/>
        <v>1.4545454545454546E-4</v>
      </c>
      <c r="AD69" s="56">
        <f t="shared" si="79"/>
        <v>0.79636363636363638</v>
      </c>
      <c r="AE69" s="56">
        <f t="shared" si="72"/>
        <v>1.4542798326582112E-4</v>
      </c>
      <c r="AF69" s="64">
        <f>IFERROR(up_RadSpec!$G$24*AF24,".")*$B$69</f>
        <v>381.94062499999995</v>
      </c>
      <c r="AG69" s="64">
        <f>IFERROR(up_RadSpec!$J$24*AG24,".")*$B$69</f>
        <v>6.9760844748858436E-2</v>
      </c>
      <c r="AH69" s="73">
        <f t="shared" si="73"/>
        <v>1</v>
      </c>
      <c r="AI69" s="73">
        <f t="shared" si="73"/>
        <v>6.7383166549522144E-2</v>
      </c>
      <c r="AJ69" s="73">
        <f t="shared" si="74"/>
        <v>1</v>
      </c>
    </row>
    <row r="70" spans="1:36" x14ac:dyDescent="0.25">
      <c r="A70" s="55" t="s">
        <v>312</v>
      </c>
      <c r="B70" s="60">
        <v>0.99979000004200003</v>
      </c>
      <c r="C70" s="56">
        <f>IFERROR(C20/$B56,0)</f>
        <v>3.6371274329718012E-9</v>
      </c>
      <c r="D70" s="56">
        <f>IFERROR(D20/$B56,0)</f>
        <v>9.0269277434007028E-6</v>
      </c>
      <c r="E70" s="56">
        <f>IFERROR(E20/$B56,0)</f>
        <v>3.5946960422736805E-6</v>
      </c>
      <c r="F70" s="56">
        <f t="shared" si="67"/>
        <v>3.6319891720506608E-9</v>
      </c>
      <c r="G70" s="64">
        <f>IFERROR(up_RadSpec!$I$20*G20,".")*$B$70</f>
        <v>15274416.699391661</v>
      </c>
      <c r="H70" s="64">
        <f>IFERROR(up_RadSpec!$G$20*H20,".")*$B$70</f>
        <v>6154.3640958702117</v>
      </c>
      <c r="I70" s="64">
        <f>IFERROR(up_RadSpec!$F$20*I20,".")*$B$70</f>
        <v>15454.714208565156</v>
      </c>
      <c r="J70" s="73">
        <f t="shared" si="68"/>
        <v>1</v>
      </c>
      <c r="K70" s="73">
        <f t="shared" si="68"/>
        <v>1</v>
      </c>
      <c r="L70" s="73">
        <f t="shared" si="68"/>
        <v>1</v>
      </c>
      <c r="M70" s="73">
        <f t="shared" si="69"/>
        <v>1</v>
      </c>
      <c r="N70" s="56">
        <f t="shared" ref="N70:AD70" si="80">IFERROR(N20/$B56,0)</f>
        <v>3.5946960422736805E-6</v>
      </c>
      <c r="O70" s="56">
        <f t="shared" si="80"/>
        <v>7.089081048046034E-6</v>
      </c>
      <c r="P70" s="56">
        <f t="shared" si="80"/>
        <v>4.9600825761736329E-6</v>
      </c>
      <c r="Q70" s="56">
        <f t="shared" si="80"/>
        <v>4.1648674918735938E-6</v>
      </c>
      <c r="R70" s="56">
        <f t="shared" si="80"/>
        <v>1.2079522776261757E-5</v>
      </c>
      <c r="S70" s="64">
        <f>IFERROR(up_RadSpec!$F$20*S20,".")*$B$70</f>
        <v>15454.714208565156</v>
      </c>
      <c r="T70" s="64">
        <f>IFERROR(up_RadSpec!$M$20*T20,".")*$B$70</f>
        <v>7836.6997955697861</v>
      </c>
      <c r="U70" s="64">
        <f>IFERROR(up_RadSpec!$N$20*U20,".")*$B$70</f>
        <v>11200.418369416926</v>
      </c>
      <c r="V70" s="64">
        <f>IFERROR(up_RadSpec!$O$20*V20,".")*$B$70</f>
        <v>13338.959788852297</v>
      </c>
      <c r="W70" s="64">
        <f>IFERROR(up_RadSpec!$K$20*W20,".")*$B$70</f>
        <v>4599.1055299945028</v>
      </c>
      <c r="X70" s="73">
        <f t="shared" si="71"/>
        <v>1</v>
      </c>
      <c r="Y70" s="73">
        <f t="shared" si="71"/>
        <v>1</v>
      </c>
      <c r="Z70" s="73">
        <f t="shared" si="71"/>
        <v>1</v>
      </c>
      <c r="AA70" s="73">
        <f t="shared" si="71"/>
        <v>1</v>
      </c>
      <c r="AB70" s="73">
        <f t="shared" si="71"/>
        <v>1</v>
      </c>
      <c r="AC70" s="56">
        <f t="shared" si="80"/>
        <v>2.9097019463774407E-11</v>
      </c>
      <c r="AD70" s="56">
        <f t="shared" si="80"/>
        <v>1.5930618156416487E-7</v>
      </c>
      <c r="AE70" s="56">
        <f t="shared" si="72"/>
        <v>2.9091705910183507E-11</v>
      </c>
      <c r="AF70" s="64">
        <f>IFERROR(up_RadSpec!$G$20*AF20,".")*$B$70</f>
        <v>1909302087.4239576</v>
      </c>
      <c r="AG70" s="64">
        <f>IFERROR(up_RadSpec!$J$20*AG20,".")*$B$70</f>
        <v>348730.97487195564</v>
      </c>
      <c r="AH70" s="73">
        <f t="shared" si="73"/>
        <v>1</v>
      </c>
      <c r="AI70" s="73">
        <f t="shared" si="73"/>
        <v>1</v>
      </c>
      <c r="AJ70" s="73">
        <f t="shared" si="74"/>
        <v>1</v>
      </c>
    </row>
    <row r="71" spans="1:36" x14ac:dyDescent="0.25">
      <c r="A71" s="55" t="s">
        <v>313</v>
      </c>
      <c r="B71" s="60">
        <v>2.0999995799999999E-4</v>
      </c>
      <c r="C71" s="56">
        <f>IFERROR(C29/$B57,0)</f>
        <v>1.7316020779221475E-5</v>
      </c>
      <c r="D71" s="56">
        <f>IFERROR(D29/$B57,0)</f>
        <v>4.2976351876002378E-2</v>
      </c>
      <c r="E71" s="56">
        <f>IFERROR(E29/$B57,0)</f>
        <v>1.3469593212689498E-2</v>
      </c>
      <c r="F71" s="56">
        <f t="shared" si="67"/>
        <v>1.7286832248250486E-5</v>
      </c>
      <c r="G71" s="64">
        <f>IFERROR(up_RadSpec!$I$29*G29,".")*$B$71</f>
        <v>3208.3006083397499</v>
      </c>
      <c r="H71" s="64">
        <f>IFERROR(up_RadSpec!$G$29*H29,".")*$B$71</f>
        <v>1.2926876660050206</v>
      </c>
      <c r="I71" s="64">
        <f>IFERROR(up_RadSpec!$F$29*I29,".")*$B$71</f>
        <v>4.1244749654104238</v>
      </c>
      <c r="J71" s="73">
        <f t="shared" si="68"/>
        <v>1</v>
      </c>
      <c r="K71" s="73">
        <f t="shared" si="68"/>
        <v>0.72546805951030835</v>
      </c>
      <c r="L71" s="73">
        <f t="shared" si="68"/>
        <v>0.98382801678987186</v>
      </c>
      <c r="M71" s="73">
        <f t="shared" si="69"/>
        <v>1</v>
      </c>
      <c r="N71" s="56">
        <f t="shared" ref="N71:AD71" si="81">IFERROR(N29/$B57,0)</f>
        <v>1.3469593212689498E-2</v>
      </c>
      <c r="O71" s="56">
        <f t="shared" si="81"/>
        <v>2.6878109727410501E-2</v>
      </c>
      <c r="P71" s="56">
        <f t="shared" si="81"/>
        <v>1.9147851056235173E-2</v>
      </c>
      <c r="Q71" s="56">
        <f t="shared" si="81"/>
        <v>1.6242320930781859E-2</v>
      </c>
      <c r="R71" s="56">
        <f t="shared" si="81"/>
        <v>4.8264472462811847E-2</v>
      </c>
      <c r="S71" s="64">
        <f>IFERROR(up_RadSpec!$F$29*S29,".")*$B$71</f>
        <v>4.1244749654104238</v>
      </c>
      <c r="T71" s="64">
        <f>IFERROR(up_RadSpec!$M$29*T29,".")*$B$71</f>
        <v>2.0669236253375578</v>
      </c>
      <c r="U71" s="64">
        <f>IFERROR(up_RadSpec!$N$29*U29,".")*$B$71</f>
        <v>2.9013699676710956</v>
      </c>
      <c r="V71" s="64">
        <f>IFERROR(up_RadSpec!$O$29*V29,".")*$B$71</f>
        <v>3.4203855616911345</v>
      </c>
      <c r="W71" s="64">
        <f>IFERROR(up_RadSpec!$K$29*W29,".")*$B$71</f>
        <v>1.1510537081453764</v>
      </c>
      <c r="X71" s="73">
        <f t="shared" si="71"/>
        <v>0.98382801678987186</v>
      </c>
      <c r="Y71" s="73">
        <f t="shared" si="71"/>
        <v>0.87342542582434091</v>
      </c>
      <c r="Z71" s="73">
        <f t="shared" si="71"/>
        <v>0.94505210836569664</v>
      </c>
      <c r="AA71" s="73">
        <f t="shared" si="71"/>
        <v>0.96730017529154932</v>
      </c>
      <c r="AB71" s="73">
        <f t="shared" si="71"/>
        <v>0.68369669764465357</v>
      </c>
      <c r="AC71" s="56">
        <f t="shared" si="81"/>
        <v>1.3852816623377178E-7</v>
      </c>
      <c r="AD71" s="56">
        <f t="shared" si="81"/>
        <v>7.5844171012990041E-4</v>
      </c>
      <c r="AE71" s="56">
        <f t="shared" si="72"/>
        <v>1.3850286890611771E-7</v>
      </c>
      <c r="AF71" s="64">
        <f>IFERROR(up_RadSpec!$G$29*AF29,".")*$B$71</f>
        <v>401037.57604246872</v>
      </c>
      <c r="AG71" s="64">
        <f>IFERROR(up_RadSpec!$J$29*AG29,".")*$B$71</f>
        <v>73.248872336523945</v>
      </c>
      <c r="AH71" s="73">
        <f t="shared" si="73"/>
        <v>1</v>
      </c>
      <c r="AI71" s="73">
        <f t="shared" si="73"/>
        <v>1</v>
      </c>
      <c r="AJ71" s="73">
        <f t="shared" si="74"/>
        <v>1</v>
      </c>
    </row>
    <row r="72" spans="1:36" x14ac:dyDescent="0.25">
      <c r="A72" s="55" t="s">
        <v>314</v>
      </c>
      <c r="B72" s="60">
        <v>1</v>
      </c>
      <c r="C72" s="56">
        <f>IFERROR(C16/$B58,0)</f>
        <v>3.6363636363636364E-9</v>
      </c>
      <c r="D72" s="56">
        <f>IFERROR(D16/$B58,0)</f>
        <v>9.0250320889537196E-6</v>
      </c>
      <c r="E72" s="56">
        <f>IFERROR(E16/$B58,0)</f>
        <v>7.6494620302510558E-2</v>
      </c>
      <c r="F72" s="56">
        <f t="shared" si="67"/>
        <v>3.6348988910319158E-9</v>
      </c>
      <c r="G72" s="64">
        <f>IFERROR(up_RadSpec!$I$16*G16,".")*$B$72</f>
        <v>15277625</v>
      </c>
      <c r="H72" s="64">
        <f>IFERROR(up_RadSpec!$G$16*H16,".")*$B$72</f>
        <v>6155.6567835362166</v>
      </c>
      <c r="I72" s="64">
        <f>IFERROR(up_RadSpec!$F$16*I16,".")*$B$72</f>
        <v>0.72626022301043658</v>
      </c>
      <c r="J72" s="73">
        <f t="shared" si="68"/>
        <v>1</v>
      </c>
      <c r="K72" s="73">
        <f t="shared" si="68"/>
        <v>1</v>
      </c>
      <c r="L72" s="73">
        <f t="shared" si="68"/>
        <v>0.5162854035795148</v>
      </c>
      <c r="M72" s="73">
        <f t="shared" si="69"/>
        <v>1</v>
      </c>
      <c r="N72" s="56">
        <f t="shared" ref="N72:AD72" si="82">IFERROR(N16/$B58,0)</f>
        <v>7.6494620302510558E-2</v>
      </c>
      <c r="O72" s="56">
        <f t="shared" si="82"/>
        <v>0.13623429416112345</v>
      </c>
      <c r="P72" s="56">
        <f t="shared" si="82"/>
        <v>8.1841380561977761E-2</v>
      </c>
      <c r="Q72" s="56">
        <f t="shared" si="82"/>
        <v>8.2264249380461771E-2</v>
      </c>
      <c r="R72" s="56">
        <f t="shared" si="82"/>
        <v>3.1854545454545455</v>
      </c>
      <c r="S72" s="64">
        <f>IFERROR(up_RadSpec!$F$16*S16,".")*$B$72</f>
        <v>0.72626022301043658</v>
      </c>
      <c r="T72" s="64">
        <f>IFERROR(up_RadSpec!$M$16*T16,".")*$B$72</f>
        <v>0.40779012613590104</v>
      </c>
      <c r="U72" s="64">
        <f>IFERROR(up_RadSpec!$N$16*U16,".")*$B$72</f>
        <v>0.67881308475641711</v>
      </c>
      <c r="V72" s="64">
        <f>IFERROR(up_RadSpec!$O$16*V16,".")*$B$72</f>
        <v>0.67532373319380989</v>
      </c>
      <c r="W72" s="64">
        <f>IFERROR(up_RadSpec!$K$16*W16,".")*$B$72</f>
        <v>1.7440211187214609E-2</v>
      </c>
      <c r="X72" s="73">
        <f t="shared" si="71"/>
        <v>0.5162854035795148</v>
      </c>
      <c r="Y72" s="73">
        <f t="shared" si="71"/>
        <v>0.33488154484455557</v>
      </c>
      <c r="Z72" s="73">
        <f t="shared" si="71"/>
        <v>0.49278133920943523</v>
      </c>
      <c r="AA72" s="73">
        <f t="shared" si="71"/>
        <v>0.49100838354891563</v>
      </c>
      <c r="AB72" s="73">
        <f t="shared" si="71"/>
        <v>1.7289010967995955E-2</v>
      </c>
      <c r="AC72" s="56">
        <f t="shared" si="82"/>
        <v>2.9090909090909089E-11</v>
      </c>
      <c r="AD72" s="56">
        <f t="shared" si="82"/>
        <v>1.5927272727272726E-7</v>
      </c>
      <c r="AE72" s="56">
        <f t="shared" si="72"/>
        <v>2.9085596653164224E-11</v>
      </c>
      <c r="AF72" s="64">
        <f>IFERROR(up_RadSpec!$G$16*AF16,".")*$B$72</f>
        <v>1909703125</v>
      </c>
      <c r="AG72" s="64">
        <f>IFERROR(up_RadSpec!$J$16*AG16,".")*$B$72</f>
        <v>348804.22374429216</v>
      </c>
      <c r="AH72" s="73">
        <f t="shared" si="73"/>
        <v>1</v>
      </c>
      <c r="AI72" s="73">
        <f t="shared" si="73"/>
        <v>1</v>
      </c>
      <c r="AJ72" s="73">
        <f t="shared" si="74"/>
        <v>1</v>
      </c>
    </row>
    <row r="73" spans="1:36" x14ac:dyDescent="0.25">
      <c r="A73" s="55" t="s">
        <v>315</v>
      </c>
      <c r="B73" s="60">
        <v>1</v>
      </c>
      <c r="C73" s="56">
        <f>IFERROR(C7/$B59,0)</f>
        <v>3.6363636363636364E-9</v>
      </c>
      <c r="D73" s="56">
        <f>IFERROR(D7/$B59,0)</f>
        <v>9.0250320889537196E-6</v>
      </c>
      <c r="E73" s="56">
        <f>IFERROR(E7/$B59,0)</f>
        <v>9.1843397478433964E-6</v>
      </c>
      <c r="F73" s="56">
        <f t="shared" si="67"/>
        <v>3.633461043767029E-9</v>
      </c>
      <c r="G73" s="64">
        <f>IFERROR(up_RadSpec!$I$7*G7,".")*$B$73</f>
        <v>15277625</v>
      </c>
      <c r="H73" s="64">
        <f>IFERROR(up_RadSpec!$G$7*H7,".")*$B$73</f>
        <v>6155.6567835362166</v>
      </c>
      <c r="I73" s="64">
        <f>IFERROR(up_RadSpec!$F$7*I7,".")*$B$73</f>
        <v>6048.8833737934237</v>
      </c>
      <c r="J73" s="73">
        <f t="shared" si="68"/>
        <v>1</v>
      </c>
      <c r="K73" s="73">
        <f t="shared" si="68"/>
        <v>1</v>
      </c>
      <c r="L73" s="73">
        <f t="shared" si="68"/>
        <v>1</v>
      </c>
      <c r="M73" s="73">
        <f t="shared" si="69"/>
        <v>1</v>
      </c>
      <c r="N73" s="56">
        <f t="shared" ref="N73:AD73" si="83">IFERROR(N7/$B59,0)</f>
        <v>9.1843397478433964E-6</v>
      </c>
      <c r="O73" s="56">
        <f t="shared" si="83"/>
        <v>1.4611153552330032E-5</v>
      </c>
      <c r="P73" s="56">
        <f t="shared" si="83"/>
        <v>1.0704545454545454E-5</v>
      </c>
      <c r="Q73" s="56">
        <f t="shared" si="83"/>
        <v>9.8471359678034877E-6</v>
      </c>
      <c r="R73" s="56">
        <f t="shared" si="83"/>
        <v>2.5004236405305914E-5</v>
      </c>
      <c r="S73" s="64">
        <f>IFERROR(up_RadSpec!$F$7*S7,".")*$B$73</f>
        <v>6048.8833737934237</v>
      </c>
      <c r="T73" s="64">
        <f>IFERROR(up_RadSpec!$M$7*T7,".")*$B$73</f>
        <v>3802.2323015789998</v>
      </c>
      <c r="U73" s="64">
        <f>IFERROR(up_RadSpec!$N$7*U7,".")*$B$73</f>
        <v>5189.8513800424607</v>
      </c>
      <c r="V73" s="64">
        <f>IFERROR(up_RadSpec!$O$7*V7,".")*$B$73</f>
        <v>5641.7419421895274</v>
      </c>
      <c r="W73" s="64">
        <f>IFERROR(up_RadSpec!$K$7*W7,".")*$B$73</f>
        <v>2221.8234982057352</v>
      </c>
      <c r="X73" s="73">
        <f t="shared" si="71"/>
        <v>1</v>
      </c>
      <c r="Y73" s="73">
        <f t="shared" si="71"/>
        <v>1</v>
      </c>
      <c r="Z73" s="73">
        <f t="shared" si="71"/>
        <v>1</v>
      </c>
      <c r="AA73" s="73">
        <f t="shared" si="71"/>
        <v>1</v>
      </c>
      <c r="AB73" s="73">
        <f t="shared" si="71"/>
        <v>1</v>
      </c>
      <c r="AC73" s="56">
        <f t="shared" si="83"/>
        <v>2.9090909090909089E-11</v>
      </c>
      <c r="AD73" s="56">
        <f t="shared" si="83"/>
        <v>1.5927272727272726E-7</v>
      </c>
      <c r="AE73" s="56">
        <f t="shared" si="72"/>
        <v>2.9085596653164224E-11</v>
      </c>
      <c r="AF73" s="64">
        <f>IFERROR(up_RadSpec!$G$7*AF7,".")*$B$73</f>
        <v>1909703125</v>
      </c>
      <c r="AG73" s="64">
        <f>IFERROR(up_RadSpec!$J$7*AG7,".")*$B$73</f>
        <v>348804.22374429216</v>
      </c>
      <c r="AH73" s="73">
        <f t="shared" si="73"/>
        <v>1</v>
      </c>
      <c r="AI73" s="73">
        <f t="shared" si="73"/>
        <v>1</v>
      </c>
      <c r="AJ73" s="73">
        <f t="shared" si="74"/>
        <v>1</v>
      </c>
    </row>
    <row r="74" spans="1:36" x14ac:dyDescent="0.25">
      <c r="A74" s="55" t="s">
        <v>316</v>
      </c>
      <c r="B74" s="62">
        <v>1.9000000000000001E-8</v>
      </c>
      <c r="C74" s="56">
        <f>IFERROR(C12/$B60,0)</f>
        <v>0.19138755980861244</v>
      </c>
      <c r="D74" s="56">
        <f>IFERROR(D12/$B60,0)</f>
        <v>475.00168889230099</v>
      </c>
      <c r="E74" s="56">
        <f>IFERROR(E12/$B60,0)</f>
        <v>375.16872799494445</v>
      </c>
      <c r="F74" s="56">
        <f t="shared" si="67"/>
        <v>0.19121297145883548</v>
      </c>
      <c r="G74" s="64">
        <f>IFERROR(up_RadSpec!$I$12*G12,".")*$B$74</f>
        <v>0.29027487500000004</v>
      </c>
      <c r="H74" s="64">
        <f>IFERROR(up_RadSpec!$G$12*H12,".")*$B$74</f>
        <v>1.1695747888718812E-4</v>
      </c>
      <c r="I74" s="64">
        <f>IFERROR(up_RadSpec!$F$12*I12,".")*$B$74</f>
        <v>1.4808003933832305E-4</v>
      </c>
      <c r="J74" s="73">
        <f t="shared" si="68"/>
        <v>0.25194208310416244</v>
      </c>
      <c r="K74" s="73">
        <f t="shared" si="68"/>
        <v>1.1695747888718812E-4</v>
      </c>
      <c r="L74" s="73">
        <f t="shared" si="68"/>
        <v>1.4808003933832305E-4</v>
      </c>
      <c r="M74" s="73">
        <f t="shared" si="69"/>
        <v>0.2521403202466449</v>
      </c>
      <c r="N74" s="56">
        <f t="shared" ref="N74:AD74" si="84">IFERROR(N12/$B60,0)</f>
        <v>375.16872799494445</v>
      </c>
      <c r="O74" s="56">
        <f t="shared" si="84"/>
        <v>673.07676010623607</v>
      </c>
      <c r="P74" s="56">
        <f t="shared" si="84"/>
        <v>488.039636348236</v>
      </c>
      <c r="Q74" s="56">
        <f t="shared" si="84"/>
        <v>431.00706650788999</v>
      </c>
      <c r="R74" s="56">
        <f t="shared" si="84"/>
        <v>1161.8982521238161</v>
      </c>
      <c r="S74" s="64">
        <f>IFERROR(up_RadSpec!$F$12*S12,".")*$B$74</f>
        <v>1.4808003933832305E-4</v>
      </c>
      <c r="T74" s="64">
        <f>IFERROR(up_RadSpec!$M$12*T12,".")*$B$74</f>
        <v>8.2538877127820274E-5</v>
      </c>
      <c r="U74" s="64">
        <f>IFERROR(up_RadSpec!$N$12*U12,".")*$B$74</f>
        <v>1.1383296737062408E-4</v>
      </c>
      <c r="V74" s="64">
        <f>IFERROR(up_RadSpec!$O$12*V12,".")*$B$74</f>
        <v>1.2889579850770963E-4</v>
      </c>
      <c r="W74" s="64">
        <f>IFERROR(up_RadSpec!$K$12*W12,".")*$B$74</f>
        <v>4.7813997394739049E-5</v>
      </c>
      <c r="X74" s="73">
        <f t="shared" si="71"/>
        <v>1.4808003933832305E-4</v>
      </c>
      <c r="Y74" s="73">
        <f t="shared" si="71"/>
        <v>8.2538877127820274E-5</v>
      </c>
      <c r="Z74" s="73">
        <f t="shared" si="71"/>
        <v>1.1383296737062408E-4</v>
      </c>
      <c r="AA74" s="73">
        <f t="shared" si="71"/>
        <v>1.2889579850770963E-4</v>
      </c>
      <c r="AB74" s="73">
        <f t="shared" si="71"/>
        <v>4.7813997394739049E-5</v>
      </c>
      <c r="AC74" s="56">
        <f t="shared" si="84"/>
        <v>1.5311004784688993E-3</v>
      </c>
      <c r="AD74" s="56">
        <f t="shared" si="84"/>
        <v>8.3827751196172233</v>
      </c>
      <c r="AE74" s="56">
        <f t="shared" si="72"/>
        <v>1.5308208764823273E-3</v>
      </c>
      <c r="AF74" s="64">
        <f>IFERROR(up_RadSpec!$G$12*AF12,".")*$B$74</f>
        <v>36.284359375000001</v>
      </c>
      <c r="AG74" s="64">
        <f>IFERROR(up_RadSpec!$J$12*AG12,".")*$B$74</f>
        <v>6.6272802511415513E-3</v>
      </c>
      <c r="AH74" s="73">
        <f t="shared" si="73"/>
        <v>0.99999999999999978</v>
      </c>
      <c r="AI74" s="73">
        <f t="shared" si="73"/>
        <v>6.6272802511415513E-3</v>
      </c>
      <c r="AJ74" s="73">
        <f t="shared" si="74"/>
        <v>0.99999999999999978</v>
      </c>
    </row>
    <row r="75" spans="1:36" x14ac:dyDescent="0.25">
      <c r="A75" s="55" t="s">
        <v>317</v>
      </c>
      <c r="B75" s="60">
        <v>1</v>
      </c>
      <c r="C75" s="56">
        <f>IFERROR(C18/$B61,0)</f>
        <v>3.6363636363636364E-9</v>
      </c>
      <c r="D75" s="56">
        <f>IFERROR(D18/$B61,0)</f>
        <v>9.0250320889537196E-6</v>
      </c>
      <c r="E75" s="56">
        <f>IFERROR(E18/$B61,0)</f>
        <v>3.5819104981705612E-6</v>
      </c>
      <c r="F75" s="56">
        <f t="shared" si="67"/>
        <v>3.6312141316916604E-9</v>
      </c>
      <c r="G75" s="64">
        <f>IFERROR(up_RadSpec!$I$18*G18,".")*$B$75</f>
        <v>15277625</v>
      </c>
      <c r="H75" s="64">
        <f>IFERROR(up_RadSpec!$G$18*H18,".")*$B$75</f>
        <v>6155.6567835362166</v>
      </c>
      <c r="I75" s="64">
        <f>IFERROR(up_RadSpec!$F$18*I18,".")*$B$75</f>
        <v>15509.879442374222</v>
      </c>
      <c r="J75" s="73">
        <f t="shared" si="68"/>
        <v>1</v>
      </c>
      <c r="K75" s="73">
        <f t="shared" si="68"/>
        <v>1</v>
      </c>
      <c r="L75" s="73">
        <f t="shared" si="68"/>
        <v>1</v>
      </c>
      <c r="M75" s="73">
        <f t="shared" si="69"/>
        <v>1</v>
      </c>
      <c r="N75" s="56">
        <f t="shared" ref="N75:AD75" si="85">IFERROR(N18/$B61,0)</f>
        <v>3.5819104981705612E-6</v>
      </c>
      <c r="O75" s="56">
        <f t="shared" si="85"/>
        <v>7.087561164048418E-6</v>
      </c>
      <c r="P75" s="56">
        <f t="shared" si="85"/>
        <v>4.9633877043552491E-6</v>
      </c>
      <c r="Q75" s="56">
        <f t="shared" si="85"/>
        <v>4.1122563526890516E-6</v>
      </c>
      <c r="R75" s="56">
        <f t="shared" si="85"/>
        <v>1.2047552447552445E-5</v>
      </c>
      <c r="S75" s="64">
        <f>IFERROR(up_RadSpec!$F$18*S18,".")*$B$75</f>
        <v>15509.879442374222</v>
      </c>
      <c r="T75" s="64">
        <f>IFERROR(up_RadSpec!$M$18*T18,".")*$B$75</f>
        <v>7838.3803277497173</v>
      </c>
      <c r="U75" s="64">
        <f>IFERROR(up_RadSpec!$N$18*U18,".")*$B$75</f>
        <v>11192.959992073931</v>
      </c>
      <c r="V75" s="64">
        <f>IFERROR(up_RadSpec!$O$18*V18,".")*$B$75</f>
        <v>13509.614974190979</v>
      </c>
      <c r="W75" s="64">
        <f>IFERROR(up_RadSpec!$K$18*W18,".")*$B$75</f>
        <v>4611.3100766194566</v>
      </c>
      <c r="X75" s="73">
        <f t="shared" si="71"/>
        <v>1</v>
      </c>
      <c r="Y75" s="73">
        <f t="shared" si="71"/>
        <v>1</v>
      </c>
      <c r="Z75" s="73">
        <f t="shared" si="71"/>
        <v>1</v>
      </c>
      <c r="AA75" s="73">
        <f t="shared" si="71"/>
        <v>1</v>
      </c>
      <c r="AB75" s="73">
        <f t="shared" si="71"/>
        <v>1</v>
      </c>
      <c r="AC75" s="56">
        <f t="shared" si="85"/>
        <v>2.9090909090909089E-11</v>
      </c>
      <c r="AD75" s="56">
        <f t="shared" si="85"/>
        <v>1.5927272727272726E-7</v>
      </c>
      <c r="AE75" s="56">
        <f t="shared" si="72"/>
        <v>2.9085596653164224E-11</v>
      </c>
      <c r="AF75" s="64">
        <f>IFERROR(up_RadSpec!$G$18*AF18,".")*$B$75</f>
        <v>1909703125</v>
      </c>
      <c r="AG75" s="64">
        <f>IFERROR(up_RadSpec!$J$18*AG18,".")*$B$75</f>
        <v>348804.22374429216</v>
      </c>
      <c r="AH75" s="73">
        <f t="shared" si="73"/>
        <v>1</v>
      </c>
      <c r="AI75" s="73">
        <f t="shared" si="73"/>
        <v>1</v>
      </c>
      <c r="AJ75" s="73">
        <f t="shared" si="74"/>
        <v>1</v>
      </c>
    </row>
    <row r="76" spans="1:36" x14ac:dyDescent="0.25">
      <c r="A76" s="55" t="s">
        <v>318</v>
      </c>
      <c r="B76" s="60">
        <v>1.339E-6</v>
      </c>
      <c r="C76" s="56">
        <f>IFERROR(C27/$B62,0)</f>
        <v>2.7157308710706769E-3</v>
      </c>
      <c r="D76" s="56">
        <f>IFERROR(D27/$B62,0)</f>
        <v>6.7401285205031511</v>
      </c>
      <c r="E76" s="56">
        <f>IFERROR(E27/$B62,0)</f>
        <v>4.3901003530817375</v>
      </c>
      <c r="F76" s="56">
        <f t="shared" si="67"/>
        <v>2.7129595202094047E-3</v>
      </c>
      <c r="G76" s="64">
        <f>IFERROR(up_RadSpec!$I$27*G27,".")*$B$76</f>
        <v>20.456739875</v>
      </c>
      <c r="H76" s="64">
        <f>IFERROR(up_RadSpec!$G$27*H27,".")*$B$76</f>
        <v>8.2424244331549944E-3</v>
      </c>
      <c r="I76" s="64">
        <f>IFERROR(up_RadSpec!$F$27*I27,".")*$B$76</f>
        <v>1.2654608216644023E-2</v>
      </c>
      <c r="J76" s="73">
        <f t="shared" si="68"/>
        <v>0.99999999869457856</v>
      </c>
      <c r="K76" s="73">
        <f t="shared" si="68"/>
        <v>8.2424244331549944E-3</v>
      </c>
      <c r="L76" s="73">
        <f t="shared" si="68"/>
        <v>1.2574875345876424E-2</v>
      </c>
      <c r="M76" s="73">
        <f t="shared" si="69"/>
        <v>0.99999999872157486</v>
      </c>
      <c r="N76" s="56">
        <f t="shared" ref="N76:AD76" si="86">IFERROR(N27/$B62,0)</f>
        <v>4.3901003530817375</v>
      </c>
      <c r="O76" s="56">
        <f t="shared" si="86"/>
        <v>13.021786593580162</v>
      </c>
      <c r="P76" s="56">
        <f t="shared" si="86"/>
        <v>7.9833343734491127</v>
      </c>
      <c r="Q76" s="56">
        <f t="shared" si="86"/>
        <v>5.8075673411227244</v>
      </c>
      <c r="R76" s="56">
        <f t="shared" si="86"/>
        <v>40.731919794291827</v>
      </c>
      <c r="S76" s="64">
        <f>IFERROR(up_RadSpec!$F$27*S27,".")*$B$76</f>
        <v>1.2654608216644023E-2</v>
      </c>
      <c r="T76" s="64">
        <f>IFERROR(up_RadSpec!$M$27*T27,".")*$B$76</f>
        <v>4.2663116616723723E-3</v>
      </c>
      <c r="U76" s="64">
        <f>IFERROR(up_RadSpec!$N$27*U27,".")*$B$76</f>
        <v>6.9588717447141143E-3</v>
      </c>
      <c r="V76" s="64">
        <f>IFERROR(up_RadSpec!$O$27*V27,".")*$B$76</f>
        <v>9.5659674243674022E-3</v>
      </c>
      <c r="W76" s="64">
        <f>IFERROR(up_RadSpec!$K$27*W27,".")*$B$76</f>
        <v>1.3639180348132148E-3</v>
      </c>
      <c r="X76" s="73">
        <f t="shared" si="71"/>
        <v>1.2574875345876424E-2</v>
      </c>
      <c r="Y76" s="73">
        <f t="shared" si="71"/>
        <v>4.2663116616723723E-3</v>
      </c>
      <c r="Z76" s="73">
        <f t="shared" si="71"/>
        <v>6.9588717447141143E-3</v>
      </c>
      <c r="AA76" s="73">
        <f t="shared" si="71"/>
        <v>9.5659674243674022E-3</v>
      </c>
      <c r="AB76" s="73">
        <f t="shared" si="71"/>
        <v>1.3639180348132148E-3</v>
      </c>
      <c r="AC76" s="56">
        <f t="shared" si="86"/>
        <v>2.1725846968565415E-5</v>
      </c>
      <c r="AD76" s="56">
        <f t="shared" si="86"/>
        <v>0.11894901215289563</v>
      </c>
      <c r="AE76" s="56">
        <f t="shared" si="72"/>
        <v>2.1721879501989711E-5</v>
      </c>
      <c r="AF76" s="64">
        <f>IFERROR(up_RadSpec!$G$27*AF27,".")*$B$76</f>
        <v>2557.0924843749999</v>
      </c>
      <c r="AG76" s="64">
        <f>IFERROR(up_RadSpec!$J$27*AG27,".")*$B$76</f>
        <v>0.4670488555936072</v>
      </c>
      <c r="AH76" s="73">
        <f t="shared" si="73"/>
        <v>1</v>
      </c>
      <c r="AI76" s="73">
        <f t="shared" si="73"/>
        <v>0.37315053543843246</v>
      </c>
      <c r="AJ76" s="73">
        <f t="shared" si="74"/>
        <v>1</v>
      </c>
    </row>
  </sheetData>
  <autoFilter ref="A1:AJ76" xr:uid="{00000000-0009-0000-0000-00000A000000}"/>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8">
    <tabColor theme="9" tint="-0.499984740745262"/>
  </sheetPr>
  <dimension ref="A1:AJ76"/>
  <sheetViews>
    <sheetView zoomScale="90" zoomScaleNormal="90" workbookViewId="0">
      <pane xSplit="2" ySplit="1" topLeftCell="C2" activePane="bottomRight" state="frozen"/>
      <selection pane="topRight" activeCell="C1" sqref="C1"/>
      <selection pane="bottomLeft" activeCell="A2" sqref="A2"/>
      <selection pane="bottomRight" activeCell="C2" sqref="C2"/>
    </sheetView>
  </sheetViews>
  <sheetFormatPr defaultColWidth="9.140625" defaultRowHeight="15" x14ac:dyDescent="0.25"/>
  <cols>
    <col min="1" max="1" width="15.42578125" style="3" customWidth="1"/>
    <col min="2" max="2" width="13.28515625" style="3" bestFit="1" customWidth="1"/>
    <col min="3" max="3" width="14.42578125" style="2" bestFit="1" customWidth="1"/>
    <col min="4" max="4" width="14.5703125" style="2" bestFit="1" customWidth="1"/>
    <col min="5" max="5" width="14.28515625" style="2" bestFit="1" customWidth="1"/>
    <col min="6" max="8" width="14.140625" style="2" bestFit="1" customWidth="1"/>
    <col min="9" max="9" width="14" style="2" bestFit="1" customWidth="1"/>
    <col min="10" max="11" width="14.5703125" style="2" bestFit="1" customWidth="1"/>
    <col min="12" max="12" width="14.42578125" style="2" bestFit="1" customWidth="1"/>
    <col min="13" max="13" width="14.28515625" style="2" bestFit="1" customWidth="1"/>
    <col min="14" max="14" width="13.5703125" style="2" bestFit="1" customWidth="1"/>
    <col min="15" max="16" width="15.42578125" style="2" bestFit="1" customWidth="1"/>
    <col min="17" max="17" width="16.42578125" style="2" bestFit="1" customWidth="1"/>
    <col min="18" max="18" width="13.85546875" style="2" bestFit="1" customWidth="1"/>
    <col min="19" max="19" width="13.140625" style="2" bestFit="1" customWidth="1"/>
    <col min="20" max="21" width="14.85546875" style="2" bestFit="1" customWidth="1"/>
    <col min="22" max="22" width="16" style="2" bestFit="1" customWidth="1"/>
    <col min="23" max="24" width="13.5703125" style="2" bestFit="1" customWidth="1"/>
    <col min="25" max="26" width="15.42578125" style="2" bestFit="1" customWidth="1"/>
    <col min="27" max="27" width="16.42578125" style="2" bestFit="1" customWidth="1"/>
    <col min="28" max="28" width="14.140625" style="2" bestFit="1" customWidth="1"/>
    <col min="29" max="29" width="13.85546875" style="2" bestFit="1" customWidth="1"/>
    <col min="30" max="30" width="14.140625" style="2" bestFit="1" customWidth="1"/>
    <col min="31" max="31" width="13.28515625" style="2" bestFit="1" customWidth="1"/>
    <col min="32" max="32" width="13.42578125" style="2" bestFit="1" customWidth="1"/>
    <col min="33" max="33" width="13.85546875" style="2" bestFit="1" customWidth="1"/>
    <col min="34" max="34" width="14" style="2" bestFit="1" customWidth="1"/>
    <col min="35" max="35" width="14.28515625" style="2" bestFit="1" customWidth="1"/>
    <col min="36" max="36" width="13.7109375" style="2" bestFit="1" customWidth="1"/>
    <col min="37" max="16384" width="9.140625" style="2"/>
  </cols>
  <sheetData>
    <row r="1" spans="1:36" x14ac:dyDescent="0.25">
      <c r="A1" s="47" t="s">
        <v>51</v>
      </c>
      <c r="B1" s="47" t="s">
        <v>274</v>
      </c>
      <c r="C1" s="48" t="s">
        <v>364</v>
      </c>
      <c r="D1" s="48" t="s">
        <v>365</v>
      </c>
      <c r="E1" s="48" t="s">
        <v>366</v>
      </c>
      <c r="F1" s="48" t="s">
        <v>367</v>
      </c>
      <c r="G1" s="65" t="s">
        <v>376</v>
      </c>
      <c r="H1" s="65" t="s">
        <v>377</v>
      </c>
      <c r="I1" s="65" t="s">
        <v>378</v>
      </c>
      <c r="J1" s="66" t="s">
        <v>379</v>
      </c>
      <c r="K1" s="66" t="s">
        <v>380</v>
      </c>
      <c r="L1" s="66" t="s">
        <v>381</v>
      </c>
      <c r="M1" s="66" t="s">
        <v>382</v>
      </c>
      <c r="N1" s="48" t="s">
        <v>368</v>
      </c>
      <c r="O1" s="50" t="s">
        <v>369</v>
      </c>
      <c r="P1" s="50" t="s">
        <v>370</v>
      </c>
      <c r="Q1" s="50" t="s">
        <v>371</v>
      </c>
      <c r="R1" s="50" t="s">
        <v>372</v>
      </c>
      <c r="S1" s="67" t="s">
        <v>394</v>
      </c>
      <c r="T1" s="67" t="s">
        <v>395</v>
      </c>
      <c r="U1" s="67" t="s">
        <v>396</v>
      </c>
      <c r="V1" s="67" t="s">
        <v>397</v>
      </c>
      <c r="W1" s="67" t="s">
        <v>398</v>
      </c>
      <c r="X1" s="68" t="s">
        <v>399</v>
      </c>
      <c r="Y1" s="68" t="s">
        <v>400</v>
      </c>
      <c r="Z1" s="68" t="s">
        <v>401</v>
      </c>
      <c r="AA1" s="68" t="s">
        <v>402</v>
      </c>
      <c r="AB1" s="68" t="s">
        <v>403</v>
      </c>
      <c r="AC1" s="50" t="s">
        <v>373</v>
      </c>
      <c r="AD1" s="50" t="s">
        <v>374</v>
      </c>
      <c r="AE1" s="50" t="s">
        <v>375</v>
      </c>
      <c r="AF1" s="67" t="s">
        <v>404</v>
      </c>
      <c r="AG1" s="67" t="s">
        <v>405</v>
      </c>
      <c r="AH1" s="68" t="s">
        <v>406</v>
      </c>
      <c r="AI1" s="68" t="s">
        <v>407</v>
      </c>
      <c r="AJ1" s="68" t="s">
        <v>408</v>
      </c>
    </row>
    <row r="2" spans="1:36" x14ac:dyDescent="0.25">
      <c r="A2" s="49" t="s">
        <v>12</v>
      </c>
      <c r="B2" s="50" t="s">
        <v>289</v>
      </c>
      <c r="C2" s="48">
        <f>IFERROR((s_TR/(up_RadSpec!I2*s_EF_w*s_ED_com*s_IRS_w*(1/1000)))*1,".")</f>
        <v>3.6363636363636364E-9</v>
      </c>
      <c r="D2" s="48">
        <f>IFERROR(IF(A2="H-3",(s_TR/(up_RadSpec!G2*s_EF_w*s_ED_com*(s_ET_w_o+s_ET_w_i)*(1/24)*s_IRA_w*(1/17)*1000))*1,(s_TR/(up_RadSpec!G2*s_EF_w*s_ED_com*(s_ET_w_o+s_ET_w_i)*(1/24)*s_IRA_w*(1/s_PEF_wind)*1000))*1),".")</f>
        <v>9.0250320889537196E-6</v>
      </c>
      <c r="E2" s="48">
        <f>IFERROR((s_TR/(up_RadSpec!F2*s_EF_w*(1/365)*s_ED_com*up_RadSpec!Q2*(s_ET_w_o+s_ET_w_i)*(1/24)*up_RadSpec!V2))*1,".")</f>
        <v>1.6909254955570751E-5</v>
      </c>
      <c r="F2" s="48">
        <f t="shared" ref="F2:F30" si="0">(IF(AND(ISNUMBER(C2),ISNUMBER(D2),ISNUMBER(E2)),1/((1/C2)+(1/D2)+(1/E2)),IF(AND(ISNUMBER(C2),ISNUMBER(D2),NOT(ISNUMBER(E2))), 1/((1/C2)+(1/D2)),IF(AND(ISNUMBER(C2),NOT(ISNUMBER(D2)),ISNUMBER(E2)),1/((1/C2)+(1/E2)),IF(AND(NOT(ISNUMBER(C2)),ISNUMBER(D2),ISNUMBER(E2)),1/((1/D2)+(1/E2)),IF(AND(ISNUMBER(C2),NOT(ISNUMBER(D2)),NOT(ISNUMBER(E2))),1/((1/C2)),IF(AND(NOT(ISNUMBER(C2)),NOT(ISNUMBER(D2)),ISNUMBER(E2)),1/((1/E2)),IF(AND(NOT(ISNUMBER(C2)),ISNUMBER(D2),NOT(ISNUMBER(E2))),1/((1/D2)),IF(AND(NOT(ISNUMBER(C2)),NOT(ISNUMBER(D2)),NOT(ISNUMBER(E2))),".")))))))))</f>
        <v>3.6341178553811329E-9</v>
      </c>
      <c r="G2" s="69">
        <f t="shared" ref="G2:G30" si="1">s_C*s_EF_w*s_ED_com*s_IRS_w*(1/1000)*1</f>
        <v>3055525</v>
      </c>
      <c r="H2" s="69">
        <f t="shared" ref="H2:H30" si="2">s_C*s_EF_w*s_ED_com*(s_ET_w_o+s_ET_w_i)*(1/24)*s_IRA_w*(1/s_PEF_wind)*1000*1</f>
        <v>1231.1313567072434</v>
      </c>
      <c r="I2" s="69">
        <f>s_C*s_EF_w*(1/365)*s_ED_com*(s_ET_w_o+s_ET_w_i)*(1/24)*up_RadSpec!V2*up_RadSpec!Q2*1</f>
        <v>657.09577560893558</v>
      </c>
      <c r="J2" s="11"/>
      <c r="K2" s="11"/>
      <c r="L2" s="11"/>
      <c r="M2" s="11"/>
      <c r="N2" s="48">
        <f>IFERROR((s_TR/(up_RadSpec!F2*s_EF_w*(1/365)*s_ED_com*up_RadSpec!Q2*(s_ET_w_o+s_ET_w_i)*(1/24)*up_RadSpec!V2))*1,".")</f>
        <v>1.6909254955570751E-5</v>
      </c>
      <c r="O2" s="48">
        <f>IFERROR((s_TR/(up_RadSpec!M2*s_EF_w*(1/365)*s_ED_com*up_RadSpec!R2*(s_ET_w_o+s_ET_w_i)*(1/24)*up_RadSpec!W2))*1,".")</f>
        <v>3.4189433603046162E-5</v>
      </c>
      <c r="P2" s="48">
        <f>IFERROR((s_TR/(up_RadSpec!N2*s_EF_w*(1/365)*s_ED_com*up_RadSpec!S2*(s_ET_w_o+s_ET_w_i)*(1/24)*up_RadSpec!X2))*1,".")</f>
        <v>2.322107051826677E-5</v>
      </c>
      <c r="Q2" s="48">
        <f>IFERROR((s_TR/(up_RadSpec!O2*s_EF_w*(1/365)*s_ED_com*up_RadSpec!T2*(s_ET_w_o+s_ET_w_i)*(1/24)*up_RadSpec!Y2))*1,".")</f>
        <v>1.9301841948900769E-5</v>
      </c>
      <c r="R2" s="48">
        <f>IFERROR((s_TR/(up_RadSpec!K2*s_EF_w*(1/365)*s_ED_com*up_RadSpec!P2*(s_ET_w_o+s_ET_w_i)*(1/24)*up_RadSpec!U2))*1,".")</f>
        <v>2.705519000939976E-4</v>
      </c>
      <c r="S2" s="69">
        <f>s_C*s_EF_w*(1/365)*s_ED_com*(s_ET_w_o+s_ET_w_i)*(1/24)*up_RadSpec!V2*up_RadSpec!Q2*1</f>
        <v>657.09577560893558</v>
      </c>
      <c r="T2" s="69">
        <f>s_C*s_EF_w*(1/365)*s_ED_com*(s_ET_w_o+s_ET_w_i)*(1/24)*up_RadSpec!W2*up_RadSpec!R2*1</f>
        <v>324.98344748858455</v>
      </c>
      <c r="U2" s="69">
        <f>s_C*s_EF_w*(1/365)*s_ED_com*(s_ET_w_o+s_ET_w_i)*(1/24)*up_RadSpec!X2*up_RadSpec!S2*1</f>
        <v>478.48784539281121</v>
      </c>
      <c r="V2" s="69">
        <f>s_C*s_EF_w*(1/365)*s_ED_com*(s_ET_w_o+s_ET_w_i)*(1/24)*up_RadSpec!Y2*up_RadSpec!T2*1</f>
        <v>575.64454363552409</v>
      </c>
      <c r="W2" s="69">
        <f>s_C*s_EF_w*(1/365)*s_ED_com*(s_ET_w_o+s_ET_w_i)*(1/24)*up_RadSpec!U2*up_RadSpec!P2*1</f>
        <v>41.067905995632309</v>
      </c>
      <c r="X2" s="11"/>
      <c r="Y2" s="11"/>
      <c r="Z2" s="11"/>
      <c r="AA2" s="11"/>
      <c r="AB2" s="11"/>
      <c r="AC2" s="48">
        <f>IFERROR(s_TR/(up_RadSpec!G2*s_EF_w*s_ED_com*(s_ET_w_o+s_ET_w_i)*(1/24)*s_IRA_w),".")</f>
        <v>2.9090909090909089E-11</v>
      </c>
      <c r="AD2" s="48">
        <f>IFERROR(s_TR/(up_RadSpec!J2*s_EF_w*(1/365)*s_ED_com*(s_ET_w_o+s_ET_w_i)*(1/24)*s_GSF_a),".")</f>
        <v>1.5927272727272726E-7</v>
      </c>
      <c r="AE2" s="48">
        <f t="shared" ref="AE2" si="3">IFERROR(IF(AND(ISNUMBER(AC2),ISNUMBER(AD2)),1/((1/AC2)+(1/AD2)),IF(AND(ISNUMBER(AC2),NOT(ISNUMBER(AD2))),1/((1/AC2)),IF(AND(NOT(ISNUMBER(AC2)),ISNUMBER(AD2)),1/((1/AD2)),IF(AND(NOT(ISNUMBER(AC2)),NOT(ISNUMBER(AD2))),".")))),".")</f>
        <v>2.9085596653164224E-11</v>
      </c>
      <c r="AF2" s="69">
        <f t="shared" ref="AF2:AF30" si="4">s_C*s_EF_w*s_ED_com*(s_ET_w_o+s_ET_w_i)*(1/24)*s_IRA_w*1</f>
        <v>381940625</v>
      </c>
      <c r="AG2" s="69">
        <f t="shared" ref="AG2:AG30" si="5">s_C*s_EF_w*(1/365)*s_ED_com*(s_ET_w_o+s_ET_w_i)*(1/24)*s_GSF_a*1</f>
        <v>69760.844748858435</v>
      </c>
      <c r="AH2" s="11"/>
      <c r="AI2" s="11"/>
      <c r="AJ2" s="11"/>
    </row>
    <row r="3" spans="1:36" x14ac:dyDescent="0.25">
      <c r="A3" s="51" t="s">
        <v>13</v>
      </c>
      <c r="B3" s="50" t="s">
        <v>275</v>
      </c>
      <c r="C3" s="48">
        <f>IFERROR((s_TR/(up_RadSpec!I3*s_EF_w*s_ED_com*s_IRS_w*(1/1000)))*1,".")</f>
        <v>3.6363636363636364E-9</v>
      </c>
      <c r="D3" s="48">
        <f>IFERROR(IF(A3="H-3",(s_TR/(up_RadSpec!G3*s_EF_w*s_ED_com*(s_ET_w_o+s_ET_w_i)*(1/24)*s_IRA_w*(1/17)*1000))*1,(s_TR/(up_RadSpec!G3*s_EF_w*s_ED_com*(s_ET_w_o+s_ET_w_i)*(1/24)*s_IRA_w*(1/s_PEF_wind)*1000))*1),".")</f>
        <v>9.0250320889537196E-6</v>
      </c>
      <c r="E3" s="48">
        <f>IFERROR((s_TR/(up_RadSpec!F3*s_EF_w*(1/365)*s_ED_com*up_RadSpec!Q3*(s_ET_w_o+s_ET_w_i)*(1/24)*up_RadSpec!V3))*1,".")</f>
        <v>2.2184415584415593E-3</v>
      </c>
      <c r="F3" s="48">
        <f t="shared" si="0"/>
        <v>3.6348931080125592E-9</v>
      </c>
      <c r="G3" s="69">
        <f t="shared" si="1"/>
        <v>3055525</v>
      </c>
      <c r="H3" s="69">
        <f t="shared" si="2"/>
        <v>1231.1313567072434</v>
      </c>
      <c r="I3" s="69">
        <f>s_C*s_EF_w*(1/365)*s_ED_com*(s_ET_w_o+s_ET_w_i)*(1/24)*up_RadSpec!V3*up_RadSpec!Q3*1</f>
        <v>5.008470905046245</v>
      </c>
      <c r="J3" s="4"/>
      <c r="K3" s="4"/>
      <c r="L3" s="4"/>
      <c r="M3" s="4"/>
      <c r="N3" s="48">
        <f>IFERROR((s_TR/(up_RadSpec!F3*s_EF_w*(1/365)*s_ED_com*up_RadSpec!Q3*(s_ET_w_o+s_ET_w_i)*(1/24)*up_RadSpec!V3))*1,".")</f>
        <v>2.2184415584415593E-3</v>
      </c>
      <c r="O3" s="48">
        <f>IFERROR((s_TR/(up_RadSpec!M3*s_EF_w*(1/365)*s_ED_com*up_RadSpec!R3*(s_ET_w_o+s_ET_w_i)*(1/24)*up_RadSpec!W3))*1,".")</f>
        <v>3.1106175132324275E-3</v>
      </c>
      <c r="P3" s="48">
        <f>IFERROR((s_TR/(up_RadSpec!N3*s_EF_w*(1/365)*s_ED_com*up_RadSpec!S3*(s_ET_w_o+s_ET_w_i)*(1/24)*up_RadSpec!X3))*1,".")</f>
        <v>2.3582923154193873E-3</v>
      </c>
      <c r="Q3" s="48">
        <f>IFERROR((s_TR/(up_RadSpec!O3*s_EF_w*(1/365)*s_ED_com*up_RadSpec!T3*(s_ET_w_o+s_ET_w_i)*(1/24)*up_RadSpec!Y3))*1,".")</f>
        <v>2.430968353680217E-3</v>
      </c>
      <c r="R3" s="48">
        <f>IFERROR((s_TR/(up_RadSpec!K3*s_EF_w*(1/365)*s_ED_com*up_RadSpec!P3*(s_ET_w_o+s_ET_w_i)*(1/24)*up_RadSpec!U3))*1,".")</f>
        <v>4.8228185429946419E-3</v>
      </c>
      <c r="S3" s="69">
        <f>s_C*s_EF_w*(1/365)*s_ED_com*(s_ET_w_o+s_ET_w_i)*(1/24)*up_RadSpec!V3*up_RadSpec!Q3*1</f>
        <v>5.008470905046245</v>
      </c>
      <c r="T3" s="69">
        <f>s_C*s_EF_w*(1/365)*s_ED_com*(s_ET_w_o+s_ET_w_i)*(1/24)*up_RadSpec!W3*up_RadSpec!R3*1</f>
        <v>3.5719595716073429</v>
      </c>
      <c r="U3" s="69">
        <f>s_C*s_EF_w*(1/365)*s_ED_com*(s_ET_w_o+s_ET_w_i)*(1/24)*up_RadSpec!X3*up_RadSpec!S3*1</f>
        <v>4.7114600371430511</v>
      </c>
      <c r="V3" s="69">
        <f>s_C*s_EF_w*(1/365)*s_ED_com*(s_ET_w_o+s_ET_w_i)*(1/24)*up_RadSpec!Y3*up_RadSpec!T3*1</f>
        <v>4.5706065992916667</v>
      </c>
      <c r="W3" s="69">
        <f>s_C*s_EF_w*(1/365)*s_ED_com*(s_ET_w_o+s_ET_w_i)*(1/24)*up_RadSpec!U3*up_RadSpec!P3*1</f>
        <v>2.3038395288869444</v>
      </c>
      <c r="X3" s="11"/>
      <c r="Y3" s="11"/>
      <c r="Z3" s="11"/>
      <c r="AA3" s="11"/>
      <c r="AB3" s="11"/>
      <c r="AC3" s="48">
        <f>IFERROR(s_TR/(up_RadSpec!G3*s_EF_w*s_ED_com*(s_ET_w_o+s_ET_w_i)*(1/24)*s_IRA_w),".")</f>
        <v>2.9090909090909089E-11</v>
      </c>
      <c r="AD3" s="48">
        <f>IFERROR(s_TR/(up_RadSpec!J3*s_EF_w*(1/365)*s_ED_com*(s_ET_w_o+s_ET_w_i)*(1/24)*s_GSF_a),".")</f>
        <v>1.5927272727272726E-7</v>
      </c>
      <c r="AE3" s="48">
        <f>IFERROR(IF(AND(ISNUMBER(AC3),ISNUMBER(AD3)),1/((1/AC3)+(1/AD3)),IF(AND(ISNUMBER(AC3),NOT(ISNUMBER(AD3))),1/((1/AC3)),IF(AND(NOT(ISNUMBER(AC3)),ISNUMBER(AD3)),1/((1/AD3)),IF(AND(NOT(ISNUMBER(AC3)),NOT(ISNUMBER(AD3))),".")))),".")</f>
        <v>2.9085596653164224E-11</v>
      </c>
      <c r="AF3" s="69">
        <f t="shared" si="4"/>
        <v>381940625</v>
      </c>
      <c r="AG3" s="69">
        <f t="shared" si="5"/>
        <v>69760.844748858435</v>
      </c>
      <c r="AH3" s="10"/>
      <c r="AI3" s="10"/>
      <c r="AJ3" s="10"/>
    </row>
    <row r="4" spans="1:36" x14ac:dyDescent="0.25">
      <c r="A4" s="49" t="s">
        <v>14</v>
      </c>
      <c r="B4" s="50" t="s">
        <v>289</v>
      </c>
      <c r="C4" s="48">
        <f>IFERROR((s_TR/(up_RadSpec!I4*s_EF_w*s_ED_com*s_IRS_w*(1/1000)))*1,".")</f>
        <v>3.6363636363636364E-9</v>
      </c>
      <c r="D4" s="48">
        <f>IFERROR(IF(A4="H-3",(s_TR/(up_RadSpec!G4*s_EF_w*s_ED_com*(s_ET_w_o+s_ET_w_i)*(1/24)*s_IRA_w*(1/17)*1000))*1,(s_TR/(up_RadSpec!G4*s_EF_w*s_ED_com*(s_ET_w_o+s_ET_w_i)*(1/24)*s_IRA_w*(1/s_PEF_wind)*1000))*1),".")</f>
        <v>9.0250320889537196E-6</v>
      </c>
      <c r="E4" s="48">
        <f>IFERROR((s_TR/(up_RadSpec!F4*s_EF_w*(1/365)*s_ED_com*up_RadSpec!Q4*(s_ET_w_o+s_ET_w_i)*(1/24)*up_RadSpec!V4))*1,".")</f>
        <v>8.2585858585858615E-6</v>
      </c>
      <c r="F4" s="48">
        <f t="shared" si="0"/>
        <v>3.6332999184912709E-9</v>
      </c>
      <c r="G4" s="69">
        <f t="shared" si="1"/>
        <v>3055525</v>
      </c>
      <c r="H4" s="69">
        <f t="shared" si="2"/>
        <v>1231.1313567072434</v>
      </c>
      <c r="I4" s="69">
        <f>s_C*s_EF_w*(1/365)*s_ED_com*(s_ET_w_o+s_ET_w_i)*(1/24)*up_RadSpec!V4*up_RadSpec!Q4*1</f>
        <v>1345.3877201565551</v>
      </c>
      <c r="J4" s="4"/>
      <c r="K4" s="4"/>
      <c r="L4" s="4"/>
      <c r="M4" s="4"/>
      <c r="N4" s="48">
        <f>IFERROR((s_TR/(up_RadSpec!F4*s_EF_w*(1/365)*s_ED_com*up_RadSpec!Q4*(s_ET_w_o+s_ET_w_i)*(1/24)*up_RadSpec!V4))*1,".")</f>
        <v>8.2585858585858615E-6</v>
      </c>
      <c r="O4" s="48">
        <f>IFERROR((s_TR/(up_RadSpec!M4*s_EF_w*(1/365)*s_ED_com*up_RadSpec!R4*(s_ET_w_o+s_ET_w_i)*(1/24)*up_RadSpec!W4))*1,".")</f>
        <v>1.3476923076923083E-5</v>
      </c>
      <c r="P4" s="48">
        <f>IFERROR((s_TR/(up_RadSpec!N4*s_EF_w*(1/365)*s_ED_com*up_RadSpec!S4*(s_ET_w_o+s_ET_w_i)*(1/24)*up_RadSpec!X4))*1,".")</f>
        <v>9.694861660079048E-6</v>
      </c>
      <c r="Q4" s="48">
        <f>IFERROR((s_TR/(up_RadSpec!O4*s_EF_w*(1/365)*s_ED_com*up_RadSpec!T4*(s_ET_w_o+s_ET_w_i)*(1/24)*up_RadSpec!Y4))*1,".")</f>
        <v>8.4393416567329615E-6</v>
      </c>
      <c r="R4" s="48">
        <f>IFERROR((s_TR/(up_RadSpec!K4*s_EF_w*(1/365)*s_ED_com*up_RadSpec!P4*(s_ET_w_o+s_ET_w_i)*(1/24)*up_RadSpec!U4))*1,".")</f>
        <v>2.4888664733324919E-5</v>
      </c>
      <c r="S4" s="69">
        <f>s_C*s_EF_w*(1/365)*s_ED_com*(s_ET_w_o+s_ET_w_i)*(1/24)*up_RadSpec!V4*up_RadSpec!Q4*1</f>
        <v>1345.3877201565551</v>
      </c>
      <c r="T4" s="69">
        <f>s_C*s_EF_w*(1/365)*s_ED_com*(s_ET_w_o+s_ET_w_i)*(1/24)*up_RadSpec!W4*up_RadSpec!R4*1</f>
        <v>824.44634703196311</v>
      </c>
      <c r="U4" s="69">
        <f>s_C*s_EF_w*(1/365)*s_ED_com*(s_ET_w_o+s_ET_w_i)*(1/24)*up_RadSpec!X4*up_RadSpec!S4*1</f>
        <v>1146.0710208741032</v>
      </c>
      <c r="V4" s="69">
        <f>s_C*s_EF_w*(1/365)*s_ED_com*(s_ET_w_o+s_ET_w_i)*(1/24)*up_RadSpec!Y4*up_RadSpec!T4*1</f>
        <v>1316.5718905497292</v>
      </c>
      <c r="W4" s="69">
        <f>s_C*s_EF_w*(1/365)*s_ED_com*(s_ET_w_o+s_ET_w_i)*(1/24)*up_RadSpec!U4*up_RadSpec!P4*1</f>
        <v>446.4281277863339</v>
      </c>
      <c r="X4" s="11"/>
      <c r="Y4" s="11"/>
      <c r="Z4" s="11"/>
      <c r="AA4" s="11"/>
      <c r="AB4" s="11"/>
      <c r="AC4" s="48">
        <f>IFERROR(s_TR/(up_RadSpec!G4*s_EF_w*s_ED_com*(s_ET_w_o+s_ET_w_i)*(1/24)*s_IRA_w),".")</f>
        <v>2.9090909090909089E-11</v>
      </c>
      <c r="AD4" s="48">
        <f>IFERROR(s_TR/(up_RadSpec!J4*s_EF_w*(1/365)*s_ED_com*(s_ET_w_o+s_ET_w_i)*(1/24)*s_GSF_a),".")</f>
        <v>1.5927272727272726E-7</v>
      </c>
      <c r="AE4" s="48">
        <f t="shared" ref="AE4:AE30" si="6">IFERROR(IF(AND(ISNUMBER(AC4),ISNUMBER(AD4)),1/((1/AC4)+(1/AD4)),IF(AND(ISNUMBER(AC4),NOT(ISNUMBER(AD4))),1/((1/AC4)),IF(AND(NOT(ISNUMBER(AC4)),ISNUMBER(AD4)),1/((1/AD4)),IF(AND(NOT(ISNUMBER(AC4)),NOT(ISNUMBER(AD4))),".")))),".")</f>
        <v>2.9085596653164224E-11</v>
      </c>
      <c r="AF4" s="69">
        <f t="shared" si="4"/>
        <v>381940625</v>
      </c>
      <c r="AG4" s="69">
        <f t="shared" si="5"/>
        <v>69760.844748858435</v>
      </c>
      <c r="AH4" s="10"/>
      <c r="AI4" s="10"/>
      <c r="AJ4" s="10"/>
    </row>
    <row r="5" spans="1:36" x14ac:dyDescent="0.25">
      <c r="A5" s="49" t="s">
        <v>15</v>
      </c>
      <c r="B5" s="50" t="s">
        <v>289</v>
      </c>
      <c r="C5" s="48">
        <f>IFERROR((s_TR/(up_RadSpec!I5*s_EF_w*s_ED_com*s_IRS_w*(1/1000)))*1,".")</f>
        <v>3.6363636363636364E-9</v>
      </c>
      <c r="D5" s="48">
        <f>IFERROR(IF(A5="H-3",(s_TR/(up_RadSpec!G5*s_EF_w*s_ED_com*(s_ET_w_o+s_ET_w_i)*(1/24)*s_IRA_w*(1/17)*1000))*1,(s_TR/(up_RadSpec!G5*s_EF_w*s_ED_com*(s_ET_w_o+s_ET_w_i)*(1/24)*s_IRA_w*(1/s_PEF_wind)*1000))*1),".")</f>
        <v>9.0250320889537196E-6</v>
      </c>
      <c r="E5" s="48" t="str">
        <f>IFERROR((s_TR/(up_RadSpec!F5*s_EF_w*(1/365)*s_ED_com*up_RadSpec!Q5*(s_ET_w_o+s_ET_w_i)*(1/24)*up_RadSpec!V5))*1,".")</f>
        <v>.</v>
      </c>
      <c r="F5" s="48">
        <f t="shared" si="0"/>
        <v>3.6348990637563577E-9</v>
      </c>
      <c r="G5" s="69">
        <f t="shared" si="1"/>
        <v>3055525</v>
      </c>
      <c r="H5" s="69">
        <f t="shared" si="2"/>
        <v>1231.1313567072434</v>
      </c>
      <c r="I5" s="69">
        <f>s_C*s_EF_w*(1/365)*s_ED_com*(s_ET_w_o+s_ET_w_i)*(1/24)*up_RadSpec!V5*up_RadSpec!Q5*1</f>
        <v>0</v>
      </c>
      <c r="J5" s="4"/>
      <c r="K5" s="4"/>
      <c r="L5" s="4"/>
      <c r="M5" s="4"/>
      <c r="N5" s="48" t="str">
        <f>IFERROR((s_TR/(up_RadSpec!F5*s_EF_w*(1/365)*s_ED_com*up_RadSpec!Q5*(s_ET_w_o+s_ET_w_i)*(1/24)*up_RadSpec!V5))*1,".")</f>
        <v>.</v>
      </c>
      <c r="O5" s="48" t="str">
        <f>IFERROR((s_TR/(up_RadSpec!M5*s_EF_w*(1/365)*s_ED_com*up_RadSpec!R5*(s_ET_w_o+s_ET_w_i)*(1/24)*up_RadSpec!W5))*1,".")</f>
        <v>.</v>
      </c>
      <c r="P5" s="48" t="str">
        <f>IFERROR((s_TR/(up_RadSpec!N5*s_EF_w*(1/365)*s_ED_com*up_RadSpec!S5*(s_ET_w_o+s_ET_w_i)*(1/24)*up_RadSpec!X5))*1,".")</f>
        <v>.</v>
      </c>
      <c r="Q5" s="48" t="str">
        <f>IFERROR((s_TR/(up_RadSpec!O5*s_EF_w*(1/365)*s_ED_com*up_RadSpec!T5*(s_ET_w_o+s_ET_w_i)*(1/24)*up_RadSpec!Y5))*1,".")</f>
        <v>.</v>
      </c>
      <c r="R5" s="48" t="str">
        <f>IFERROR((s_TR/(up_RadSpec!K5*s_EF_w*(1/365)*s_ED_com*up_RadSpec!P5*(s_ET_w_o+s_ET_w_i)*(1/24)*up_RadSpec!U5))*1,".")</f>
        <v>.</v>
      </c>
      <c r="S5" s="69">
        <f>s_C*s_EF_w*(1/365)*s_ED_com*(s_ET_w_o+s_ET_w_i)*(1/24)*up_RadSpec!V5*up_RadSpec!Q5*1</f>
        <v>0</v>
      </c>
      <c r="T5" s="69">
        <f>s_C*s_EF_w*(1/365)*s_ED_com*(s_ET_w_o+s_ET_w_i)*(1/24)*up_RadSpec!W5*up_RadSpec!R5*1</f>
        <v>0</v>
      </c>
      <c r="U5" s="69">
        <f>s_C*s_EF_w*(1/365)*s_ED_com*(s_ET_w_o+s_ET_w_i)*(1/24)*up_RadSpec!X5*up_RadSpec!S5*1</f>
        <v>0</v>
      </c>
      <c r="V5" s="69">
        <f>s_C*s_EF_w*(1/365)*s_ED_com*(s_ET_w_o+s_ET_w_i)*(1/24)*up_RadSpec!Y5*up_RadSpec!T5*1</f>
        <v>0</v>
      </c>
      <c r="W5" s="69">
        <f>s_C*s_EF_w*(1/365)*s_ED_com*(s_ET_w_o+s_ET_w_i)*(1/24)*up_RadSpec!U5*up_RadSpec!P5*1</f>
        <v>0</v>
      </c>
      <c r="X5" s="11"/>
      <c r="Y5" s="11"/>
      <c r="Z5" s="11"/>
      <c r="AA5" s="11"/>
      <c r="AB5" s="11"/>
      <c r="AC5" s="48">
        <f>IFERROR(s_TR/(up_RadSpec!G5*s_EF_w*s_ED_com*(s_ET_w_o+s_ET_w_i)*(1/24)*s_IRA_w),".")</f>
        <v>2.9090909090909089E-11</v>
      </c>
      <c r="AD5" s="48">
        <f>IFERROR(s_TR/(up_RadSpec!J5*s_EF_w*(1/365)*s_ED_com*(s_ET_w_o+s_ET_w_i)*(1/24)*s_GSF_a),".")</f>
        <v>1.5927272727272726E-7</v>
      </c>
      <c r="AE5" s="48">
        <f t="shared" si="6"/>
        <v>2.9085596653164224E-11</v>
      </c>
      <c r="AF5" s="69">
        <f t="shared" si="4"/>
        <v>381940625</v>
      </c>
      <c r="AG5" s="69">
        <f t="shared" si="5"/>
        <v>69760.844748858435</v>
      </c>
      <c r="AH5" s="10"/>
      <c r="AI5" s="10"/>
      <c r="AJ5" s="10"/>
    </row>
    <row r="6" spans="1:36" x14ac:dyDescent="0.25">
      <c r="A6" s="49" t="s">
        <v>16</v>
      </c>
      <c r="B6" s="50" t="s">
        <v>289</v>
      </c>
      <c r="C6" s="48">
        <f>IFERROR((s_TR/(up_RadSpec!I6*s_EF_w*s_ED_com*s_IRS_w*(1/1000)))*1,".")</f>
        <v>3.6363636363636364E-9</v>
      </c>
      <c r="D6" s="48">
        <f>IFERROR(IF(A6="H-3",(s_TR/(up_RadSpec!G6*s_EF_w*s_ED_com*(s_ET_w_o+s_ET_w_i)*(1/24)*s_IRA_w*(1/17)*1000))*1,(s_TR/(up_RadSpec!G6*s_EF_w*s_ED_com*(s_ET_w_o+s_ET_w_i)*(1/24)*s_IRA_w*(1/s_PEF_wind)*1000))*1),".")</f>
        <v>9.0250320889537196E-6</v>
      </c>
      <c r="E6" s="48">
        <f>IFERROR((s_TR/(up_RadSpec!F6*s_EF_w*(1/365)*s_ED_com*up_RadSpec!Q6*(s_ET_w_o+s_ET_w_i)*(1/24)*up_RadSpec!V6))*1,".")</f>
        <v>4.244672927599756E-6</v>
      </c>
      <c r="F6" s="48">
        <f t="shared" si="0"/>
        <v>3.6317890040001483E-9</v>
      </c>
      <c r="G6" s="69">
        <f t="shared" si="1"/>
        <v>3055525</v>
      </c>
      <c r="H6" s="69">
        <f t="shared" si="2"/>
        <v>1231.1313567072434</v>
      </c>
      <c r="I6" s="69">
        <f>s_C*s_EF_w*(1/365)*s_ED_com*(s_ET_w_o+s_ET_w_i)*(1/24)*up_RadSpec!V6*up_RadSpec!Q6*1</f>
        <v>2617.6339589686504</v>
      </c>
      <c r="J6" s="4"/>
      <c r="K6" s="4"/>
      <c r="L6" s="4"/>
      <c r="M6" s="4"/>
      <c r="N6" s="48">
        <f>IFERROR((s_TR/(up_RadSpec!F6*s_EF_w*(1/365)*s_ED_com*up_RadSpec!Q6*(s_ET_w_o+s_ET_w_i)*(1/24)*up_RadSpec!V6))*1,".")</f>
        <v>4.244672927599756E-6</v>
      </c>
      <c r="O6" s="48">
        <f>IFERROR((s_TR/(up_RadSpec!M6*s_EF_w*(1/365)*s_ED_com*up_RadSpec!R6*(s_ET_w_o+s_ET_w_i)*(1/24)*up_RadSpec!W6))*1,".")</f>
        <v>7.9240991044492487E-6</v>
      </c>
      <c r="P6" s="48">
        <f>IFERROR((s_TR/(up_RadSpec!N6*s_EF_w*(1/365)*s_ED_com*up_RadSpec!S6*(s_ET_w_o+s_ET_w_i)*(1/24)*up_RadSpec!X6))*1,".")</f>
        <v>5.5996573198457961E-6</v>
      </c>
      <c r="Q6" s="48">
        <f>IFERROR((s_TR/(up_RadSpec!O6*s_EF_w*(1/365)*s_ED_com*up_RadSpec!T6*(s_ET_w_o+s_ET_w_i)*(1/24)*up_RadSpec!Y6))*1,".")</f>
        <v>4.6307070707070692E-6</v>
      </c>
      <c r="R6" s="48">
        <f>IFERROR((s_TR/(up_RadSpec!K6*s_EF_w*(1/365)*s_ED_com*up_RadSpec!P6*(s_ET_w_o+s_ET_w_i)*(1/24)*up_RadSpec!U6))*1,".")</f>
        <v>1.3310541310541314E-5</v>
      </c>
      <c r="S6" s="69">
        <f>s_C*s_EF_w*(1/365)*s_ED_com*(s_ET_w_o+s_ET_w_i)*(1/24)*up_RadSpec!V6*up_RadSpec!Q6*1</f>
        <v>2617.6339589686504</v>
      </c>
      <c r="T6" s="69">
        <f>s_C*s_EF_w*(1/365)*s_ED_com*(s_ET_w_o+s_ET_w_i)*(1/24)*up_RadSpec!W6*up_RadSpec!R6*1</f>
        <v>1402.1783238124015</v>
      </c>
      <c r="U6" s="69">
        <f>s_C*s_EF_w*(1/365)*s_ED_com*(s_ET_w_o+s_ET_w_i)*(1/24)*up_RadSpec!X6*up_RadSpec!S6*1</f>
        <v>1984.2285635268079</v>
      </c>
      <c r="V6" s="69">
        <f>s_C*s_EF_w*(1/365)*s_ED_com*(s_ET_w_o+s_ET_w_i)*(1/24)*up_RadSpec!Y6*up_RadSpec!T6*1</f>
        <v>2399.4175900881255</v>
      </c>
      <c r="W6" s="69">
        <f>s_C*s_EF_w*(1/365)*s_ED_com*(s_ET_w_o+s_ET_w_i)*(1/24)*up_RadSpec!U6*up_RadSpec!P6*1</f>
        <v>834.75192636986253</v>
      </c>
      <c r="X6" s="11"/>
      <c r="Y6" s="11"/>
      <c r="Z6" s="11"/>
      <c r="AA6" s="11"/>
      <c r="AB6" s="11"/>
      <c r="AC6" s="48">
        <f>IFERROR(s_TR/(up_RadSpec!G6*s_EF_w*s_ED_com*(s_ET_w_o+s_ET_w_i)*(1/24)*s_IRA_w),".")</f>
        <v>2.9090909090909089E-11</v>
      </c>
      <c r="AD6" s="48">
        <f>IFERROR(s_TR/(up_RadSpec!J6*s_EF_w*(1/365)*s_ED_com*(s_ET_w_o+s_ET_w_i)*(1/24)*s_GSF_a),".")</f>
        <v>1.5927272727272726E-7</v>
      </c>
      <c r="AE6" s="48">
        <f t="shared" si="6"/>
        <v>2.9085596653164224E-11</v>
      </c>
      <c r="AF6" s="69">
        <f t="shared" si="4"/>
        <v>381940625</v>
      </c>
      <c r="AG6" s="69">
        <f t="shared" si="5"/>
        <v>69760.844748858435</v>
      </c>
      <c r="AH6" s="10"/>
      <c r="AI6" s="10"/>
      <c r="AJ6" s="10"/>
    </row>
    <row r="7" spans="1:36" x14ac:dyDescent="0.25">
      <c r="A7" s="49" t="s">
        <v>17</v>
      </c>
      <c r="B7" s="50" t="s">
        <v>289</v>
      </c>
      <c r="C7" s="48">
        <f>IFERROR((s_TR/(up_RadSpec!I7*s_EF_w*s_ED_com*s_IRS_w*(1/1000)))*1,".")</f>
        <v>3.6363636363636364E-9</v>
      </c>
      <c r="D7" s="48">
        <f>IFERROR(IF(A7="H-3",(s_TR/(up_RadSpec!G7*s_EF_w*s_ED_com*(s_ET_w_o+s_ET_w_i)*(1/24)*s_IRA_w*(1/17)*1000))*1,(s_TR/(up_RadSpec!G7*s_EF_w*s_ED_com*(s_ET_w_o+s_ET_w_i)*(1/24)*s_IRA_w*(1/s_PEF_wind)*1000))*1),".")</f>
        <v>9.0250320889537196E-6</v>
      </c>
      <c r="E7" s="48">
        <f>IFERROR((s_TR/(up_RadSpec!F7*s_EF_w*(1/365)*s_ED_com*up_RadSpec!Q7*(s_ET_w_o+s_ET_w_i)*(1/24)*up_RadSpec!V7))*1,".")</f>
        <v>9.1843397478433964E-6</v>
      </c>
      <c r="F7" s="48">
        <f t="shared" si="0"/>
        <v>3.633461043767029E-9</v>
      </c>
      <c r="G7" s="69">
        <f t="shared" si="1"/>
        <v>3055525</v>
      </c>
      <c r="H7" s="69">
        <f t="shared" si="2"/>
        <v>1231.1313567072434</v>
      </c>
      <c r="I7" s="69">
        <f>s_C*s_EF_w*(1/365)*s_ED_com*(s_ET_w_o+s_ET_w_i)*(1/24)*up_RadSpec!V7*up_RadSpec!Q7*1</f>
        <v>1209.7766747586847</v>
      </c>
      <c r="J7" s="4"/>
      <c r="K7" s="4"/>
      <c r="L7" s="4"/>
      <c r="M7" s="4"/>
      <c r="N7" s="48">
        <f>IFERROR((s_TR/(up_RadSpec!F7*s_EF_w*(1/365)*s_ED_com*up_RadSpec!Q7*(s_ET_w_o+s_ET_w_i)*(1/24)*up_RadSpec!V7))*1,".")</f>
        <v>9.1843397478433964E-6</v>
      </c>
      <c r="O7" s="48">
        <f>IFERROR((s_TR/(up_RadSpec!M7*s_EF_w*(1/365)*s_ED_com*up_RadSpec!R7*(s_ET_w_o+s_ET_w_i)*(1/24)*up_RadSpec!W7))*1,".")</f>
        <v>1.4611153552330032E-5</v>
      </c>
      <c r="P7" s="48">
        <f>IFERROR((s_TR/(up_RadSpec!N7*s_EF_w*(1/365)*s_ED_com*up_RadSpec!S7*(s_ET_w_o+s_ET_w_i)*(1/24)*up_RadSpec!X7))*1,".")</f>
        <v>1.0704545454545454E-5</v>
      </c>
      <c r="Q7" s="48">
        <f>IFERROR((s_TR/(up_RadSpec!O7*s_EF_w*(1/365)*s_ED_com*up_RadSpec!T7*(s_ET_w_o+s_ET_w_i)*(1/24)*up_RadSpec!Y7))*1,".")</f>
        <v>9.8471359678034877E-6</v>
      </c>
      <c r="R7" s="48">
        <f>IFERROR((s_TR/(up_RadSpec!K7*s_EF_w*(1/365)*s_ED_com*up_RadSpec!P7*(s_ET_w_o+s_ET_w_i)*(1/24)*up_RadSpec!U7))*1,".")</f>
        <v>2.5004236405305914E-5</v>
      </c>
      <c r="S7" s="69">
        <f>s_C*s_EF_w*(1/365)*s_ED_com*(s_ET_w_o+s_ET_w_i)*(1/24)*up_RadSpec!V7*up_RadSpec!Q7*1</f>
        <v>1209.7766747586847</v>
      </c>
      <c r="T7" s="69">
        <f>s_C*s_EF_w*(1/365)*s_ED_com*(s_ET_w_o+s_ET_w_i)*(1/24)*up_RadSpec!W7*up_RadSpec!R7*1</f>
        <v>760.44646031579998</v>
      </c>
      <c r="U7" s="69">
        <f>s_C*s_EF_w*(1/365)*s_ED_com*(s_ET_w_o+s_ET_w_i)*(1/24)*up_RadSpec!X7*up_RadSpec!S7*1</f>
        <v>1037.9702760084922</v>
      </c>
      <c r="V7" s="69">
        <f>s_C*s_EF_w*(1/365)*s_ED_com*(s_ET_w_o+s_ET_w_i)*(1/24)*up_RadSpec!Y7*up_RadSpec!T7*1</f>
        <v>1128.3483884379054</v>
      </c>
      <c r="W7" s="69">
        <f>s_C*s_EF_w*(1/365)*s_ED_com*(s_ET_w_o+s_ET_w_i)*(1/24)*up_RadSpec!U7*up_RadSpec!P7*1</f>
        <v>444.36469964114707</v>
      </c>
      <c r="X7" s="11"/>
      <c r="Y7" s="11"/>
      <c r="Z7" s="11"/>
      <c r="AA7" s="11"/>
      <c r="AB7" s="11"/>
      <c r="AC7" s="48">
        <f>IFERROR(s_TR/(up_RadSpec!G7*s_EF_w*s_ED_com*(s_ET_w_o+s_ET_w_i)*(1/24)*s_IRA_w),".")</f>
        <v>2.9090909090909089E-11</v>
      </c>
      <c r="AD7" s="48">
        <f>IFERROR(s_TR/(up_RadSpec!J7*s_EF_w*(1/365)*s_ED_com*(s_ET_w_o+s_ET_w_i)*(1/24)*s_GSF_a),".")</f>
        <v>1.5927272727272726E-7</v>
      </c>
      <c r="AE7" s="48">
        <f t="shared" si="6"/>
        <v>2.9085596653164224E-11</v>
      </c>
      <c r="AF7" s="69">
        <f t="shared" si="4"/>
        <v>381940625</v>
      </c>
      <c r="AG7" s="69">
        <f t="shared" si="5"/>
        <v>69760.844748858435</v>
      </c>
      <c r="AH7" s="10"/>
      <c r="AI7" s="10"/>
      <c r="AJ7" s="10"/>
    </row>
    <row r="8" spans="1:36" x14ac:dyDescent="0.25">
      <c r="A8" s="49" t="s">
        <v>18</v>
      </c>
      <c r="B8" s="50" t="s">
        <v>289</v>
      </c>
      <c r="C8" s="48">
        <f>IFERROR((s_TR/(up_RadSpec!I8*s_EF_w*s_ED_com*s_IRS_w*(1/1000)))*1,".")</f>
        <v>3.6363636363636364E-9</v>
      </c>
      <c r="D8" s="48">
        <f>IFERROR(IF(A8="H-3",(s_TR/(up_RadSpec!G8*s_EF_w*s_ED_com*(s_ET_w_o+s_ET_w_i)*(1/24)*s_IRA_w*(1/17)*1000))*1,(s_TR/(up_RadSpec!G8*s_EF_w*s_ED_com*(s_ET_w_o+s_ET_w_i)*(1/24)*s_IRA_w*(1/s_PEF_wind)*1000))*1),".")</f>
        <v>9.0250320889537196E-6</v>
      </c>
      <c r="E8" s="48">
        <f>IFERROR((s_TR/(up_RadSpec!F8*s_EF_w*(1/365)*s_ED_com*up_RadSpec!Q8*(s_ET_w_o+s_ET_w_i)*(1/24)*up_RadSpec!V8))*1,".")</f>
        <v>5.279758915118034E-6</v>
      </c>
      <c r="F8" s="48">
        <f t="shared" si="0"/>
        <v>3.6323983054051189E-9</v>
      </c>
      <c r="G8" s="69">
        <f t="shared" si="1"/>
        <v>3055525</v>
      </c>
      <c r="H8" s="69">
        <f t="shared" si="2"/>
        <v>1231.1313567072434</v>
      </c>
      <c r="I8" s="69">
        <f>s_C*s_EF_w*(1/365)*s_ED_com*(s_ET_w_o+s_ET_w_i)*(1/24)*up_RadSpec!V8*up_RadSpec!Q8*1</f>
        <v>2104.4521499238954</v>
      </c>
      <c r="J8" s="4"/>
      <c r="K8" s="4"/>
      <c r="L8" s="4"/>
      <c r="M8" s="4"/>
      <c r="N8" s="48">
        <f>IFERROR((s_TR/(up_RadSpec!F8*s_EF_w*(1/365)*s_ED_com*up_RadSpec!Q8*(s_ET_w_o+s_ET_w_i)*(1/24)*up_RadSpec!V8))*1,".")</f>
        <v>5.279758915118034E-6</v>
      </c>
      <c r="O8" s="48">
        <f>IFERROR((s_TR/(up_RadSpec!M8*s_EF_w*(1/365)*s_ED_com*up_RadSpec!R8*(s_ET_w_o+s_ET_w_i)*(1/24)*up_RadSpec!W8))*1,".")</f>
        <v>9.6920523695371564E-6</v>
      </c>
      <c r="P8" s="48">
        <f>IFERROR((s_TR/(up_RadSpec!N8*s_EF_w*(1/365)*s_ED_com*up_RadSpec!S8*(s_ET_w_o+s_ET_w_i)*(1/24)*up_RadSpec!X8))*1,".")</f>
        <v>7.0742962621135214E-6</v>
      </c>
      <c r="Q8" s="48">
        <f>IFERROR((s_TR/(up_RadSpec!O8*s_EF_w*(1/365)*s_ED_com*up_RadSpec!T8*(s_ET_w_o+s_ET_w_i)*(1/24)*up_RadSpec!Y8))*1,".")</f>
        <v>6.4860129832885803E-6</v>
      </c>
      <c r="R8" s="48">
        <f>IFERROR((s_TR/(up_RadSpec!K8*s_EF_w*(1/365)*s_ED_com*up_RadSpec!P8*(s_ET_w_o+s_ET_w_i)*(1/24)*up_RadSpec!U8))*1,".")</f>
        <v>1.7958267236119582E-5</v>
      </c>
      <c r="S8" s="69">
        <f>s_C*s_EF_w*(1/365)*s_ED_com*(s_ET_w_o+s_ET_w_i)*(1/24)*up_RadSpec!V8*up_RadSpec!Q8*1</f>
        <v>2104.4521499238954</v>
      </c>
      <c r="T8" s="69">
        <f>s_C*s_EF_w*(1/365)*s_ED_com*(s_ET_w_o+s_ET_w_i)*(1/24)*up_RadSpec!W8*up_RadSpec!R8*1</f>
        <v>1146.4032153729072</v>
      </c>
      <c r="U8" s="69">
        <f>s_C*s_EF_w*(1/365)*s_ED_com*(s_ET_w_o+s_ET_w_i)*(1/24)*up_RadSpec!X8*up_RadSpec!S8*1</f>
        <v>1570.615590345727</v>
      </c>
      <c r="V8" s="69">
        <f>s_C*s_EF_w*(1/365)*s_ED_com*(s_ET_w_o+s_ET_w_i)*(1/24)*up_RadSpec!Y8*up_RadSpec!T8*1</f>
        <v>1713.0708847835867</v>
      </c>
      <c r="W8" s="69">
        <f>s_C*s_EF_w*(1/365)*s_ED_com*(s_ET_w_o+s_ET_w_i)*(1/24)*up_RadSpec!U8*up_RadSpec!P8*1</f>
        <v>618.71225402261359</v>
      </c>
      <c r="X8" s="11"/>
      <c r="Y8" s="11"/>
      <c r="Z8" s="11"/>
      <c r="AA8" s="11"/>
      <c r="AB8" s="11"/>
      <c r="AC8" s="48">
        <f>IFERROR(s_TR/(up_RadSpec!G8*s_EF_w*s_ED_com*(s_ET_w_o+s_ET_w_i)*(1/24)*s_IRA_w),".")</f>
        <v>2.9090909090909089E-11</v>
      </c>
      <c r="AD8" s="48">
        <f>IFERROR(s_TR/(up_RadSpec!J8*s_EF_w*(1/365)*s_ED_com*(s_ET_w_o+s_ET_w_i)*(1/24)*s_GSF_a),".")</f>
        <v>1.5927272727272726E-7</v>
      </c>
      <c r="AE8" s="48">
        <f t="shared" si="6"/>
        <v>2.9085596653164224E-11</v>
      </c>
      <c r="AF8" s="69">
        <f t="shared" si="4"/>
        <v>381940625</v>
      </c>
      <c r="AG8" s="69">
        <f t="shared" si="5"/>
        <v>69760.844748858435</v>
      </c>
      <c r="AH8" s="10"/>
      <c r="AI8" s="10"/>
      <c r="AJ8" s="10"/>
    </row>
    <row r="9" spans="1:36" x14ac:dyDescent="0.25">
      <c r="A9" s="49" t="s">
        <v>19</v>
      </c>
      <c r="B9" s="50" t="s">
        <v>289</v>
      </c>
      <c r="C9" s="48">
        <f>IFERROR((s_TR/(up_RadSpec!I9*s_EF_w*s_ED_com*s_IRS_w*(1/1000)))*1,".")</f>
        <v>3.6363636363636364E-9</v>
      </c>
      <c r="D9" s="48">
        <f>IFERROR(IF(A9="H-3",(s_TR/(up_RadSpec!G9*s_EF_w*s_ED_com*(s_ET_w_o+s_ET_w_i)*(1/24)*s_IRA_w*(1/17)*1000))*1,(s_TR/(up_RadSpec!G9*s_EF_w*s_ED_com*(s_ET_w_o+s_ET_w_i)*(1/24)*s_IRA_w*(1/s_PEF_wind)*1000))*1),".")</f>
        <v>9.0250320889537196E-6</v>
      </c>
      <c r="E9" s="48">
        <f>IFERROR((s_TR/(up_RadSpec!F9*s_EF_w*(1/365)*s_ED_com*up_RadSpec!Q9*(s_ET_w_o+s_ET_w_i)*(1/24)*up_RadSpec!V9))*1,".")</f>
        <v>2.6002181304933586E-6</v>
      </c>
      <c r="F9" s="48">
        <f t="shared" si="0"/>
        <v>3.629824856013556E-9</v>
      </c>
      <c r="G9" s="69">
        <f t="shared" si="1"/>
        <v>3055525</v>
      </c>
      <c r="H9" s="69">
        <f t="shared" si="2"/>
        <v>1231.1313567072434</v>
      </c>
      <c r="I9" s="69">
        <f>s_C*s_EF_w*(1/365)*s_ED_com*(s_ET_w_o+s_ET_w_i)*(1/24)*up_RadSpec!V9*up_RadSpec!Q9*1</f>
        <v>4273.1030407405951</v>
      </c>
      <c r="J9" s="4"/>
      <c r="K9" s="4"/>
      <c r="L9" s="4"/>
      <c r="M9" s="4"/>
      <c r="N9" s="48">
        <f>IFERROR((s_TR/(up_RadSpec!F9*s_EF_w*(1/365)*s_ED_com*up_RadSpec!Q9*(s_ET_w_o+s_ET_w_i)*(1/24)*up_RadSpec!V9))*1,".")</f>
        <v>2.6002181304933586E-6</v>
      </c>
      <c r="O9" s="48">
        <f>IFERROR((s_TR/(up_RadSpec!M9*s_EF_w*(1/365)*s_ED_com*up_RadSpec!R9*(s_ET_w_o+s_ET_w_i)*(1/24)*up_RadSpec!W9))*1,".")</f>
        <v>5.3256818181818203E-6</v>
      </c>
      <c r="P9" s="48">
        <f>IFERROR((s_TR/(up_RadSpec!N9*s_EF_w*(1/365)*s_ED_com*up_RadSpec!S9*(s_ET_w_o+s_ET_w_i)*(1/24)*up_RadSpec!X9))*1,".")</f>
        <v>3.7472539423599802E-6</v>
      </c>
      <c r="Q9" s="48">
        <f>IFERROR((s_TR/(up_RadSpec!O9*s_EF_w*(1/365)*s_ED_com*up_RadSpec!T9*(s_ET_w_o+s_ET_w_i)*(1/24)*up_RadSpec!Y9))*1,".")</f>
        <v>3.0889256198347112E-6</v>
      </c>
      <c r="R9" s="48">
        <f>IFERROR((s_TR/(up_RadSpec!K9*s_EF_w*(1/365)*s_ED_com*up_RadSpec!P9*(s_ET_w_o+s_ET_w_i)*(1/24)*up_RadSpec!U9))*1,".")</f>
        <v>9.4332709543977187E-6</v>
      </c>
      <c r="S9" s="69">
        <f>s_C*s_EF_w*(1/365)*s_ED_com*(s_ET_w_o+s_ET_w_i)*(1/24)*up_RadSpec!V9*up_RadSpec!Q9*1</f>
        <v>4273.1030407405951</v>
      </c>
      <c r="T9" s="69">
        <f>s_C*s_EF_w*(1/365)*s_ED_com*(s_ET_w_o+s_ET_w_i)*(1/24)*up_RadSpec!W9*up_RadSpec!R9*1</f>
        <v>2086.3056373490363</v>
      </c>
      <c r="U9" s="69">
        <f>s_C*s_EF_w*(1/365)*s_ED_com*(s_ET_w_o+s_ET_w_i)*(1/24)*up_RadSpec!X9*up_RadSpec!S9*1</f>
        <v>2965.104626189921</v>
      </c>
      <c r="V9" s="69">
        <f>s_C*s_EF_w*(1/365)*s_ED_com*(s_ET_w_o+s_ET_w_i)*(1/24)*up_RadSpec!Y9*up_RadSpec!T9*1</f>
        <v>3597.0435573630134</v>
      </c>
      <c r="W9" s="69">
        <f>s_C*s_EF_w*(1/365)*s_ED_com*(s_ET_w_o+s_ET_w_i)*(1/24)*up_RadSpec!U9*up_RadSpec!P9*1</f>
        <v>1177.8523116438348</v>
      </c>
      <c r="X9" s="11"/>
      <c r="Y9" s="11"/>
      <c r="Z9" s="11"/>
      <c r="AA9" s="11"/>
      <c r="AB9" s="11"/>
      <c r="AC9" s="48">
        <f>IFERROR(s_TR/(up_RadSpec!G9*s_EF_w*s_ED_com*(s_ET_w_o+s_ET_w_i)*(1/24)*s_IRA_w),".")</f>
        <v>2.9090909090909089E-11</v>
      </c>
      <c r="AD9" s="48">
        <f>IFERROR(s_TR/(up_RadSpec!J9*s_EF_w*(1/365)*s_ED_com*(s_ET_w_o+s_ET_w_i)*(1/24)*s_GSF_a),".")</f>
        <v>1.5927272727272726E-7</v>
      </c>
      <c r="AE9" s="48">
        <f t="shared" si="6"/>
        <v>2.9085596653164224E-11</v>
      </c>
      <c r="AF9" s="69">
        <f t="shared" si="4"/>
        <v>381940625</v>
      </c>
      <c r="AG9" s="69">
        <f t="shared" si="5"/>
        <v>69760.844748858435</v>
      </c>
      <c r="AH9" s="10"/>
      <c r="AI9" s="10"/>
      <c r="AJ9" s="10"/>
    </row>
    <row r="10" spans="1:36" x14ac:dyDescent="0.25">
      <c r="A10" s="51" t="s">
        <v>20</v>
      </c>
      <c r="B10" s="50" t="s">
        <v>275</v>
      </c>
      <c r="C10" s="48">
        <f>IFERROR((s_TR/(up_RadSpec!I10*s_EF_w*s_ED_com*s_IRS_w*(1/1000)))*1,".")</f>
        <v>3.6363636363636364E-9</v>
      </c>
      <c r="D10" s="48">
        <f>IFERROR(IF(A10="H-3",(s_TR/(up_RadSpec!G10*s_EF_w*s_ED_com*(s_ET_w_o+s_ET_w_i)*(1/24)*s_IRA_w*(1/17)*1000))*1,(s_TR/(up_RadSpec!G10*s_EF_w*s_ED_com*(s_ET_w_o+s_ET_w_i)*(1/24)*s_IRA_w*(1/s_PEF_wind)*1000))*1),".")</f>
        <v>9.0250320889537196E-6</v>
      </c>
      <c r="E10" s="48">
        <f>IFERROR((s_TR/(up_RadSpec!F10*s_EF_w*(1/365)*s_ED_com*up_RadSpec!Q10*(s_ET_w_o+s_ET_w_i)*(1/24)*up_RadSpec!V10))*1,".")</f>
        <v>4.9753766233766233E-6</v>
      </c>
      <c r="F10" s="48">
        <f t="shared" si="0"/>
        <v>3.632245426353803E-9</v>
      </c>
      <c r="G10" s="69">
        <f t="shared" si="1"/>
        <v>3055525</v>
      </c>
      <c r="H10" s="69">
        <f t="shared" si="2"/>
        <v>1231.1313567072434</v>
      </c>
      <c r="I10" s="69">
        <f>s_C*s_EF_w*(1/365)*s_ED_com*(s_ET_w_o+s_ET_w_i)*(1/24)*up_RadSpec!V10*up_RadSpec!Q10*1</f>
        <v>2233.1977739726026</v>
      </c>
      <c r="J10" s="4"/>
      <c r="K10" s="4"/>
      <c r="L10" s="4"/>
      <c r="M10" s="4"/>
      <c r="N10" s="48">
        <f>IFERROR((s_TR/(up_RadSpec!F10*s_EF_w*(1/365)*s_ED_com*up_RadSpec!Q10*(s_ET_w_o+s_ET_w_i)*(1/24)*up_RadSpec!V10))*1,".")</f>
        <v>4.9753766233766233E-6</v>
      </c>
      <c r="O10" s="48">
        <f>IFERROR((s_TR/(up_RadSpec!M10*s_EF_w*(1/365)*s_ED_com*up_RadSpec!R10*(s_ET_w_o+s_ET_w_i)*(1/24)*up_RadSpec!W10))*1,".")</f>
        <v>7.7529581529581501E-6</v>
      </c>
      <c r="P10" s="48">
        <f>IFERROR((s_TR/(up_RadSpec!N10*s_EF_w*(1/365)*s_ED_com*up_RadSpec!S10*(s_ET_w_o+s_ET_w_i)*(1/24)*up_RadSpec!X10))*1,".")</f>
        <v>5.5366265416759942E-6</v>
      </c>
      <c r="Q10" s="48">
        <f>IFERROR((s_TR/(up_RadSpec!O10*s_EF_w*(1/365)*s_ED_com*up_RadSpec!T10*(s_ET_w_o+s_ET_w_i)*(1/24)*up_RadSpec!Y10))*1,".")</f>
        <v>5.0638919313618114E-6</v>
      </c>
      <c r="R10" s="48">
        <f>IFERROR((s_TR/(up_RadSpec!K10*s_EF_w*(1/365)*s_ED_com*up_RadSpec!P10*(s_ET_w_o+s_ET_w_i)*(1/24)*up_RadSpec!U10))*1,".")</f>
        <v>1.3033370352742081E-5</v>
      </c>
      <c r="S10" s="69">
        <f>s_C*s_EF_w*(1/365)*s_ED_com*(s_ET_w_o+s_ET_w_i)*(1/24)*up_RadSpec!V10*up_RadSpec!Q10*1</f>
        <v>2233.1977739726026</v>
      </c>
      <c r="T10" s="69">
        <f>s_C*s_EF_w*(1/365)*s_ED_com*(s_ET_w_o+s_ET_w_i)*(1/24)*up_RadSpec!W10*up_RadSpec!R10*1</f>
        <v>1433.1303975580706</v>
      </c>
      <c r="U10" s="69">
        <f>s_C*s_EF_w*(1/365)*s_ED_com*(s_ET_w_o+s_ET_w_i)*(1/24)*up_RadSpec!X10*up_RadSpec!S10*1</f>
        <v>2006.8176743300053</v>
      </c>
      <c r="V10" s="69">
        <f>s_C*s_EF_w*(1/365)*s_ED_com*(s_ET_w_o+s_ET_w_i)*(1/24)*up_RadSpec!Y10*up_RadSpec!T10*1</f>
        <v>2194.1621485219898</v>
      </c>
      <c r="W10" s="69">
        <f>s_C*s_EF_w*(1/365)*s_ED_com*(s_ET_w_o+s_ET_w_i)*(1/24)*up_RadSpec!U10*up_RadSpec!P10*1</f>
        <v>852.50397244043347</v>
      </c>
      <c r="X10" s="11"/>
      <c r="Y10" s="11"/>
      <c r="Z10" s="11"/>
      <c r="AA10" s="11"/>
      <c r="AB10" s="11"/>
      <c r="AC10" s="48">
        <f>IFERROR(s_TR/(up_RadSpec!G10*s_EF_w*s_ED_com*(s_ET_w_o+s_ET_w_i)*(1/24)*s_IRA_w),".")</f>
        <v>2.9090909090909089E-11</v>
      </c>
      <c r="AD10" s="48">
        <f>IFERROR(s_TR/(up_RadSpec!J10*s_EF_w*(1/365)*s_ED_com*(s_ET_w_o+s_ET_w_i)*(1/24)*s_GSF_a),".")</f>
        <v>1.5927272727272726E-7</v>
      </c>
      <c r="AE10" s="48">
        <f t="shared" si="6"/>
        <v>2.9085596653164224E-11</v>
      </c>
      <c r="AF10" s="69">
        <f t="shared" si="4"/>
        <v>381940625</v>
      </c>
      <c r="AG10" s="69">
        <f t="shared" si="5"/>
        <v>69760.844748858435</v>
      </c>
      <c r="AH10" s="10"/>
      <c r="AI10" s="10"/>
      <c r="AJ10" s="10"/>
    </row>
    <row r="11" spans="1:36" x14ac:dyDescent="0.25">
      <c r="A11" s="49" t="s">
        <v>21</v>
      </c>
      <c r="B11" s="50" t="s">
        <v>289</v>
      </c>
      <c r="C11" s="48">
        <f>IFERROR((s_TR/(up_RadSpec!I11*s_EF_w*s_ED_com*s_IRS_w*(1/1000)))*1,".")</f>
        <v>3.6363636363636364E-9</v>
      </c>
      <c r="D11" s="48">
        <f>IFERROR(IF(A11="H-3",(s_TR/(up_RadSpec!G11*s_EF_w*s_ED_com*(s_ET_w_o+s_ET_w_i)*(1/24)*s_IRA_w*(1/17)*1000))*1,(s_TR/(up_RadSpec!G11*s_EF_w*s_ED_com*(s_ET_w_o+s_ET_w_i)*(1/24)*s_IRA_w*(1/s_PEF_wind)*1000))*1),".")</f>
        <v>9.0250320889537196E-6</v>
      </c>
      <c r="E11" s="48">
        <f>IFERROR((s_TR/(up_RadSpec!F11*s_EF_w*(1/365)*s_ED_com*up_RadSpec!Q11*(s_ET_w_o+s_ET_w_i)*(1/24)*up_RadSpec!V11))*1,".")</f>
        <v>1.4877122877122873E-5</v>
      </c>
      <c r="F11" s="48">
        <f t="shared" si="0"/>
        <v>3.6340111727361278E-9</v>
      </c>
      <c r="G11" s="69">
        <f t="shared" si="1"/>
        <v>3055525</v>
      </c>
      <c r="H11" s="69">
        <f t="shared" si="2"/>
        <v>1231.1313567072434</v>
      </c>
      <c r="I11" s="69">
        <f>s_C*s_EF_w*(1/365)*s_ED_com*(s_ET_w_o+s_ET_w_i)*(1/24)*up_RadSpec!V11*up_RadSpec!Q11*1</f>
        <v>746.85139672307264</v>
      </c>
      <c r="J11" s="4"/>
      <c r="K11" s="4"/>
      <c r="L11" s="4"/>
      <c r="M11" s="4"/>
      <c r="N11" s="48">
        <f>IFERROR((s_TR/(up_RadSpec!F11*s_EF_w*(1/365)*s_ED_com*up_RadSpec!Q11*(s_ET_w_o+s_ET_w_i)*(1/24)*up_RadSpec!V11))*1,".")</f>
        <v>1.4877122877122873E-5</v>
      </c>
      <c r="O11" s="48">
        <f>IFERROR((s_TR/(up_RadSpec!M11*s_EF_w*(1/365)*s_ED_com*up_RadSpec!R11*(s_ET_w_o+s_ET_w_i)*(1/24)*up_RadSpec!W11))*1,".")</f>
        <v>1.8824477461596577E-5</v>
      </c>
      <c r="P11" s="48">
        <f>IFERROR((s_TR/(up_RadSpec!N11*s_EF_w*(1/365)*s_ED_com*up_RadSpec!S11*(s_ET_w_o+s_ET_w_i)*(1/24)*up_RadSpec!X11))*1,".")</f>
        <v>1.4609548724656637E-5</v>
      </c>
      <c r="Q11" s="48">
        <f>IFERROR((s_TR/(up_RadSpec!O11*s_EF_w*(1/365)*s_ED_com*up_RadSpec!T11*(s_ET_w_o+s_ET_w_i)*(1/24)*up_RadSpec!Y11))*1,".")</f>
        <v>1.3916387959866224E-5</v>
      </c>
      <c r="R11" s="48">
        <f>IFERROR((s_TR/(up_RadSpec!K11*s_EF_w*(1/365)*s_ED_com*up_RadSpec!P11*(s_ET_w_o+s_ET_w_i)*(1/24)*up_RadSpec!U11))*1,".")</f>
        <v>3.5044063079777362E-5</v>
      </c>
      <c r="S11" s="69">
        <f>s_C*s_EF_w*(1/365)*s_ED_com*(s_ET_w_o+s_ET_w_i)*(1/24)*up_RadSpec!V11*up_RadSpec!Q11*1</f>
        <v>746.85139672307264</v>
      </c>
      <c r="T11" s="69">
        <f>s_C*s_EF_w*(1/365)*s_ED_com*(s_ET_w_o+s_ET_w_i)*(1/24)*up_RadSpec!W11*up_RadSpec!R11*1</f>
        <v>590.24214736729436</v>
      </c>
      <c r="U11" s="69">
        <f>s_C*s_EF_w*(1/365)*s_ED_com*(s_ET_w_o+s_ET_w_i)*(1/24)*up_RadSpec!X11*up_RadSpec!S11*1</f>
        <v>760.529993732653</v>
      </c>
      <c r="V11" s="69">
        <f>s_C*s_EF_w*(1/365)*s_ED_com*(s_ET_w_o+s_ET_w_i)*(1/24)*up_RadSpec!Y11*up_RadSpec!T11*1</f>
        <v>798.41119923095368</v>
      </c>
      <c r="W11" s="69">
        <f>s_C*s_EF_w*(1/365)*s_ED_com*(s_ET_w_o+s_ET_w_i)*(1/24)*up_RadSpec!U11*up_RadSpec!P11*1</f>
        <v>317.05798424988416</v>
      </c>
      <c r="X11" s="11"/>
      <c r="Y11" s="11"/>
      <c r="Z11" s="11"/>
      <c r="AA11" s="11"/>
      <c r="AB11" s="11"/>
      <c r="AC11" s="48">
        <f>IFERROR(s_TR/(up_RadSpec!G11*s_EF_w*s_ED_com*(s_ET_w_o+s_ET_w_i)*(1/24)*s_IRA_w),".")</f>
        <v>2.9090909090909089E-11</v>
      </c>
      <c r="AD11" s="48">
        <f>IFERROR(s_TR/(up_RadSpec!J11*s_EF_w*(1/365)*s_ED_com*(s_ET_w_o+s_ET_w_i)*(1/24)*s_GSF_a),".")</f>
        <v>1.5927272727272726E-7</v>
      </c>
      <c r="AE11" s="48">
        <f t="shared" si="6"/>
        <v>2.9085596653164224E-11</v>
      </c>
      <c r="AF11" s="69">
        <f t="shared" si="4"/>
        <v>381940625</v>
      </c>
      <c r="AG11" s="69">
        <f t="shared" si="5"/>
        <v>69760.844748858435</v>
      </c>
      <c r="AH11" s="10"/>
      <c r="AI11" s="10"/>
      <c r="AJ11" s="10"/>
    </row>
    <row r="12" spans="1:36" x14ac:dyDescent="0.25">
      <c r="A12" s="49" t="s">
        <v>22</v>
      </c>
      <c r="B12" s="50" t="s">
        <v>289</v>
      </c>
      <c r="C12" s="48">
        <f>IFERROR((s_TR/(up_RadSpec!I12*s_EF_w*s_ED_com*s_IRS_w*(1/1000)))*1,".")</f>
        <v>3.6363636363636364E-9</v>
      </c>
      <c r="D12" s="48">
        <f>IFERROR(IF(A12="H-3",(s_TR/(up_RadSpec!G12*s_EF_w*s_ED_com*(s_ET_w_o+s_ET_w_i)*(1/24)*s_IRA_w*(1/17)*1000))*1,(s_TR/(up_RadSpec!G12*s_EF_w*s_ED_com*(s_ET_w_o+s_ET_w_i)*(1/24)*s_IRA_w*(1/s_PEF_wind)*1000))*1),".")</f>
        <v>9.0250320889537196E-6</v>
      </c>
      <c r="E12" s="48">
        <f>IFERROR((s_TR/(up_RadSpec!F12*s_EF_w*(1/365)*s_ED_com*up_RadSpec!Q12*(s_ET_w_o+s_ET_w_i)*(1/24)*up_RadSpec!V12))*1,".")</f>
        <v>7.1282058319039454E-6</v>
      </c>
      <c r="F12" s="48">
        <f t="shared" si="0"/>
        <v>3.633046457717874E-9</v>
      </c>
      <c r="G12" s="69">
        <f t="shared" si="1"/>
        <v>3055525</v>
      </c>
      <c r="H12" s="69">
        <f t="shared" si="2"/>
        <v>1231.1313567072434</v>
      </c>
      <c r="I12" s="69">
        <f>s_C*s_EF_w*(1/365)*s_ED_com*(s_ET_w_o+s_ET_w_i)*(1/24)*up_RadSpec!V12*up_RadSpec!Q12*1</f>
        <v>1558.7372561928739</v>
      </c>
      <c r="J12" s="4"/>
      <c r="K12" s="4"/>
      <c r="L12" s="4"/>
      <c r="M12" s="4"/>
      <c r="N12" s="48">
        <f>IFERROR((s_TR/(up_RadSpec!F12*s_EF_w*(1/365)*s_ED_com*up_RadSpec!Q12*(s_ET_w_o+s_ET_w_i)*(1/24)*up_RadSpec!V12))*1,".")</f>
        <v>7.1282058319039454E-6</v>
      </c>
      <c r="O12" s="48">
        <f>IFERROR((s_TR/(up_RadSpec!M12*s_EF_w*(1/365)*s_ED_com*up_RadSpec!R12*(s_ET_w_o+s_ET_w_i)*(1/24)*up_RadSpec!W12))*1,".")</f>
        <v>1.2788458442018487E-5</v>
      </c>
      <c r="P12" s="48">
        <f>IFERROR((s_TR/(up_RadSpec!N12*s_EF_w*(1/365)*s_ED_com*up_RadSpec!S12*(s_ET_w_o+s_ET_w_i)*(1/24)*up_RadSpec!X12))*1,".")</f>
        <v>9.2727530906164844E-6</v>
      </c>
      <c r="Q12" s="48">
        <f>IFERROR((s_TR/(up_RadSpec!O12*s_EF_w*(1/365)*s_ED_com*up_RadSpec!T12*(s_ET_w_o+s_ET_w_i)*(1/24)*up_RadSpec!Y12))*1,".")</f>
        <v>8.1891342636499101E-6</v>
      </c>
      <c r="R12" s="48">
        <f>IFERROR((s_TR/(up_RadSpec!K12*s_EF_w*(1/365)*s_ED_com*up_RadSpec!P12*(s_ET_w_o+s_ET_w_i)*(1/24)*up_RadSpec!U12))*1,".")</f>
        <v>2.2076066790352508E-5</v>
      </c>
      <c r="S12" s="69">
        <f>s_C*s_EF_w*(1/365)*s_ED_com*(s_ET_w_o+s_ET_w_i)*(1/24)*up_RadSpec!V12*up_RadSpec!Q12*1</f>
        <v>1558.7372561928739</v>
      </c>
      <c r="T12" s="69">
        <f>s_C*s_EF_w*(1/365)*s_ED_com*(s_ET_w_o+s_ET_w_i)*(1/24)*up_RadSpec!W12*up_RadSpec!R12*1</f>
        <v>868.83028555600288</v>
      </c>
      <c r="U12" s="69">
        <f>s_C*s_EF_w*(1/365)*s_ED_com*(s_ET_w_o+s_ET_w_i)*(1/24)*up_RadSpec!X12*up_RadSpec!S12*1</f>
        <v>1198.241761796043</v>
      </c>
      <c r="V12" s="69">
        <f>s_C*s_EF_w*(1/365)*s_ED_com*(s_ET_w_o+s_ET_w_i)*(1/24)*up_RadSpec!Y12*up_RadSpec!T12*1</f>
        <v>1356.7978790285224</v>
      </c>
      <c r="W12" s="69">
        <f>s_C*s_EF_w*(1/365)*s_ED_com*(s_ET_w_o+s_ET_w_i)*(1/24)*up_RadSpec!U12*up_RadSpec!P12*1</f>
        <v>503.30523573409522</v>
      </c>
      <c r="X12" s="11"/>
      <c r="Y12" s="11"/>
      <c r="Z12" s="11"/>
      <c r="AA12" s="11"/>
      <c r="AB12" s="11"/>
      <c r="AC12" s="48">
        <f>IFERROR(s_TR/(up_RadSpec!G12*s_EF_w*s_ED_com*(s_ET_w_o+s_ET_w_i)*(1/24)*s_IRA_w),".")</f>
        <v>2.9090909090909089E-11</v>
      </c>
      <c r="AD12" s="48">
        <f>IFERROR(s_TR/(up_RadSpec!J12*s_EF_w*(1/365)*s_ED_com*(s_ET_w_o+s_ET_w_i)*(1/24)*s_GSF_a),".")</f>
        <v>1.5927272727272726E-7</v>
      </c>
      <c r="AE12" s="48">
        <f t="shared" si="6"/>
        <v>2.9085596653164224E-11</v>
      </c>
      <c r="AF12" s="69">
        <f t="shared" si="4"/>
        <v>381940625</v>
      </c>
      <c r="AG12" s="69">
        <f t="shared" si="5"/>
        <v>69760.844748858435</v>
      </c>
      <c r="AH12" s="10"/>
      <c r="AI12" s="10"/>
      <c r="AJ12" s="10"/>
    </row>
    <row r="13" spans="1:36" x14ac:dyDescent="0.25">
      <c r="A13" s="49" t="s">
        <v>23</v>
      </c>
      <c r="B13" s="50" t="s">
        <v>289</v>
      </c>
      <c r="C13" s="48">
        <f>IFERROR((s_TR/(up_RadSpec!I13*s_EF_w*s_ED_com*s_IRS_w*(1/1000)))*1,".")</f>
        <v>3.6363636363636364E-9</v>
      </c>
      <c r="D13" s="48">
        <f>IFERROR(IF(A13="H-3",(s_TR/(up_RadSpec!G13*s_EF_w*s_ED_com*(s_ET_w_o+s_ET_w_i)*(1/24)*s_IRA_w*(1/17)*1000))*1,(s_TR/(up_RadSpec!G13*s_EF_w*s_ED_com*(s_ET_w_o+s_ET_w_i)*(1/24)*s_IRA_w*(1/s_PEF_wind)*1000))*1),".")</f>
        <v>9.0250320889537196E-6</v>
      </c>
      <c r="E13" s="48">
        <f>IFERROR((s_TR/(up_RadSpec!F13*s_EF_w*(1/365)*s_ED_com*up_RadSpec!Q13*(s_ET_w_o+s_ET_w_i)*(1/24)*up_RadSpec!V13))*1,".")</f>
        <v>5.4790618044855368E-5</v>
      </c>
      <c r="F13" s="48">
        <f t="shared" si="0"/>
        <v>3.6346579346142699E-9</v>
      </c>
      <c r="G13" s="69">
        <f t="shared" si="1"/>
        <v>3055525</v>
      </c>
      <c r="H13" s="69">
        <f t="shared" si="2"/>
        <v>1231.1313567072434</v>
      </c>
      <c r="I13" s="69">
        <f>s_C*s_EF_w*(1/365)*s_ED_com*(s_ET_w_o+s_ET_w_i)*(1/24)*up_RadSpec!V13*up_RadSpec!Q13*1</f>
        <v>202.79019285571425</v>
      </c>
      <c r="J13" s="4"/>
      <c r="K13" s="4"/>
      <c r="L13" s="4"/>
      <c r="M13" s="4"/>
      <c r="N13" s="48">
        <f>IFERROR((s_TR/(up_RadSpec!F13*s_EF_w*(1/365)*s_ED_com*up_RadSpec!Q13*(s_ET_w_o+s_ET_w_i)*(1/24)*up_RadSpec!V13))*1,".")</f>
        <v>5.4790618044855368E-5</v>
      </c>
      <c r="O13" s="48">
        <f>IFERROR((s_TR/(up_RadSpec!M13*s_EF_w*(1/365)*s_ED_com*up_RadSpec!R13*(s_ET_w_o+s_ET_w_i)*(1/24)*up_RadSpec!W13))*1,".")</f>
        <v>1.1948632373213381E-4</v>
      </c>
      <c r="P13" s="48">
        <f>IFERROR((s_TR/(up_RadSpec!N13*s_EF_w*(1/365)*s_ED_com*up_RadSpec!S13*(s_ET_w_o+s_ET_w_i)*(1/24)*up_RadSpec!X13))*1,".")</f>
        <v>7.0985979194934404E-5</v>
      </c>
      <c r="Q13" s="48">
        <f>IFERROR((s_TR/(up_RadSpec!O13*s_EF_w*(1/365)*s_ED_com*up_RadSpec!T13*(s_ET_w_o+s_ET_w_i)*(1/24)*up_RadSpec!Y13))*1,".")</f>
        <v>5.8600282168498088E-5</v>
      </c>
      <c r="R13" s="48">
        <f>IFERROR((s_TR/(up_RadSpec!K13*s_EF_w*(1/365)*s_ED_com*up_RadSpec!P13*(s_ET_w_o+s_ET_w_i)*(1/24)*up_RadSpec!U13))*1,".")</f>
        <v>1.1495129870129864E-3</v>
      </c>
      <c r="S13" s="69">
        <f>s_C*s_EF_w*(1/365)*s_ED_com*(s_ET_w_o+s_ET_w_i)*(1/24)*up_RadSpec!V13*up_RadSpec!Q13*1</f>
        <v>202.79019285571425</v>
      </c>
      <c r="T13" s="69">
        <f>s_C*s_EF_w*(1/365)*s_ED_com*(s_ET_w_o+s_ET_w_i)*(1/24)*up_RadSpec!W13*up_RadSpec!R13*1</f>
        <v>92.989721776935752</v>
      </c>
      <c r="U13" s="69">
        <f>s_C*s_EF_w*(1/365)*s_ED_com*(s_ET_w_o+s_ET_w_i)*(1/24)*up_RadSpec!X13*up_RadSpec!S13*1</f>
        <v>156.52386747371779</v>
      </c>
      <c r="V13" s="69">
        <f>s_C*s_EF_w*(1/365)*s_ED_com*(s_ET_w_o+s_ET_w_i)*(1/24)*up_RadSpec!Y13*up_RadSpec!T13*1</f>
        <v>189.60659554593357</v>
      </c>
      <c r="W13" s="69">
        <f>s_C*s_EF_w*(1/365)*s_ED_com*(s_ET_w_o+s_ET_w_i)*(1/24)*up_RadSpec!U13*up_RadSpec!P13*1</f>
        <v>9.665832509532553</v>
      </c>
      <c r="X13" s="11"/>
      <c r="Y13" s="11"/>
      <c r="Z13" s="11"/>
      <c r="AA13" s="11"/>
      <c r="AB13" s="11"/>
      <c r="AC13" s="48">
        <f>IFERROR(s_TR/(up_RadSpec!G13*s_EF_w*s_ED_com*(s_ET_w_o+s_ET_w_i)*(1/24)*s_IRA_w),".")</f>
        <v>2.9090909090909089E-11</v>
      </c>
      <c r="AD13" s="48">
        <f>IFERROR(s_TR/(up_RadSpec!J13*s_EF_w*(1/365)*s_ED_com*(s_ET_w_o+s_ET_w_i)*(1/24)*s_GSF_a),".")</f>
        <v>1.5927272727272726E-7</v>
      </c>
      <c r="AE13" s="48">
        <f t="shared" si="6"/>
        <v>2.9085596653164224E-11</v>
      </c>
      <c r="AF13" s="69">
        <f t="shared" si="4"/>
        <v>381940625</v>
      </c>
      <c r="AG13" s="69">
        <f t="shared" si="5"/>
        <v>69760.844748858435</v>
      </c>
      <c r="AH13" s="10"/>
      <c r="AI13" s="10"/>
      <c r="AJ13" s="10"/>
    </row>
    <row r="14" spans="1:36" x14ac:dyDescent="0.25">
      <c r="A14" s="49" t="s">
        <v>24</v>
      </c>
      <c r="B14" s="50" t="s">
        <v>289</v>
      </c>
      <c r="C14" s="48">
        <f>IFERROR((s_TR/(up_RadSpec!I14*s_EF_w*s_ED_com*s_IRS_w*(1/1000)))*1,".")</f>
        <v>3.6363636363636364E-9</v>
      </c>
      <c r="D14" s="48">
        <f>IFERROR(IF(A14="H-3",(s_TR/(up_RadSpec!G14*s_EF_w*s_ED_com*(s_ET_w_o+s_ET_w_i)*(1/24)*s_IRA_w*(1/17)*1000))*1,(s_TR/(up_RadSpec!G14*s_EF_w*s_ED_com*(s_ET_w_o+s_ET_w_i)*(1/24)*s_IRA_w*(1/s_PEF_wind)*1000))*1),".")</f>
        <v>9.0250320889537196E-6</v>
      </c>
      <c r="E14" s="48">
        <f>IFERROR((s_TR/(up_RadSpec!F14*s_EF_w*(1/365)*s_ED_com*up_RadSpec!Q14*(s_ET_w_o+s_ET_w_i)*(1/24)*up_RadSpec!V14))*1,".")</f>
        <v>8.225017943474665E-6</v>
      </c>
      <c r="F14" s="48">
        <f t="shared" si="0"/>
        <v>3.6332933949480451E-9</v>
      </c>
      <c r="G14" s="69">
        <f t="shared" si="1"/>
        <v>3055525</v>
      </c>
      <c r="H14" s="69">
        <f t="shared" si="2"/>
        <v>1231.1313567072434</v>
      </c>
      <c r="I14" s="69">
        <f>s_C*s_EF_w*(1/365)*s_ED_com*(s_ET_w_o+s_ET_w_i)*(1/24)*up_RadSpec!V14*up_RadSpec!Q14*1</f>
        <v>1350.8785119204431</v>
      </c>
      <c r="J14" s="4"/>
      <c r="K14" s="4"/>
      <c r="L14" s="4"/>
      <c r="M14" s="4"/>
      <c r="N14" s="48">
        <f>IFERROR((s_TR/(up_RadSpec!F14*s_EF_w*(1/365)*s_ED_com*up_RadSpec!Q14*(s_ET_w_o+s_ET_w_i)*(1/24)*up_RadSpec!V14))*1,".")</f>
        <v>8.225017943474665E-6</v>
      </c>
      <c r="O14" s="48">
        <f>IFERROR((s_TR/(up_RadSpec!M14*s_EF_w*(1/365)*s_ED_com*up_RadSpec!R14*(s_ET_w_o+s_ET_w_i)*(1/24)*up_RadSpec!W14))*1,".")</f>
        <v>1.4937483186060478E-5</v>
      </c>
      <c r="P14" s="48">
        <f>IFERROR((s_TR/(up_RadSpec!N14*s_EF_w*(1/365)*s_ED_com*up_RadSpec!S14*(s_ET_w_o+s_ET_w_i)*(1/24)*up_RadSpec!X14))*1,".")</f>
        <v>1.1043933455751369E-5</v>
      </c>
      <c r="Q14" s="48">
        <f>IFERROR((s_TR/(up_RadSpec!O14*s_EF_w*(1/365)*s_ED_com*up_RadSpec!T14*(s_ET_w_o+s_ET_w_i)*(1/24)*up_RadSpec!Y14))*1,".")</f>
        <v>9.6777614763226293E-6</v>
      </c>
      <c r="R14" s="48">
        <f>IFERROR((s_TR/(up_RadSpec!K14*s_EF_w*(1/365)*s_ED_com*up_RadSpec!P14*(s_ET_w_o+s_ET_w_i)*(1/24)*up_RadSpec!U14))*1,".")</f>
        <v>4.1679600886917974E-5</v>
      </c>
      <c r="S14" s="69">
        <f>s_C*s_EF_w*(1/365)*s_ED_com*(s_ET_w_o+s_ET_w_i)*(1/24)*up_RadSpec!V14*up_RadSpec!Q14*1</f>
        <v>1350.8785119204431</v>
      </c>
      <c r="T14" s="69">
        <f>s_C*s_EF_w*(1/365)*s_ED_com*(s_ET_w_o+s_ET_w_i)*(1/24)*up_RadSpec!W14*up_RadSpec!R14*1</f>
        <v>743.83347325663817</v>
      </c>
      <c r="U14" s="69">
        <f>s_C*s_EF_w*(1/365)*s_ED_com*(s_ET_w_o+s_ET_w_i)*(1/24)*up_RadSpec!X14*up_RadSpec!S14*1</f>
        <v>1006.0727044867969</v>
      </c>
      <c r="V14" s="69">
        <f>s_C*s_EF_w*(1/365)*s_ED_com*(s_ET_w_o+s_ET_w_i)*(1/24)*up_RadSpec!Y14*up_RadSpec!T14*1</f>
        <v>1148.0960785388124</v>
      </c>
      <c r="W14" s="69">
        <f>s_C*s_EF_w*(1/365)*s_ED_com*(s_ET_w_o+s_ET_w_i)*(1/24)*up_RadSpec!U14*up_RadSpec!P14*1</f>
        <v>266.58124750631725</v>
      </c>
      <c r="X14" s="11"/>
      <c r="Y14" s="11"/>
      <c r="Z14" s="11"/>
      <c r="AA14" s="11"/>
      <c r="AB14" s="11"/>
      <c r="AC14" s="48">
        <f>IFERROR(s_TR/(up_RadSpec!G14*s_EF_w*s_ED_com*(s_ET_w_o+s_ET_w_i)*(1/24)*s_IRA_w),".")</f>
        <v>2.9090909090909089E-11</v>
      </c>
      <c r="AD14" s="48">
        <f>IFERROR(s_TR/(up_RadSpec!J14*s_EF_w*(1/365)*s_ED_com*(s_ET_w_o+s_ET_w_i)*(1/24)*s_GSF_a),".")</f>
        <v>1.5927272727272726E-7</v>
      </c>
      <c r="AE14" s="48">
        <f t="shared" si="6"/>
        <v>2.9085596653164224E-11</v>
      </c>
      <c r="AF14" s="69">
        <f t="shared" si="4"/>
        <v>381940625</v>
      </c>
      <c r="AG14" s="69">
        <f t="shared" si="5"/>
        <v>69760.844748858435</v>
      </c>
      <c r="AH14" s="10"/>
      <c r="AI14" s="10"/>
      <c r="AJ14" s="10"/>
    </row>
    <row r="15" spans="1:36" x14ac:dyDescent="0.25">
      <c r="A15" s="49" t="s">
        <v>25</v>
      </c>
      <c r="B15" s="50" t="s">
        <v>289</v>
      </c>
      <c r="C15" s="48">
        <f>IFERROR((s_TR/(up_RadSpec!I15*s_EF_w*s_ED_com*s_IRS_w*(1/1000)))*1,".")</f>
        <v>3.6363636363636364E-9</v>
      </c>
      <c r="D15" s="48">
        <f>IFERROR(IF(A15="H-3",(s_TR/(up_RadSpec!G15*s_EF_w*s_ED_com*(s_ET_w_o+s_ET_w_i)*(1/24)*s_IRA_w*(1/17)*1000))*1,(s_TR/(up_RadSpec!G15*s_EF_w*s_ED_com*(s_ET_w_o+s_ET_w_i)*(1/24)*s_IRA_w*(1/s_PEF_wind)*1000))*1),".")</f>
        <v>9.0250320889537196E-6</v>
      </c>
      <c r="E15" s="48" t="str">
        <f>IFERROR((s_TR/(up_RadSpec!F15*s_EF_w*(1/365)*s_ED_com*up_RadSpec!Q15*(s_ET_w_o+s_ET_w_i)*(1/24)*up_RadSpec!V15))*1,".")</f>
        <v>.</v>
      </c>
      <c r="F15" s="48">
        <f t="shared" si="0"/>
        <v>3.6348990637563577E-9</v>
      </c>
      <c r="G15" s="69">
        <f t="shared" si="1"/>
        <v>3055525</v>
      </c>
      <c r="H15" s="69">
        <f t="shared" si="2"/>
        <v>1231.1313567072434</v>
      </c>
      <c r="I15" s="69">
        <f>s_C*s_EF_w*(1/365)*s_ED_com*(s_ET_w_o+s_ET_w_i)*(1/24)*up_RadSpec!V15*up_RadSpec!Q15*1</f>
        <v>0</v>
      </c>
      <c r="J15" s="4"/>
      <c r="K15" s="4"/>
      <c r="L15" s="4"/>
      <c r="M15" s="4"/>
      <c r="N15" s="48" t="str">
        <f>IFERROR((s_TR/(up_RadSpec!F15*s_EF_w*(1/365)*s_ED_com*up_RadSpec!Q15*(s_ET_w_o+s_ET_w_i)*(1/24)*up_RadSpec!V15))*1,".")</f>
        <v>.</v>
      </c>
      <c r="O15" s="48" t="str">
        <f>IFERROR((s_TR/(up_RadSpec!M15*s_EF_w*(1/365)*s_ED_com*up_RadSpec!R15*(s_ET_w_o+s_ET_w_i)*(1/24)*up_RadSpec!W15))*1,".")</f>
        <v>.</v>
      </c>
      <c r="P15" s="48" t="str">
        <f>IFERROR((s_TR/(up_RadSpec!N15*s_EF_w*(1/365)*s_ED_com*up_RadSpec!S15*(s_ET_w_o+s_ET_w_i)*(1/24)*up_RadSpec!X15))*1,".")</f>
        <v>.</v>
      </c>
      <c r="Q15" s="48" t="str">
        <f>IFERROR((s_TR/(up_RadSpec!O15*s_EF_w*(1/365)*s_ED_com*up_RadSpec!T15*(s_ET_w_o+s_ET_w_i)*(1/24)*up_RadSpec!Y15))*1,".")</f>
        <v>.</v>
      </c>
      <c r="R15" s="48" t="str">
        <f>IFERROR((s_TR/(up_RadSpec!K15*s_EF_w*(1/365)*s_ED_com*up_RadSpec!P15*(s_ET_w_o+s_ET_w_i)*(1/24)*up_RadSpec!U15))*1,".")</f>
        <v>.</v>
      </c>
      <c r="S15" s="69">
        <f>s_C*s_EF_w*(1/365)*s_ED_com*(s_ET_w_o+s_ET_w_i)*(1/24)*up_RadSpec!V15*up_RadSpec!Q15*1</f>
        <v>0</v>
      </c>
      <c r="T15" s="69">
        <f>s_C*s_EF_w*(1/365)*s_ED_com*(s_ET_w_o+s_ET_w_i)*(1/24)*up_RadSpec!W15*up_RadSpec!R15*1</f>
        <v>0</v>
      </c>
      <c r="U15" s="69">
        <f>s_C*s_EF_w*(1/365)*s_ED_com*(s_ET_w_o+s_ET_w_i)*(1/24)*up_RadSpec!X15*up_RadSpec!S15*1</f>
        <v>0</v>
      </c>
      <c r="V15" s="69">
        <f>s_C*s_EF_w*(1/365)*s_ED_com*(s_ET_w_o+s_ET_w_i)*(1/24)*up_RadSpec!Y15*up_RadSpec!T15*1</f>
        <v>0</v>
      </c>
      <c r="W15" s="69">
        <f>s_C*s_EF_w*(1/365)*s_ED_com*(s_ET_w_o+s_ET_w_i)*(1/24)*up_RadSpec!U15*up_RadSpec!P15*1</f>
        <v>0</v>
      </c>
      <c r="X15" s="11"/>
      <c r="Y15" s="11"/>
      <c r="Z15" s="11"/>
      <c r="AA15" s="11"/>
      <c r="AB15" s="11"/>
      <c r="AC15" s="48">
        <f>IFERROR(s_TR/(up_RadSpec!G15*s_EF_w*s_ED_com*(s_ET_w_o+s_ET_w_i)*(1/24)*s_IRA_w),".")</f>
        <v>2.9090909090909089E-11</v>
      </c>
      <c r="AD15" s="48">
        <f>IFERROR(s_TR/(up_RadSpec!J15*s_EF_w*(1/365)*s_ED_com*(s_ET_w_o+s_ET_w_i)*(1/24)*s_GSF_a),".")</f>
        <v>1.5927272727272726E-7</v>
      </c>
      <c r="AE15" s="48">
        <f t="shared" si="6"/>
        <v>2.9085596653164224E-11</v>
      </c>
      <c r="AF15" s="69">
        <f t="shared" si="4"/>
        <v>381940625</v>
      </c>
      <c r="AG15" s="69">
        <f t="shared" si="5"/>
        <v>69760.844748858435</v>
      </c>
      <c r="AH15" s="10"/>
      <c r="AI15" s="10"/>
      <c r="AJ15" s="10"/>
    </row>
    <row r="16" spans="1:36" x14ac:dyDescent="0.25">
      <c r="A16" s="49" t="s">
        <v>26</v>
      </c>
      <c r="B16" s="50" t="s">
        <v>289</v>
      </c>
      <c r="C16" s="48">
        <f>IFERROR((s_TR/(up_RadSpec!I16*s_EF_w*s_ED_com*s_IRS_w*(1/1000)))*1,".")</f>
        <v>3.6363636363636364E-9</v>
      </c>
      <c r="D16" s="48">
        <f>IFERROR(IF(A16="H-3",(s_TR/(up_RadSpec!G16*s_EF_w*s_ED_com*(s_ET_w_o+s_ET_w_i)*(1/24)*s_IRA_w*(1/17)*1000))*1,(s_TR/(up_RadSpec!G16*s_EF_w*s_ED_com*(s_ET_w_o+s_ET_w_i)*(1/24)*s_IRA_w*(1/s_PEF_wind)*1000))*1),".")</f>
        <v>9.0250320889537196E-6</v>
      </c>
      <c r="E16" s="48">
        <f>IFERROR((s_TR/(up_RadSpec!F16*s_EF_w*(1/365)*s_ED_com*up_RadSpec!Q16*(s_ET_w_o+s_ET_w_i)*(1/24)*up_RadSpec!V16))*1,".")</f>
        <v>7.6494620302510558E-2</v>
      </c>
      <c r="F16" s="48">
        <f t="shared" si="0"/>
        <v>3.6348988910319158E-9</v>
      </c>
      <c r="G16" s="69">
        <f t="shared" si="1"/>
        <v>3055525</v>
      </c>
      <c r="H16" s="69">
        <f t="shared" si="2"/>
        <v>1231.1313567072434</v>
      </c>
      <c r="I16" s="69">
        <f>s_C*s_EF_w*(1/365)*s_ED_com*(s_ET_w_o+s_ET_w_i)*(1/24)*up_RadSpec!V16*up_RadSpec!Q16*1</f>
        <v>0.14525204460208732</v>
      </c>
      <c r="J16" s="4"/>
      <c r="K16" s="4"/>
      <c r="L16" s="4"/>
      <c r="M16" s="4"/>
      <c r="N16" s="48">
        <f>IFERROR((s_TR/(up_RadSpec!F16*s_EF_w*(1/365)*s_ED_com*up_RadSpec!Q16*(s_ET_w_o+s_ET_w_i)*(1/24)*up_RadSpec!V16))*1,".")</f>
        <v>7.6494620302510558E-2</v>
      </c>
      <c r="O16" s="48">
        <f>IFERROR((s_TR/(up_RadSpec!M16*s_EF_w*(1/365)*s_ED_com*up_RadSpec!R16*(s_ET_w_o+s_ET_w_i)*(1/24)*up_RadSpec!W16))*1,".")</f>
        <v>0.13623429416112345</v>
      </c>
      <c r="P16" s="48">
        <f>IFERROR((s_TR/(up_RadSpec!N16*s_EF_w*(1/365)*s_ED_com*up_RadSpec!S16*(s_ET_w_o+s_ET_w_i)*(1/24)*up_RadSpec!X16))*1,".")</f>
        <v>8.1841380561977761E-2</v>
      </c>
      <c r="Q16" s="48">
        <f>IFERROR((s_TR/(up_RadSpec!O16*s_EF_w*(1/365)*s_ED_com*up_RadSpec!T16*(s_ET_w_o+s_ET_w_i)*(1/24)*up_RadSpec!Y16))*1,".")</f>
        <v>8.2264249380461771E-2</v>
      </c>
      <c r="R16" s="48">
        <f>IFERROR((s_TR/(up_RadSpec!K16*s_EF_w*(1/365)*s_ED_com*up_RadSpec!P16*(s_ET_w_o+s_ET_w_i)*(1/24)*up_RadSpec!U16))*1,".")</f>
        <v>3.1854545454545455</v>
      </c>
      <c r="S16" s="69">
        <f>s_C*s_EF_w*(1/365)*s_ED_com*(s_ET_w_o+s_ET_w_i)*(1/24)*up_RadSpec!V16*up_RadSpec!Q16*1</f>
        <v>0.14525204460208732</v>
      </c>
      <c r="T16" s="69">
        <f>s_C*s_EF_w*(1/365)*s_ED_com*(s_ET_w_o+s_ET_w_i)*(1/24)*up_RadSpec!W16*up_RadSpec!R16*1</f>
        <v>8.1558025227180211E-2</v>
      </c>
      <c r="U16" s="69">
        <f>s_C*s_EF_w*(1/365)*s_ED_com*(s_ET_w_o+s_ET_w_i)*(1/24)*up_RadSpec!X16*up_RadSpec!S16*1</f>
        <v>0.13576261695128342</v>
      </c>
      <c r="V16" s="69">
        <f>s_C*s_EF_w*(1/365)*s_ED_com*(s_ET_w_o+s_ET_w_i)*(1/24)*up_RadSpec!Y16*up_RadSpec!T16*1</f>
        <v>0.13506474663876197</v>
      </c>
      <c r="W16" s="69">
        <f>s_C*s_EF_w*(1/365)*s_ED_com*(s_ET_w_o+s_ET_w_i)*(1/24)*up_RadSpec!U16*up_RadSpec!P16*1</f>
        <v>3.4880422374429215E-3</v>
      </c>
      <c r="X16" s="11"/>
      <c r="Y16" s="11"/>
      <c r="Z16" s="11"/>
      <c r="AA16" s="11"/>
      <c r="AB16" s="11"/>
      <c r="AC16" s="48">
        <f>IFERROR(s_TR/(up_RadSpec!G16*s_EF_w*s_ED_com*(s_ET_w_o+s_ET_w_i)*(1/24)*s_IRA_w),".")</f>
        <v>2.9090909090909089E-11</v>
      </c>
      <c r="AD16" s="48">
        <f>IFERROR(s_TR/(up_RadSpec!J16*s_EF_w*(1/365)*s_ED_com*(s_ET_w_o+s_ET_w_i)*(1/24)*s_GSF_a),".")</f>
        <v>1.5927272727272726E-7</v>
      </c>
      <c r="AE16" s="48">
        <f t="shared" si="6"/>
        <v>2.9085596653164224E-11</v>
      </c>
      <c r="AF16" s="69">
        <f t="shared" si="4"/>
        <v>381940625</v>
      </c>
      <c r="AG16" s="69">
        <f t="shared" si="5"/>
        <v>69760.844748858435</v>
      </c>
      <c r="AH16" s="10"/>
      <c r="AI16" s="10"/>
      <c r="AJ16" s="10"/>
    </row>
    <row r="17" spans="1:36" x14ac:dyDescent="0.25">
      <c r="A17" s="49" t="s">
        <v>27</v>
      </c>
      <c r="B17" s="50" t="s">
        <v>289</v>
      </c>
      <c r="C17" s="48">
        <f>IFERROR((s_TR/(up_RadSpec!I17*s_EF_w*s_ED_com*s_IRS_w*(1/1000)))*1,".")</f>
        <v>3.6363636363636364E-9</v>
      </c>
      <c r="D17" s="48">
        <f>IFERROR(IF(A17="H-3",(s_TR/(up_RadSpec!G17*s_EF_w*s_ED_com*(s_ET_w_o+s_ET_w_i)*(1/24)*s_IRA_w*(1/17)*1000))*1,(s_TR/(up_RadSpec!G17*s_EF_w*s_ED_com*(s_ET_w_o+s_ET_w_i)*(1/24)*s_IRA_w*(1/s_PEF_wind)*1000))*1),".")</f>
        <v>9.0250320889537196E-6</v>
      </c>
      <c r="E17" s="48">
        <f>IFERROR((s_TR/(up_RadSpec!F17*s_EF_w*(1/365)*s_ED_com*up_RadSpec!Q17*(s_ET_w_o+s_ET_w_i)*(1/24)*up_RadSpec!V17))*1,".")</f>
        <v>7.0328217237308115E-6</v>
      </c>
      <c r="F17" s="48">
        <f t="shared" si="0"/>
        <v>3.6330213443427409E-9</v>
      </c>
      <c r="G17" s="69">
        <f t="shared" si="1"/>
        <v>3055525</v>
      </c>
      <c r="H17" s="69">
        <f t="shared" si="2"/>
        <v>1231.1313567072434</v>
      </c>
      <c r="I17" s="69">
        <f>s_C*s_EF_w*(1/365)*s_ED_com*(s_ET_w_o+s_ET_w_i)*(1/24)*up_RadSpec!V17*up_RadSpec!Q17*1</f>
        <v>1579.8779546065007</v>
      </c>
      <c r="J17" s="4"/>
      <c r="K17" s="4"/>
      <c r="L17" s="4"/>
      <c r="M17" s="4"/>
      <c r="N17" s="48">
        <f>IFERROR((s_TR/(up_RadSpec!F17*s_EF_w*(1/365)*s_ED_com*up_RadSpec!Q17*(s_ET_w_o+s_ET_w_i)*(1/24)*up_RadSpec!V17))*1,".")</f>
        <v>7.0328217237308115E-6</v>
      </c>
      <c r="O17" s="48">
        <f>IFERROR((s_TR/(up_RadSpec!M17*s_EF_w*(1/365)*s_ED_com*up_RadSpec!R17*(s_ET_w_o+s_ET_w_i)*(1/24)*up_RadSpec!W17))*1,".")</f>
        <v>1.2291326763688573E-5</v>
      </c>
      <c r="P17" s="48">
        <f>IFERROR((s_TR/(up_RadSpec!N17*s_EF_w*(1/365)*s_ED_com*up_RadSpec!S17*(s_ET_w_o+s_ET_w_i)*(1/24)*up_RadSpec!X17))*1,".")</f>
        <v>9.2604629075217332E-6</v>
      </c>
      <c r="Q17" s="48">
        <f>IFERROR((s_TR/(up_RadSpec!O17*s_EF_w*(1/365)*s_ED_com*up_RadSpec!T17*(s_ET_w_o+s_ET_w_i)*(1/24)*up_RadSpec!Y17))*1,".")</f>
        <v>8.2346950765735748E-6</v>
      </c>
      <c r="R17" s="48">
        <f>IFERROR((s_TR/(up_RadSpec!K17*s_EF_w*(1/365)*s_ED_com*up_RadSpec!P17*(s_ET_w_o+s_ET_w_i)*(1/24)*up_RadSpec!U17))*1,".")</f>
        <v>2.3551854998583972E-5</v>
      </c>
      <c r="S17" s="69">
        <f>s_C*s_EF_w*(1/365)*s_ED_com*(s_ET_w_o+s_ET_w_i)*(1/24)*up_RadSpec!V17*up_RadSpec!Q17*1</f>
        <v>1579.8779546065007</v>
      </c>
      <c r="T17" s="69">
        <f>s_C*s_EF_w*(1/365)*s_ED_com*(s_ET_w_o+s_ET_w_i)*(1/24)*up_RadSpec!W17*up_RadSpec!R17*1</f>
        <v>903.97076032706775</v>
      </c>
      <c r="U17" s="69">
        <f>s_C*s_EF_w*(1/365)*s_ED_com*(s_ET_w_o+s_ET_w_i)*(1/24)*up_RadSpec!X17*up_RadSpec!S17*1</f>
        <v>1199.8320290204051</v>
      </c>
      <c r="V17" s="69">
        <f>s_C*s_EF_w*(1/365)*s_ED_com*(s_ET_w_o+s_ET_w_i)*(1/24)*up_RadSpec!Y17*up_RadSpec!T17*1</f>
        <v>1349.2910055175041</v>
      </c>
      <c r="W17" s="69">
        <f>s_C*s_EF_w*(1/365)*s_ED_com*(s_ET_w_o+s_ET_w_i)*(1/24)*up_RadSpec!U17*up_RadSpec!P17*1</f>
        <v>471.76751048560863</v>
      </c>
      <c r="X17" s="11"/>
      <c r="Y17" s="11"/>
      <c r="Z17" s="11"/>
      <c r="AA17" s="11"/>
      <c r="AB17" s="11"/>
      <c r="AC17" s="48">
        <f>IFERROR(s_TR/(up_RadSpec!G17*s_EF_w*s_ED_com*(s_ET_w_o+s_ET_w_i)*(1/24)*s_IRA_w),".")</f>
        <v>2.9090909090909089E-11</v>
      </c>
      <c r="AD17" s="48">
        <f>IFERROR(s_TR/(up_RadSpec!J17*s_EF_w*(1/365)*s_ED_com*(s_ET_w_o+s_ET_w_i)*(1/24)*s_GSF_a),".")</f>
        <v>1.5927272727272726E-7</v>
      </c>
      <c r="AE17" s="48">
        <f t="shared" si="6"/>
        <v>2.9085596653164224E-11</v>
      </c>
      <c r="AF17" s="69">
        <f t="shared" si="4"/>
        <v>381940625</v>
      </c>
      <c r="AG17" s="69">
        <f t="shared" si="5"/>
        <v>69760.844748858435</v>
      </c>
      <c r="AH17" s="10"/>
      <c r="AI17" s="10"/>
      <c r="AJ17" s="10"/>
    </row>
    <row r="18" spans="1:36" x14ac:dyDescent="0.25">
      <c r="A18" s="49" t="s">
        <v>28</v>
      </c>
      <c r="B18" s="50" t="s">
        <v>289</v>
      </c>
      <c r="C18" s="48">
        <f>IFERROR((s_TR/(up_RadSpec!I18*s_EF_w*s_ED_com*s_IRS_w*(1/1000)))*1,".")</f>
        <v>3.6363636363636364E-9</v>
      </c>
      <c r="D18" s="48">
        <f>IFERROR(IF(A18="H-3",(s_TR/(up_RadSpec!G18*s_EF_w*s_ED_com*(s_ET_w_o+s_ET_w_i)*(1/24)*s_IRA_w*(1/17)*1000))*1,(s_TR/(up_RadSpec!G18*s_EF_w*s_ED_com*(s_ET_w_o+s_ET_w_i)*(1/24)*s_IRA_w*(1/s_PEF_wind)*1000))*1),".")</f>
        <v>9.0250320889537196E-6</v>
      </c>
      <c r="E18" s="48">
        <f>IFERROR((s_TR/(up_RadSpec!F18*s_EF_w*(1/365)*s_ED_com*up_RadSpec!Q18*(s_ET_w_o+s_ET_w_i)*(1/24)*up_RadSpec!V18))*1,".")</f>
        <v>3.5819104981705612E-6</v>
      </c>
      <c r="F18" s="48">
        <f t="shared" si="0"/>
        <v>3.6312141316916604E-9</v>
      </c>
      <c r="G18" s="69">
        <f t="shared" si="1"/>
        <v>3055525</v>
      </c>
      <c r="H18" s="69">
        <f t="shared" si="2"/>
        <v>1231.1313567072434</v>
      </c>
      <c r="I18" s="69">
        <f>s_C*s_EF_w*(1/365)*s_ED_com*(s_ET_w_o+s_ET_w_i)*(1/24)*up_RadSpec!V18*up_RadSpec!Q18*1</f>
        <v>3101.9758884748444</v>
      </c>
      <c r="J18" s="4"/>
      <c r="K18" s="4"/>
      <c r="L18" s="4"/>
      <c r="M18" s="4"/>
      <c r="N18" s="48">
        <f>IFERROR((s_TR/(up_RadSpec!F18*s_EF_w*(1/365)*s_ED_com*up_RadSpec!Q18*(s_ET_w_o+s_ET_w_i)*(1/24)*up_RadSpec!V18))*1,".")</f>
        <v>3.5819104981705612E-6</v>
      </c>
      <c r="O18" s="48">
        <f>IFERROR((s_TR/(up_RadSpec!M18*s_EF_w*(1/365)*s_ED_com*up_RadSpec!R18*(s_ET_w_o+s_ET_w_i)*(1/24)*up_RadSpec!W18))*1,".")</f>
        <v>7.087561164048418E-6</v>
      </c>
      <c r="P18" s="48">
        <f>IFERROR((s_TR/(up_RadSpec!N18*s_EF_w*(1/365)*s_ED_com*up_RadSpec!S18*(s_ET_w_o+s_ET_w_i)*(1/24)*up_RadSpec!X18))*1,".")</f>
        <v>4.9633877043552491E-6</v>
      </c>
      <c r="Q18" s="48">
        <f>IFERROR((s_TR/(up_RadSpec!O18*s_EF_w*(1/365)*s_ED_com*up_RadSpec!T18*(s_ET_w_o+s_ET_w_i)*(1/24)*up_RadSpec!Y18))*1,".")</f>
        <v>4.1122563526890516E-6</v>
      </c>
      <c r="R18" s="48">
        <f>IFERROR((s_TR/(up_RadSpec!K18*s_EF_w*(1/365)*s_ED_com*up_RadSpec!P18*(s_ET_w_o+s_ET_w_i)*(1/24)*up_RadSpec!U18))*1,".")</f>
        <v>1.2047552447552445E-5</v>
      </c>
      <c r="S18" s="69">
        <f>s_C*s_EF_w*(1/365)*s_ED_com*(s_ET_w_o+s_ET_w_i)*(1/24)*up_RadSpec!V18*up_RadSpec!Q18*1</f>
        <v>3101.9758884748444</v>
      </c>
      <c r="T18" s="69">
        <f>s_C*s_EF_w*(1/365)*s_ED_com*(s_ET_w_o+s_ET_w_i)*(1/24)*up_RadSpec!W18*up_RadSpec!R18*1</f>
        <v>1567.6760655499434</v>
      </c>
      <c r="U18" s="69">
        <f>s_C*s_EF_w*(1/365)*s_ED_com*(s_ET_w_o+s_ET_w_i)*(1/24)*up_RadSpec!X18*up_RadSpec!S18*1</f>
        <v>2238.5919984147863</v>
      </c>
      <c r="V18" s="69">
        <f>s_C*s_EF_w*(1/365)*s_ED_com*(s_ET_w_o+s_ET_w_i)*(1/24)*up_RadSpec!Y18*up_RadSpec!T18*1</f>
        <v>2701.9229948381958</v>
      </c>
      <c r="W18" s="69">
        <f>s_C*s_EF_w*(1/365)*s_ED_com*(s_ET_w_o+s_ET_w_i)*(1/24)*up_RadSpec!U18*up_RadSpec!P18*1</f>
        <v>922.26201532389132</v>
      </c>
      <c r="X18" s="11"/>
      <c r="Y18" s="11"/>
      <c r="Z18" s="11"/>
      <c r="AA18" s="11"/>
      <c r="AB18" s="11"/>
      <c r="AC18" s="48">
        <f>IFERROR(s_TR/(up_RadSpec!G18*s_EF_w*s_ED_com*(s_ET_w_o+s_ET_w_i)*(1/24)*s_IRA_w),".")</f>
        <v>2.9090909090909089E-11</v>
      </c>
      <c r="AD18" s="48">
        <f>IFERROR(s_TR/(up_RadSpec!J18*s_EF_w*(1/365)*s_ED_com*(s_ET_w_o+s_ET_w_i)*(1/24)*s_GSF_a),".")</f>
        <v>1.5927272727272726E-7</v>
      </c>
      <c r="AE18" s="48">
        <f t="shared" si="6"/>
        <v>2.9085596653164224E-11</v>
      </c>
      <c r="AF18" s="69">
        <f t="shared" si="4"/>
        <v>381940625</v>
      </c>
      <c r="AG18" s="69">
        <f t="shared" si="5"/>
        <v>69760.844748858435</v>
      </c>
      <c r="AH18" s="10"/>
      <c r="AI18" s="10"/>
      <c r="AJ18" s="10"/>
    </row>
    <row r="19" spans="1:36" x14ac:dyDescent="0.25">
      <c r="A19" s="49" t="s">
        <v>29</v>
      </c>
      <c r="B19" s="50" t="s">
        <v>289</v>
      </c>
      <c r="C19" s="48">
        <f>IFERROR((s_TR/(up_RadSpec!I19*s_EF_w*s_ED_com*s_IRS_w*(1/1000)))*1,".")</f>
        <v>3.6363636363636364E-9</v>
      </c>
      <c r="D19" s="48">
        <f>IFERROR(IF(A19="H-3",(s_TR/(up_RadSpec!G19*s_EF_w*s_ED_com*(s_ET_w_o+s_ET_w_i)*(1/24)*s_IRA_w*(1/17)*1000))*1,(s_TR/(up_RadSpec!G19*s_EF_w*s_ED_com*(s_ET_w_o+s_ET_w_i)*(1/24)*s_IRA_w*(1/s_PEF_wind)*1000))*1),".")</f>
        <v>9.0250320889537196E-6</v>
      </c>
      <c r="E19" s="48">
        <f>IFERROR((s_TR/(up_RadSpec!F19*s_EF_w*(1/365)*s_ED_com*up_RadSpec!Q19*(s_ET_w_o+s_ET_w_i)*(1/24)*up_RadSpec!V19))*1,".")</f>
        <v>3.6549603032687219E-6</v>
      </c>
      <c r="F19" s="48">
        <f t="shared" si="0"/>
        <v>3.6312877073550612E-9</v>
      </c>
      <c r="G19" s="69">
        <f t="shared" si="1"/>
        <v>3055525</v>
      </c>
      <c r="H19" s="69">
        <f t="shared" si="2"/>
        <v>1231.1313567072434</v>
      </c>
      <c r="I19" s="69">
        <f>s_C*s_EF_w*(1/365)*s_ED_com*(s_ET_w_o+s_ET_w_i)*(1/24)*up_RadSpec!V19*up_RadSpec!Q19*1</f>
        <v>3039.978297455968</v>
      </c>
      <c r="J19" s="4"/>
      <c r="K19" s="4"/>
      <c r="L19" s="4"/>
      <c r="M19" s="4"/>
      <c r="N19" s="48">
        <f>IFERROR((s_TR/(up_RadSpec!F19*s_EF_w*(1/365)*s_ED_com*up_RadSpec!Q19*(s_ET_w_o+s_ET_w_i)*(1/24)*up_RadSpec!V19))*1,".")</f>
        <v>3.6549603032687219E-6</v>
      </c>
      <c r="O19" s="48">
        <f>IFERROR((s_TR/(up_RadSpec!M19*s_EF_w*(1/365)*s_ED_com*up_RadSpec!R19*(s_ET_w_o+s_ET_w_i)*(1/24)*up_RadSpec!W19))*1,".")</f>
        <v>7.2492613769209525E-6</v>
      </c>
      <c r="P19" s="48">
        <f>IFERROR((s_TR/(up_RadSpec!N19*s_EF_w*(1/365)*s_ED_com*up_RadSpec!S19*(s_ET_w_o+s_ET_w_i)*(1/24)*up_RadSpec!X19))*1,".")</f>
        <v>5.0251823043266912E-6</v>
      </c>
      <c r="Q19" s="48">
        <f>IFERROR((s_TR/(up_RadSpec!O19*s_EF_w*(1/365)*s_ED_com*up_RadSpec!T19*(s_ET_w_o+s_ET_w_i)*(1/24)*up_RadSpec!Y19))*1,".")</f>
        <v>4.1970515970515958E-6</v>
      </c>
      <c r="R19" s="48">
        <f>IFERROR((s_TR/(up_RadSpec!K19*s_EF_w*(1/365)*s_ED_com*up_RadSpec!P19*(s_ET_w_o+s_ET_w_i)*(1/24)*up_RadSpec!U19))*1,".")</f>
        <v>1.2483427584651173E-5</v>
      </c>
      <c r="S19" s="69">
        <f>s_C*s_EF_w*(1/365)*s_ED_com*(s_ET_w_o+s_ET_w_i)*(1/24)*up_RadSpec!V19*up_RadSpec!Q19*1</f>
        <v>3039.978297455968</v>
      </c>
      <c r="T19" s="69">
        <f>s_C*s_EF_w*(1/365)*s_ED_com*(s_ET_w_o+s_ET_w_i)*(1/24)*up_RadSpec!W19*up_RadSpec!R19*1</f>
        <v>1532.7078749530865</v>
      </c>
      <c r="U19" s="69">
        <f>s_C*s_EF_w*(1/365)*s_ED_com*(s_ET_w_o+s_ET_w_i)*(1/24)*up_RadSpec!X19*up_RadSpec!S19*1</f>
        <v>2211.0640623790714</v>
      </c>
      <c r="V19" s="69">
        <f>s_C*s_EF_w*(1/365)*s_ED_com*(s_ET_w_o+s_ET_w_i)*(1/24)*up_RadSpec!Y19*up_RadSpec!T19*1</f>
        <v>2647.3346212387314</v>
      </c>
      <c r="W19" s="69">
        <f>s_C*s_EF_w*(1/365)*s_ED_com*(s_ET_w_o+s_ET_w_i)*(1/24)*up_RadSpec!U19*up_RadSpec!P19*1</f>
        <v>890.06003556758526</v>
      </c>
      <c r="X19" s="11"/>
      <c r="Y19" s="11"/>
      <c r="Z19" s="11"/>
      <c r="AA19" s="11"/>
      <c r="AB19" s="11"/>
      <c r="AC19" s="48">
        <f>IFERROR(s_TR/(up_RadSpec!G19*s_EF_w*s_ED_com*(s_ET_w_o+s_ET_w_i)*(1/24)*s_IRA_w),".")</f>
        <v>2.9090909090909089E-11</v>
      </c>
      <c r="AD19" s="48">
        <f>IFERROR(s_TR/(up_RadSpec!J19*s_EF_w*(1/365)*s_ED_com*(s_ET_w_o+s_ET_w_i)*(1/24)*s_GSF_a),".")</f>
        <v>1.5927272727272726E-7</v>
      </c>
      <c r="AE19" s="48">
        <f t="shared" si="6"/>
        <v>2.9085596653164224E-11</v>
      </c>
      <c r="AF19" s="69">
        <f t="shared" si="4"/>
        <v>381940625</v>
      </c>
      <c r="AG19" s="69">
        <f t="shared" si="5"/>
        <v>69760.844748858435</v>
      </c>
      <c r="AH19" s="10"/>
      <c r="AI19" s="10"/>
      <c r="AJ19" s="10"/>
    </row>
    <row r="20" spans="1:36" x14ac:dyDescent="0.25">
      <c r="A20" s="49" t="s">
        <v>30</v>
      </c>
      <c r="B20" s="50" t="s">
        <v>289</v>
      </c>
      <c r="C20" s="48">
        <f>IFERROR((s_TR/(up_RadSpec!I20*s_EF_w*s_ED_com*s_IRS_w*(1/1000)))*1,".")</f>
        <v>3.6363636363636364E-9</v>
      </c>
      <c r="D20" s="48">
        <f>IFERROR(IF(A20="H-3",(s_TR/(up_RadSpec!G20*s_EF_w*s_ED_com*(s_ET_w_o+s_ET_w_i)*(1/24)*s_IRA_w*(1/17)*1000))*1,(s_TR/(up_RadSpec!G20*s_EF_w*s_ED_com*(s_ET_w_o+s_ET_w_i)*(1/24)*s_IRA_w*(1/s_PEF_wind)*1000))*1),".")</f>
        <v>9.0250320889537196E-6</v>
      </c>
      <c r="E20" s="48">
        <f>IFERROR((s_TR/(up_RadSpec!F20*s_EF_w*(1/365)*s_ED_com*up_RadSpec!Q20*(s_ET_w_o+s_ET_w_i)*(1/24)*up_RadSpec!V20))*1,".")</f>
        <v>3.5939411562557805E-6</v>
      </c>
      <c r="F20" s="48">
        <f t="shared" si="0"/>
        <v>3.6312264544770731E-9</v>
      </c>
      <c r="G20" s="69">
        <f t="shared" si="1"/>
        <v>3055525</v>
      </c>
      <c r="H20" s="69">
        <f t="shared" si="2"/>
        <v>1231.1313567072434</v>
      </c>
      <c r="I20" s="69">
        <f>s_C*s_EF_w*(1/365)*s_ED_com*(s_ET_w_o+s_ET_w_i)*(1/24)*up_RadSpec!V20*up_RadSpec!Q20*1</f>
        <v>3091.5920759191272</v>
      </c>
      <c r="J20" s="4"/>
      <c r="K20" s="4"/>
      <c r="L20" s="4"/>
      <c r="M20" s="4"/>
      <c r="N20" s="48">
        <f>IFERROR((s_TR/(up_RadSpec!F20*s_EF_w*(1/365)*s_ED_com*up_RadSpec!Q20*(s_ET_w_o+s_ET_w_i)*(1/24)*up_RadSpec!V20))*1,".")</f>
        <v>3.5939411562557805E-6</v>
      </c>
      <c r="O20" s="48">
        <f>IFERROR((s_TR/(up_RadSpec!M20*s_EF_w*(1/365)*s_ED_com*up_RadSpec!R20*(s_ET_w_o+s_ET_w_i)*(1/24)*up_RadSpec!W20))*1,".")</f>
        <v>7.0875923413236858E-6</v>
      </c>
      <c r="P20" s="48">
        <f>IFERROR((s_TR/(up_RadSpec!N20*s_EF_w*(1/365)*s_ED_com*up_RadSpec!S20*(s_ET_w_o+s_ET_w_i)*(1/24)*up_RadSpec!X20))*1,".")</f>
        <v>4.9590409590409603E-6</v>
      </c>
      <c r="Q20" s="48">
        <f>IFERROR((s_TR/(up_RadSpec!O20*s_EF_w*(1/365)*s_ED_com*up_RadSpec!T20*(s_ET_w_o+s_ET_w_i)*(1/24)*up_RadSpec!Y20))*1,".")</f>
        <v>4.1639928698752253E-6</v>
      </c>
      <c r="R20" s="48">
        <f>IFERROR((s_TR/(up_RadSpec!K20*s_EF_w*(1/365)*s_ED_com*up_RadSpec!P20*(s_ET_w_o+s_ET_w_i)*(1/24)*up_RadSpec!U20))*1,".")</f>
        <v>1.2076986076986082E-5</v>
      </c>
      <c r="S20" s="69">
        <f>s_C*s_EF_w*(1/365)*s_ED_com*(s_ET_w_o+s_ET_w_i)*(1/24)*up_RadSpec!V20*up_RadSpec!Q20*1</f>
        <v>3091.5920759191272</v>
      </c>
      <c r="T20" s="69">
        <f>s_C*s_EF_w*(1/365)*s_ED_com*(s_ET_w_o+s_ET_w_i)*(1/24)*up_RadSpec!W20*up_RadSpec!R20*1</f>
        <v>1567.6691695737256</v>
      </c>
      <c r="U20" s="69">
        <f>s_C*s_EF_w*(1/365)*s_ED_com*(s_ET_w_o+s_ET_w_i)*(1/24)*up_RadSpec!X20*up_RadSpec!S20*1</f>
        <v>2240.5541901692172</v>
      </c>
      <c r="V20" s="69">
        <f>s_C*s_EF_w*(1/365)*s_ED_com*(s_ET_w_o+s_ET_w_i)*(1/24)*up_RadSpec!Y20*up_RadSpec!T20*1</f>
        <v>2668.3523116438337</v>
      </c>
      <c r="W20" s="69">
        <f>s_C*s_EF_w*(1/365)*s_ED_com*(s_ET_w_o+s_ET_w_i)*(1/24)*up_RadSpec!U20*up_RadSpec!P20*1</f>
        <v>920.01430896514262</v>
      </c>
      <c r="X20" s="11"/>
      <c r="Y20" s="11"/>
      <c r="Z20" s="11"/>
      <c r="AA20" s="11"/>
      <c r="AB20" s="11"/>
      <c r="AC20" s="48">
        <f>IFERROR(s_TR/(up_RadSpec!G20*s_EF_w*s_ED_com*(s_ET_w_o+s_ET_w_i)*(1/24)*s_IRA_w),".")</f>
        <v>2.9090909090909089E-11</v>
      </c>
      <c r="AD20" s="48">
        <f>IFERROR(s_TR/(up_RadSpec!J20*s_EF_w*(1/365)*s_ED_com*(s_ET_w_o+s_ET_w_i)*(1/24)*s_GSF_a),".")</f>
        <v>1.5927272727272726E-7</v>
      </c>
      <c r="AE20" s="48">
        <f t="shared" si="6"/>
        <v>2.9085596653164224E-11</v>
      </c>
      <c r="AF20" s="69">
        <f t="shared" si="4"/>
        <v>381940625</v>
      </c>
      <c r="AG20" s="69">
        <f t="shared" si="5"/>
        <v>69760.844748858435</v>
      </c>
      <c r="AH20" s="10"/>
      <c r="AI20" s="10"/>
      <c r="AJ20" s="10"/>
    </row>
    <row r="21" spans="1:36" x14ac:dyDescent="0.25">
      <c r="A21" s="49" t="s">
        <v>31</v>
      </c>
      <c r="B21" s="50" t="s">
        <v>289</v>
      </c>
      <c r="C21" s="48">
        <f>IFERROR((s_TR/(up_RadSpec!I21*s_EF_w*s_ED_com*s_IRS_w*(1/1000)))*1,".")</f>
        <v>3.6363636363636364E-9</v>
      </c>
      <c r="D21" s="48">
        <f>IFERROR(IF(A21="H-3",(s_TR/(up_RadSpec!G21*s_EF_w*s_ED_com*(s_ET_w_o+s_ET_w_i)*(1/24)*s_IRA_w*(1/17)*1000))*1,(s_TR/(up_RadSpec!G21*s_EF_w*s_ED_com*(s_ET_w_o+s_ET_w_i)*(1/24)*s_IRA_w*(1/s_PEF_wind)*1000))*1),".")</f>
        <v>9.0250320889537196E-6</v>
      </c>
      <c r="E21" s="48" t="str">
        <f>IFERROR((s_TR/(up_RadSpec!F21*s_EF_w*(1/365)*s_ED_com*up_RadSpec!Q21*(s_ET_w_o+s_ET_w_i)*(1/24)*up_RadSpec!V21))*1,".")</f>
        <v>.</v>
      </c>
      <c r="F21" s="48">
        <f t="shared" si="0"/>
        <v>3.6348990637563577E-9</v>
      </c>
      <c r="G21" s="69">
        <f t="shared" si="1"/>
        <v>3055525</v>
      </c>
      <c r="H21" s="69">
        <f t="shared" si="2"/>
        <v>1231.1313567072434</v>
      </c>
      <c r="I21" s="69">
        <f>s_C*s_EF_w*(1/365)*s_ED_com*(s_ET_w_o+s_ET_w_i)*(1/24)*up_RadSpec!V21*up_RadSpec!Q21*1</f>
        <v>0</v>
      </c>
      <c r="J21" s="4"/>
      <c r="K21" s="4"/>
      <c r="L21" s="4"/>
      <c r="M21" s="4"/>
      <c r="N21" s="48" t="str">
        <f>IFERROR((s_TR/(up_RadSpec!F21*s_EF_w*(1/365)*s_ED_com*up_RadSpec!Q21*(s_ET_w_o+s_ET_w_i)*(1/24)*up_RadSpec!V21))*1,".")</f>
        <v>.</v>
      </c>
      <c r="O21" s="48" t="str">
        <f>IFERROR((s_TR/(up_RadSpec!M21*s_EF_w*(1/365)*s_ED_com*up_RadSpec!R21*(s_ET_w_o+s_ET_w_i)*(1/24)*up_RadSpec!W21))*1,".")</f>
        <v>.</v>
      </c>
      <c r="P21" s="48" t="str">
        <f>IFERROR((s_TR/(up_RadSpec!N21*s_EF_w*(1/365)*s_ED_com*up_RadSpec!S21*(s_ET_w_o+s_ET_w_i)*(1/24)*up_RadSpec!X21))*1,".")</f>
        <v>.</v>
      </c>
      <c r="Q21" s="48" t="str">
        <f>IFERROR((s_TR/(up_RadSpec!O21*s_EF_w*(1/365)*s_ED_com*up_RadSpec!T21*(s_ET_w_o+s_ET_w_i)*(1/24)*up_RadSpec!Y21))*1,".")</f>
        <v>.</v>
      </c>
      <c r="R21" s="48" t="str">
        <f>IFERROR((s_TR/(up_RadSpec!K21*s_EF_w*(1/365)*s_ED_com*up_RadSpec!P21*(s_ET_w_o+s_ET_w_i)*(1/24)*up_RadSpec!U21))*1,".")</f>
        <v>.</v>
      </c>
      <c r="S21" s="69">
        <f>s_C*s_EF_w*(1/365)*s_ED_com*(s_ET_w_o+s_ET_w_i)*(1/24)*up_RadSpec!V21*up_RadSpec!Q21*1</f>
        <v>0</v>
      </c>
      <c r="T21" s="69">
        <f>s_C*s_EF_w*(1/365)*s_ED_com*(s_ET_w_o+s_ET_w_i)*(1/24)*up_RadSpec!W21*up_RadSpec!R21*1</f>
        <v>0</v>
      </c>
      <c r="U21" s="69">
        <f>s_C*s_EF_w*(1/365)*s_ED_com*(s_ET_w_o+s_ET_w_i)*(1/24)*up_RadSpec!X21*up_RadSpec!S21*1</f>
        <v>0</v>
      </c>
      <c r="V21" s="69">
        <f>s_C*s_EF_w*(1/365)*s_ED_com*(s_ET_w_o+s_ET_w_i)*(1/24)*up_RadSpec!Y21*up_RadSpec!T21*1</f>
        <v>0</v>
      </c>
      <c r="W21" s="69">
        <f>s_C*s_EF_w*(1/365)*s_ED_com*(s_ET_w_o+s_ET_w_i)*(1/24)*up_RadSpec!U21*up_RadSpec!P21*1</f>
        <v>0</v>
      </c>
      <c r="X21" s="11"/>
      <c r="Y21" s="11"/>
      <c r="Z21" s="11"/>
      <c r="AA21" s="11"/>
      <c r="AB21" s="11"/>
      <c r="AC21" s="48">
        <f>IFERROR(s_TR/(up_RadSpec!G21*s_EF_w*s_ED_com*(s_ET_w_o+s_ET_w_i)*(1/24)*s_IRA_w),".")</f>
        <v>2.9090909090909089E-11</v>
      </c>
      <c r="AD21" s="48">
        <f>IFERROR(s_TR/(up_RadSpec!J21*s_EF_w*(1/365)*s_ED_com*(s_ET_w_o+s_ET_w_i)*(1/24)*s_GSF_a),".")</f>
        <v>1.5927272727272726E-7</v>
      </c>
      <c r="AE21" s="48">
        <f t="shared" si="6"/>
        <v>2.9085596653164224E-11</v>
      </c>
      <c r="AF21" s="69">
        <f t="shared" si="4"/>
        <v>381940625</v>
      </c>
      <c r="AG21" s="69">
        <f t="shared" si="5"/>
        <v>69760.844748858435</v>
      </c>
      <c r="AH21" s="10"/>
      <c r="AI21" s="10"/>
      <c r="AJ21" s="10"/>
    </row>
    <row r="22" spans="1:36" x14ac:dyDescent="0.25">
      <c r="A22" s="49" t="s">
        <v>32</v>
      </c>
      <c r="B22" s="50" t="s">
        <v>289</v>
      </c>
      <c r="C22" s="48">
        <f>IFERROR((s_TR/(up_RadSpec!I22*s_EF_w*s_ED_com*s_IRS_w*(1/1000)))*1,".")</f>
        <v>3.6363636363636364E-9</v>
      </c>
      <c r="D22" s="48">
        <f>IFERROR(IF(A22="H-3",(s_TR/(up_RadSpec!G22*s_EF_w*s_ED_com*(s_ET_w_o+s_ET_w_i)*(1/24)*s_IRA_w*(1/17)*1000))*1,(s_TR/(up_RadSpec!G22*s_EF_w*s_ED_com*(s_ET_w_o+s_ET_w_i)*(1/24)*s_IRA_w*(1/s_PEF_wind)*1000))*1),".")</f>
        <v>9.0250320889537196E-6</v>
      </c>
      <c r="E22" s="48">
        <f>IFERROR((s_TR/(up_RadSpec!F22*s_EF_w*(1/365)*s_ED_com*up_RadSpec!Q22*(s_ET_w_o+s_ET_w_i)*(1/24)*up_RadSpec!V22))*1,".")</f>
        <v>15.285043988269797</v>
      </c>
      <c r="F22" s="48">
        <f t="shared" si="0"/>
        <v>3.6348990628919511E-9</v>
      </c>
      <c r="G22" s="69">
        <f t="shared" si="1"/>
        <v>3055525</v>
      </c>
      <c r="H22" s="69">
        <f t="shared" si="2"/>
        <v>1231.1313567072434</v>
      </c>
      <c r="I22" s="69">
        <f>s_C*s_EF_w*(1/365)*s_ED_com*(s_ET_w_o+s_ET_w_i)*(1/24)*up_RadSpec!V22*up_RadSpec!Q22*1</f>
        <v>7.2691972679482725E-4</v>
      </c>
      <c r="J22" s="4"/>
      <c r="K22" s="4"/>
      <c r="L22" s="4"/>
      <c r="M22" s="4"/>
      <c r="N22" s="48">
        <f>IFERROR((s_TR/(up_RadSpec!F22*s_EF_w*(1/365)*s_ED_com*up_RadSpec!Q22*(s_ET_w_o+s_ET_w_i)*(1/24)*up_RadSpec!V22))*1,".")</f>
        <v>15.285043988269797</v>
      </c>
      <c r="O22" s="48">
        <f>IFERROR((s_TR/(up_RadSpec!M22*s_EF_w*(1/365)*s_ED_com*up_RadSpec!R22*(s_ET_w_o+s_ET_w_i)*(1/24)*up_RadSpec!W22))*1,".")</f>
        <v>14.006003150167917</v>
      </c>
      <c r="P22" s="48">
        <f>IFERROR((s_TR/(up_RadSpec!N22*s_EF_w*(1/365)*s_ED_com*up_RadSpec!S22*(s_ET_w_o+s_ET_w_i)*(1/24)*up_RadSpec!X22))*1,".")</f>
        <v>10.760360759143474</v>
      </c>
      <c r="Q22" s="48">
        <f>IFERROR((s_TR/(up_RadSpec!O22*s_EF_w*(1/365)*s_ED_com*up_RadSpec!T22*(s_ET_w_o+s_ET_w_i)*(1/24)*up_RadSpec!Y22))*1,".")</f>
        <v>11.08825757575757</v>
      </c>
      <c r="R22" s="48">
        <f>IFERROR((s_TR/(up_RadSpec!K22*s_EF_w*(1/365)*s_ED_com*up_RadSpec!P22*(s_ET_w_o+s_ET_w_i)*(1/24)*up_RadSpec!U22))*1,".")</f>
        <v>78.678866993535507</v>
      </c>
      <c r="S22" s="69">
        <f>s_C*s_EF_w*(1/365)*s_ED_com*(s_ET_w_o+s_ET_w_i)*(1/24)*up_RadSpec!V22*up_RadSpec!Q22*1</f>
        <v>7.2691972679482725E-4</v>
      </c>
      <c r="T22" s="69">
        <f>s_C*s_EF_w*(1/365)*s_ED_com*(s_ET_w_o+s_ET_w_i)*(1/24)*up_RadSpec!W22*up_RadSpec!R22*1</f>
        <v>7.9330269177233393E-4</v>
      </c>
      <c r="U22" s="69">
        <f>s_C*s_EF_w*(1/365)*s_ED_com*(s_ET_w_o+s_ET_w_i)*(1/24)*up_RadSpec!X22*up_RadSpec!S22*1</f>
        <v>1.0325861974988687E-3</v>
      </c>
      <c r="V22" s="69">
        <f>s_C*s_EF_w*(1/365)*s_ED_com*(s_ET_w_o+s_ET_w_i)*(1/24)*up_RadSpec!Y22*up_RadSpec!T22*1</f>
        <v>1.0020510367915829E-3</v>
      </c>
      <c r="W22" s="69">
        <f>s_C*s_EF_w*(1/365)*s_ED_com*(s_ET_w_o+s_ET_w_i)*(1/24)*up_RadSpec!U22*up_RadSpec!P22*1</f>
        <v>1.4121962382748741E-4</v>
      </c>
      <c r="X22" s="11"/>
      <c r="Y22" s="11"/>
      <c r="Z22" s="11"/>
      <c r="AA22" s="11"/>
      <c r="AB22" s="11"/>
      <c r="AC22" s="48">
        <f>IFERROR(s_TR/(up_RadSpec!G22*s_EF_w*s_ED_com*(s_ET_w_o+s_ET_w_i)*(1/24)*s_IRA_w),".")</f>
        <v>2.9090909090909089E-11</v>
      </c>
      <c r="AD22" s="48">
        <f>IFERROR(s_TR/(up_RadSpec!J22*s_EF_w*(1/365)*s_ED_com*(s_ET_w_o+s_ET_w_i)*(1/24)*s_GSF_a),".")</f>
        <v>1.5927272727272726E-7</v>
      </c>
      <c r="AE22" s="48">
        <f t="shared" si="6"/>
        <v>2.9085596653164224E-11</v>
      </c>
      <c r="AF22" s="69">
        <f t="shared" si="4"/>
        <v>381940625</v>
      </c>
      <c r="AG22" s="69">
        <f t="shared" si="5"/>
        <v>69760.844748858435</v>
      </c>
      <c r="AH22" s="10"/>
      <c r="AI22" s="10"/>
      <c r="AJ22" s="10"/>
    </row>
    <row r="23" spans="1:36" x14ac:dyDescent="0.25">
      <c r="A23" s="51" t="s">
        <v>33</v>
      </c>
      <c r="B23" s="50" t="s">
        <v>275</v>
      </c>
      <c r="C23" s="48">
        <f>IFERROR((s_TR/(up_RadSpec!I23*s_EF_w*s_ED_com*s_IRS_w*(1/1000)))*1,".")</f>
        <v>3.6363636363636364E-9</v>
      </c>
      <c r="D23" s="48">
        <f>IFERROR(IF(A23="H-3",(s_TR/(up_RadSpec!G23*s_EF_w*s_ED_com*(s_ET_w_o+s_ET_w_i)*(1/24)*s_IRA_w*(1/17)*1000))*1,(s_TR/(up_RadSpec!G23*s_EF_w*s_ED_com*(s_ET_w_o+s_ET_w_i)*(1/24)*s_IRA_w*(1/s_PEF_wind)*1000))*1),".")</f>
        <v>9.0250320889537196E-6</v>
      </c>
      <c r="E23" s="48">
        <f>IFERROR((s_TR/(up_RadSpec!F23*s_EF_w*(1/365)*s_ED_com*up_RadSpec!Q23*(s_ET_w_o+s_ET_w_i)*(1/24)*up_RadSpec!V23))*1,".")</f>
        <v>3.500392353284914E-6</v>
      </c>
      <c r="F23" s="48">
        <f t="shared" si="0"/>
        <v>3.6311284049537353E-9</v>
      </c>
      <c r="G23" s="69">
        <f t="shared" si="1"/>
        <v>3055525</v>
      </c>
      <c r="H23" s="69">
        <f t="shared" si="2"/>
        <v>1231.1313567072434</v>
      </c>
      <c r="I23" s="69">
        <f>s_C*s_EF_w*(1/365)*s_ED_com*(s_ET_w_o+s_ET_w_i)*(1/24)*up_RadSpec!V23*up_RadSpec!Q23*1</f>
        <v>3174.2155960239638</v>
      </c>
      <c r="J23" s="4"/>
      <c r="K23" s="4"/>
      <c r="L23" s="4"/>
      <c r="M23" s="4"/>
      <c r="N23" s="48">
        <f>IFERROR((s_TR/(up_RadSpec!F23*s_EF_w*(1/365)*s_ED_com*up_RadSpec!Q23*(s_ET_w_o+s_ET_w_i)*(1/24)*up_RadSpec!V23))*1,".")</f>
        <v>3.500392353284914E-6</v>
      </c>
      <c r="O23" s="48">
        <f>IFERROR((s_TR/(up_RadSpec!M23*s_EF_w*(1/365)*s_ED_com*up_RadSpec!R23*(s_ET_w_o+s_ET_w_i)*(1/24)*up_RadSpec!W23))*1,".")</f>
        <v>6.2307642417036039E-6</v>
      </c>
      <c r="P23" s="48">
        <f>IFERROR((s_TR/(up_RadSpec!N23*s_EF_w*(1/365)*s_ED_com*up_RadSpec!S23*(s_ET_w_o+s_ET_w_i)*(1/24)*up_RadSpec!X23))*1,".")</f>
        <v>4.4059313285674297E-6</v>
      </c>
      <c r="Q23" s="48">
        <f>IFERROR((s_TR/(up_RadSpec!O23*s_EF_w*(1/365)*s_ED_com*up_RadSpec!T23*(s_ET_w_o+s_ET_w_i)*(1/24)*up_RadSpec!Y23))*1,".")</f>
        <v>3.6055144855144848E-6</v>
      </c>
      <c r="R23" s="48">
        <f>IFERROR((s_TR/(up_RadSpec!K23*s_EF_w*(1/365)*s_ED_com*up_RadSpec!P23*(s_ET_w_o+s_ET_w_i)*(1/24)*up_RadSpec!U23))*1,".")</f>
        <v>9.8081956878073364E-6</v>
      </c>
      <c r="S23" s="69">
        <f>s_C*s_EF_w*(1/365)*s_ED_com*(s_ET_w_o+s_ET_w_i)*(1/24)*up_RadSpec!V23*up_RadSpec!Q23*1</f>
        <v>3174.2155960239638</v>
      </c>
      <c r="T23" s="69">
        <f>s_C*s_EF_w*(1/365)*s_ED_com*(s_ET_w_o+s_ET_w_i)*(1/24)*up_RadSpec!W23*up_RadSpec!R23*1</f>
        <v>1783.2483414525807</v>
      </c>
      <c r="U23" s="69">
        <f>s_C*s_EF_w*(1/365)*s_ED_com*(s_ET_w_o+s_ET_w_i)*(1/24)*up_RadSpec!X23*up_RadSpec!S23*1</f>
        <v>2521.8277751988235</v>
      </c>
      <c r="V23" s="69">
        <f>s_C*s_EF_w*(1/365)*s_ED_com*(s_ET_w_o+s_ET_w_i)*(1/24)*up_RadSpec!Y23*up_RadSpec!T23*1</f>
        <v>3081.6683845369503</v>
      </c>
      <c r="W23" s="69">
        <f>s_C*s_EF_w*(1/365)*s_ED_com*(s_ET_w_o+s_ET_w_i)*(1/24)*up_RadSpec!U23*up_RadSpec!P23*1</f>
        <v>1132.8281320704266</v>
      </c>
      <c r="X23" s="11"/>
      <c r="Y23" s="11"/>
      <c r="Z23" s="11"/>
      <c r="AA23" s="11"/>
      <c r="AB23" s="11"/>
      <c r="AC23" s="48">
        <f>IFERROR(s_TR/(up_RadSpec!G23*s_EF_w*s_ED_com*(s_ET_w_o+s_ET_w_i)*(1/24)*s_IRA_w),".")</f>
        <v>2.9090909090909089E-11</v>
      </c>
      <c r="AD23" s="48">
        <f>IFERROR(s_TR/(up_RadSpec!J23*s_EF_w*(1/365)*s_ED_com*(s_ET_w_o+s_ET_w_i)*(1/24)*s_GSF_a),".")</f>
        <v>1.5927272727272726E-7</v>
      </c>
      <c r="AE23" s="48">
        <f t="shared" si="6"/>
        <v>2.9085596653164224E-11</v>
      </c>
      <c r="AF23" s="69">
        <f t="shared" si="4"/>
        <v>381940625</v>
      </c>
      <c r="AG23" s="69">
        <f t="shared" si="5"/>
        <v>69760.844748858435</v>
      </c>
      <c r="AH23" s="10"/>
      <c r="AI23" s="10"/>
      <c r="AJ23" s="10"/>
    </row>
    <row r="24" spans="1:36" x14ac:dyDescent="0.25">
      <c r="A24" s="49" t="s">
        <v>34</v>
      </c>
      <c r="B24" s="50" t="s">
        <v>289</v>
      </c>
      <c r="C24" s="48">
        <f>IFERROR((s_TR/(up_RadSpec!I24*s_EF_w*s_ED_com*s_IRS_w*(1/1000)))*1,".")</f>
        <v>3.6363636363636364E-9</v>
      </c>
      <c r="D24" s="48">
        <f>IFERROR(IF(A24="H-3",(s_TR/(up_RadSpec!G24*s_EF_w*s_ED_com*(s_ET_w_o+s_ET_w_i)*(1/24)*s_IRA_w*(1/17)*1000))*1,(s_TR/(up_RadSpec!G24*s_EF_w*s_ED_com*(s_ET_w_o+s_ET_w_i)*(1/24)*s_IRA_w*(1/s_PEF_wind)*1000))*1),".")</f>
        <v>9.0250320889537196E-6</v>
      </c>
      <c r="E24" s="48">
        <f>IFERROR((s_TR/(up_RadSpec!F24*s_EF_w*(1/365)*s_ED_com*up_RadSpec!Q24*(s_ET_w_o+s_ET_w_i)*(1/24)*up_RadSpec!V24))*1,".")</f>
        <v>4.5887362275580541E-6</v>
      </c>
      <c r="F24" s="48">
        <f t="shared" si="0"/>
        <v>3.6320220116106576E-9</v>
      </c>
      <c r="G24" s="69">
        <f t="shared" si="1"/>
        <v>3055525</v>
      </c>
      <c r="H24" s="69">
        <f t="shared" si="2"/>
        <v>1231.1313567072434</v>
      </c>
      <c r="I24" s="69">
        <f>s_C*s_EF_w*(1/365)*s_ED_com*(s_ET_w_o+s_ET_w_i)*(1/24)*up_RadSpec!V24*up_RadSpec!Q24*1</f>
        <v>2421.3638459478061</v>
      </c>
      <c r="J24" s="4"/>
      <c r="K24" s="4"/>
      <c r="L24" s="4"/>
      <c r="M24" s="4"/>
      <c r="N24" s="48">
        <f>IFERROR((s_TR/(up_RadSpec!F24*s_EF_w*(1/365)*s_ED_com*up_RadSpec!Q24*(s_ET_w_o+s_ET_w_i)*(1/24)*up_RadSpec!V24))*1,".")</f>
        <v>4.5887362275580541E-6</v>
      </c>
      <c r="O24" s="48">
        <f>IFERROR((s_TR/(up_RadSpec!M24*s_EF_w*(1/365)*s_ED_com*up_RadSpec!R24*(s_ET_w_o+s_ET_w_i)*(1/24)*up_RadSpec!W24))*1,".")</f>
        <v>8.319447442262035E-6</v>
      </c>
      <c r="P24" s="48">
        <f>IFERROR((s_TR/(up_RadSpec!N24*s_EF_w*(1/365)*s_ED_com*up_RadSpec!S24*(s_ET_w_o+s_ET_w_i)*(1/24)*up_RadSpec!X24))*1,".")</f>
        <v>5.8740674803103334E-6</v>
      </c>
      <c r="Q24" s="48">
        <f>IFERROR((s_TR/(up_RadSpec!O24*s_EF_w*(1/365)*s_ED_com*up_RadSpec!T24*(s_ET_w_o+s_ET_w_i)*(1/24)*up_RadSpec!Y24))*1,".")</f>
        <v>4.9052272027325923E-6</v>
      </c>
      <c r="R24" s="48">
        <f>IFERROR((s_TR/(up_RadSpec!K24*s_EF_w*(1/365)*s_ED_com*up_RadSpec!P24*(s_ET_w_o+s_ET_w_i)*(1/24)*up_RadSpec!U24))*1,".")</f>
        <v>1.382697302697302E-5</v>
      </c>
      <c r="S24" s="69">
        <f>s_C*s_EF_w*(1/365)*s_ED_com*(s_ET_w_o+s_ET_w_i)*(1/24)*up_RadSpec!V24*up_RadSpec!Q24*1</f>
        <v>2421.3638459478061</v>
      </c>
      <c r="T24" s="69">
        <f>s_C*s_EF_w*(1/365)*s_ED_com*(s_ET_w_o+s_ET_w_i)*(1/24)*up_RadSpec!W24*up_RadSpec!R24*1</f>
        <v>1335.5454286010788</v>
      </c>
      <c r="U24" s="69">
        <f>s_C*s_EF_w*(1/365)*s_ED_com*(s_ET_w_o+s_ET_w_i)*(1/24)*up_RadSpec!X24*up_RadSpec!S24*1</f>
        <v>1891.5342796526729</v>
      </c>
      <c r="V24" s="69">
        <f>s_C*s_EF_w*(1/365)*s_ED_com*(s_ET_w_o+s_ET_w_i)*(1/24)*up_RadSpec!Y24*up_RadSpec!T24*1</f>
        <v>2265.1346289954336</v>
      </c>
      <c r="W24" s="69">
        <f>s_C*s_EF_w*(1/365)*s_ED_com*(s_ET_w_o+s_ET_w_i)*(1/24)*up_RadSpec!U24*up_RadSpec!P24*1</f>
        <v>803.57428761343294</v>
      </c>
      <c r="X24" s="11"/>
      <c r="Y24" s="11"/>
      <c r="Z24" s="11"/>
      <c r="AA24" s="11"/>
      <c r="AB24" s="11"/>
      <c r="AC24" s="48">
        <f>IFERROR(s_TR/(up_RadSpec!G24*s_EF_w*s_ED_com*(s_ET_w_o+s_ET_w_i)*(1/24)*s_IRA_w),".")</f>
        <v>2.9090909090909089E-11</v>
      </c>
      <c r="AD24" s="48">
        <f>IFERROR(s_TR/(up_RadSpec!J24*s_EF_w*(1/365)*s_ED_com*(s_ET_w_o+s_ET_w_i)*(1/24)*s_GSF_a),".")</f>
        <v>1.5927272727272726E-7</v>
      </c>
      <c r="AE24" s="48">
        <f t="shared" si="6"/>
        <v>2.9085596653164224E-11</v>
      </c>
      <c r="AF24" s="69">
        <f t="shared" si="4"/>
        <v>381940625</v>
      </c>
      <c r="AG24" s="69">
        <f t="shared" si="5"/>
        <v>69760.844748858435</v>
      </c>
      <c r="AH24" s="10"/>
      <c r="AI24" s="10"/>
      <c r="AJ24" s="10"/>
    </row>
    <row r="25" spans="1:36" x14ac:dyDescent="0.25">
      <c r="A25" s="51" t="s">
        <v>35</v>
      </c>
      <c r="B25" s="50" t="s">
        <v>275</v>
      </c>
      <c r="C25" s="48">
        <f>IFERROR((s_TR/(up_RadSpec!I25*s_EF_w*s_ED_com*s_IRS_w*(1/1000)))*1,".")</f>
        <v>3.6363636363636364E-9</v>
      </c>
      <c r="D25" s="48">
        <f>IFERROR(IF(A25="H-3",(s_TR/(up_RadSpec!G25*s_EF_w*s_ED_com*(s_ET_w_o+s_ET_w_i)*(1/24)*s_IRA_w*(1/17)*1000))*1,(s_TR/(up_RadSpec!G25*s_EF_w*s_ED_com*(s_ET_w_o+s_ET_w_i)*(1/24)*s_IRA_w*(1/s_PEF_wind)*1000))*1),".")</f>
        <v>9.0250320889537196E-6</v>
      </c>
      <c r="E25" s="48">
        <f>IFERROR((s_TR/(up_RadSpec!F25*s_EF_w*(1/365)*s_ED_com*up_RadSpec!Q25*(s_ET_w_o+s_ET_w_i)*(1/24)*up_RadSpec!V25))*1,".")</f>
        <v>5.117196056955094E-6</v>
      </c>
      <c r="F25" s="48">
        <f t="shared" si="0"/>
        <v>3.6323189178157529E-9</v>
      </c>
      <c r="G25" s="69">
        <f t="shared" si="1"/>
        <v>3055525</v>
      </c>
      <c r="H25" s="69">
        <f t="shared" si="2"/>
        <v>1231.1313567072434</v>
      </c>
      <c r="I25" s="69">
        <f>s_C*s_EF_w*(1/365)*s_ED_com*(s_ET_w_o+s_ET_w_i)*(1/24)*up_RadSpec!V25*up_RadSpec!Q25*1</f>
        <v>2171.3062928082186</v>
      </c>
      <c r="J25" s="4"/>
      <c r="K25" s="4"/>
      <c r="L25" s="4"/>
      <c r="M25" s="4"/>
      <c r="N25" s="48">
        <f>IFERROR((s_TR/(up_RadSpec!F25*s_EF_w*(1/365)*s_ED_com*up_RadSpec!Q25*(s_ET_w_o+s_ET_w_i)*(1/24)*up_RadSpec!V25))*1,".")</f>
        <v>5.117196056955094E-6</v>
      </c>
      <c r="O25" s="48">
        <f>IFERROR((s_TR/(up_RadSpec!M25*s_EF_w*(1/365)*s_ED_com*up_RadSpec!R25*(s_ET_w_o+s_ET_w_i)*(1/24)*up_RadSpec!W25))*1,".")</f>
        <v>9.1638362553616773E-6</v>
      </c>
      <c r="P25" s="48">
        <f>IFERROR((s_TR/(up_RadSpec!N25*s_EF_w*(1/365)*s_ED_com*up_RadSpec!S25*(s_ET_w_o+s_ET_w_i)*(1/24)*up_RadSpec!X25))*1,".")</f>
        <v>6.5732694272020127E-6</v>
      </c>
      <c r="Q25" s="48">
        <f>IFERROR((s_TR/(up_RadSpec!O25*s_EF_w*(1/365)*s_ED_com*up_RadSpec!T25*(s_ET_w_o+s_ET_w_i)*(1/24)*up_RadSpec!Y25))*1,".")</f>
        <v>5.8697641341709141E-6</v>
      </c>
      <c r="R25" s="48">
        <f>IFERROR((s_TR/(up_RadSpec!K25*s_EF_w*(1/365)*s_ED_com*up_RadSpec!P25*(s_ET_w_o+s_ET_w_i)*(1/24)*up_RadSpec!U25))*1,".")</f>
        <v>1.6429752066115701E-5</v>
      </c>
      <c r="S25" s="69">
        <f>s_C*s_EF_w*(1/365)*s_ED_com*(s_ET_w_o+s_ET_w_i)*(1/24)*up_RadSpec!V25*up_RadSpec!Q25*1</f>
        <v>2171.3062928082186</v>
      </c>
      <c r="T25" s="69">
        <f>s_C*s_EF_w*(1/365)*s_ED_com*(s_ET_w_o+s_ET_w_i)*(1/24)*up_RadSpec!W25*up_RadSpec!R25*1</f>
        <v>1212.4834720283282</v>
      </c>
      <c r="U25" s="69">
        <f>s_C*s_EF_w*(1/365)*s_ED_com*(s_ET_w_o+s_ET_w_i)*(1/24)*up_RadSpec!X25*up_RadSpec!S25*1</f>
        <v>1690.33083506658</v>
      </c>
      <c r="V25" s="69">
        <f>s_C*s_EF_w*(1/365)*s_ED_com*(s_ET_w_o+s_ET_w_i)*(1/24)*up_RadSpec!Y25*up_RadSpec!T25*1</f>
        <v>1892.9210349896609</v>
      </c>
      <c r="W25" s="69">
        <f>s_C*s_EF_w*(1/365)*s_ED_com*(s_ET_w_o+s_ET_w_i)*(1/24)*up_RadSpec!U25*up_RadSpec!P25*1</f>
        <v>676.27313883299792</v>
      </c>
      <c r="X25" s="11"/>
      <c r="Y25" s="11"/>
      <c r="Z25" s="11"/>
      <c r="AA25" s="11"/>
      <c r="AB25" s="11"/>
      <c r="AC25" s="48">
        <f>IFERROR(s_TR/(up_RadSpec!G25*s_EF_w*s_ED_com*(s_ET_w_o+s_ET_w_i)*(1/24)*s_IRA_w),".")</f>
        <v>2.9090909090909089E-11</v>
      </c>
      <c r="AD25" s="48">
        <f>IFERROR(s_TR/(up_RadSpec!J25*s_EF_w*(1/365)*s_ED_com*(s_ET_w_o+s_ET_w_i)*(1/24)*s_GSF_a),".")</f>
        <v>1.5927272727272726E-7</v>
      </c>
      <c r="AE25" s="48">
        <f t="shared" si="6"/>
        <v>2.9085596653164224E-11</v>
      </c>
      <c r="AF25" s="69">
        <f t="shared" si="4"/>
        <v>381940625</v>
      </c>
      <c r="AG25" s="69">
        <f t="shared" si="5"/>
        <v>69760.844748858435</v>
      </c>
      <c r="AH25" s="10"/>
      <c r="AI25" s="10"/>
      <c r="AJ25" s="10"/>
    </row>
    <row r="26" spans="1:36" x14ac:dyDescent="0.25">
      <c r="A26" s="49" t="s">
        <v>36</v>
      </c>
      <c r="B26" s="50" t="s">
        <v>289</v>
      </c>
      <c r="C26" s="48">
        <f>IFERROR((s_TR/(up_RadSpec!I26*s_EF_w*s_ED_com*s_IRS_w*(1/1000)))*1,".")</f>
        <v>3.6363636363636364E-9</v>
      </c>
      <c r="D26" s="48">
        <f>IFERROR(IF(A26="H-3",(s_TR/(up_RadSpec!G26*s_EF_w*s_ED_com*(s_ET_w_o+s_ET_w_i)*(1/24)*s_IRA_w*(1/17)*1000))*1,(s_TR/(up_RadSpec!G26*s_EF_w*s_ED_com*(s_ET_w_o+s_ET_w_i)*(1/24)*s_IRA_w*(1/s_PEF_wind)*1000))*1),".")</f>
        <v>9.0250320889537196E-6</v>
      </c>
      <c r="E26" s="48">
        <f>IFERROR((s_TR/(up_RadSpec!F26*s_EF_w*(1/365)*s_ED_com*up_RadSpec!Q26*(s_ET_w_o+s_ET_w_i)*(1/24)*up_RadSpec!V26))*1,".")</f>
        <v>2.7899814471243031E-5</v>
      </c>
      <c r="F26" s="48">
        <f t="shared" si="0"/>
        <v>3.6344255563047033E-9</v>
      </c>
      <c r="G26" s="69">
        <f t="shared" si="1"/>
        <v>3055525</v>
      </c>
      <c r="H26" s="69">
        <f t="shared" si="2"/>
        <v>1231.1313567072434</v>
      </c>
      <c r="I26" s="69">
        <f>s_C*s_EF_w*(1/365)*s_ED_com*(s_ET_w_o+s_ET_w_i)*(1/24)*up_RadSpec!V26*up_RadSpec!Q26*1</f>
        <v>398.24637584785222</v>
      </c>
      <c r="J26" s="4"/>
      <c r="K26" s="4"/>
      <c r="L26" s="4"/>
      <c r="M26" s="4"/>
      <c r="N26" s="48">
        <f>IFERROR((s_TR/(up_RadSpec!F26*s_EF_w*(1/365)*s_ED_com*up_RadSpec!Q26*(s_ET_w_o+s_ET_w_i)*(1/24)*up_RadSpec!V26))*1,".")</f>
        <v>2.7899814471243031E-5</v>
      </c>
      <c r="O26" s="48">
        <f>IFERROR((s_TR/(up_RadSpec!M26*s_EF_w*(1/365)*s_ED_com*up_RadSpec!R26*(s_ET_w_o+s_ET_w_i)*(1/24)*up_RadSpec!W26))*1,".")</f>
        <v>5.0938165204298848E-5</v>
      </c>
      <c r="P26" s="48">
        <f>IFERROR((s_TR/(up_RadSpec!N26*s_EF_w*(1/365)*s_ED_com*up_RadSpec!S26*(s_ET_w_o+s_ET_w_i)*(1/24)*up_RadSpec!X26))*1,".")</f>
        <v>3.6817148325358841E-5</v>
      </c>
      <c r="Q26" s="48">
        <f>IFERROR((s_TR/(up_RadSpec!O26*s_EF_w*(1/365)*s_ED_com*up_RadSpec!T26*(s_ET_w_o+s_ET_w_i)*(1/24)*up_RadSpec!Y26))*1,".")</f>
        <v>3.149256198347106E-5</v>
      </c>
      <c r="R26" s="48">
        <f>IFERROR((s_TR/(up_RadSpec!K26*s_EF_w*(1/365)*s_ED_com*up_RadSpec!P26*(s_ET_w_o+s_ET_w_i)*(1/24)*up_RadSpec!U26))*1,".")</f>
        <v>2.968949605026463E-4</v>
      </c>
      <c r="S26" s="69">
        <f>s_C*s_EF_w*(1/365)*s_ED_com*(s_ET_w_o+s_ET_w_i)*(1/24)*up_RadSpec!V26*up_RadSpec!Q26*1</f>
        <v>398.24637584785222</v>
      </c>
      <c r="T26" s="69">
        <f>s_C*s_EF_w*(1/365)*s_ED_com*(s_ET_w_o+s_ET_w_i)*(1/24)*up_RadSpec!W26*up_RadSpec!R26*1</f>
        <v>218.12721277723409</v>
      </c>
      <c r="U26" s="69">
        <f>s_C*s_EF_w*(1/365)*s_ED_com*(s_ET_w_o+s_ET_w_i)*(1/24)*up_RadSpec!X26*up_RadSpec!S26*1</f>
        <v>301.78871817584485</v>
      </c>
      <c r="V26" s="69">
        <f>s_C*s_EF_w*(1/365)*s_ED_com*(s_ET_w_o+s_ET_w_i)*(1/24)*up_RadSpec!Y26*up_RadSpec!T26*1</f>
        <v>352.81346769537618</v>
      </c>
      <c r="W26" s="69">
        <f>s_C*s_EF_w*(1/365)*s_ED_com*(s_ET_w_o+s_ET_w_i)*(1/24)*up_RadSpec!U26*up_RadSpec!P26*1</f>
        <v>37.424010098349122</v>
      </c>
      <c r="X26" s="11"/>
      <c r="Y26" s="11"/>
      <c r="Z26" s="11"/>
      <c r="AA26" s="11"/>
      <c r="AB26" s="11"/>
      <c r="AC26" s="48">
        <f>IFERROR(s_TR/(up_RadSpec!G26*s_EF_w*s_ED_com*(s_ET_w_o+s_ET_w_i)*(1/24)*s_IRA_w),".")</f>
        <v>2.9090909090909089E-11</v>
      </c>
      <c r="AD26" s="48">
        <f>IFERROR(s_TR/(up_RadSpec!J26*s_EF_w*(1/365)*s_ED_com*(s_ET_w_o+s_ET_w_i)*(1/24)*s_GSF_a),".")</f>
        <v>1.5927272727272726E-7</v>
      </c>
      <c r="AE26" s="48">
        <f t="shared" si="6"/>
        <v>2.9085596653164224E-11</v>
      </c>
      <c r="AF26" s="69">
        <f t="shared" si="4"/>
        <v>381940625</v>
      </c>
      <c r="AG26" s="69">
        <f t="shared" si="5"/>
        <v>69760.844748858435</v>
      </c>
      <c r="AH26" s="10"/>
      <c r="AI26" s="10"/>
      <c r="AJ26" s="10"/>
    </row>
    <row r="27" spans="1:36" x14ac:dyDescent="0.25">
      <c r="A27" s="49" t="s">
        <v>37</v>
      </c>
      <c r="B27" s="50" t="s">
        <v>289</v>
      </c>
      <c r="C27" s="48">
        <f>IFERROR((s_TR/(up_RadSpec!I27*s_EF_w*s_ED_com*s_IRS_w*(1/1000)))*1,".")</f>
        <v>3.6363636363636364E-9</v>
      </c>
      <c r="D27" s="48">
        <f>IFERROR(IF(A27="H-3",(s_TR/(up_RadSpec!G27*s_EF_w*s_ED_com*(s_ET_w_o+s_ET_w_i)*(1/24)*s_IRA_w*(1/17)*1000))*1,(s_TR/(up_RadSpec!G27*s_EF_w*s_ED_com*(s_ET_w_o+s_ET_w_i)*(1/24)*s_IRA_w*(1/s_PEF_wind)*1000))*1),".")</f>
        <v>9.0250320889537196E-6</v>
      </c>
      <c r="E27" s="48">
        <f>IFERROR((s_TR/(up_RadSpec!F27*s_EF_w*(1/365)*s_ED_com*up_RadSpec!Q27*(s_ET_w_o+s_ET_w_i)*(1/24)*up_RadSpec!V27))*1,".")</f>
        <v>5.8783443727764469E-6</v>
      </c>
      <c r="F27" s="48">
        <f t="shared" si="0"/>
        <v>3.6326527975603937E-9</v>
      </c>
      <c r="G27" s="69">
        <f t="shared" si="1"/>
        <v>3055525</v>
      </c>
      <c r="H27" s="69">
        <f t="shared" si="2"/>
        <v>1231.1313567072434</v>
      </c>
      <c r="I27" s="69">
        <f>s_C*s_EF_w*(1/365)*s_ED_com*(s_ET_w_o+s_ET_w_i)*(1/24)*up_RadSpec!V27*up_RadSpec!Q27*1</f>
        <v>1890.1580607384651</v>
      </c>
      <c r="J27" s="4"/>
      <c r="K27" s="4"/>
      <c r="L27" s="4"/>
      <c r="M27" s="4"/>
      <c r="N27" s="48">
        <f>IFERROR((s_TR/(up_RadSpec!F27*s_EF_w*(1/365)*s_ED_com*up_RadSpec!Q27*(s_ET_w_o+s_ET_w_i)*(1/24)*up_RadSpec!V27))*1,".")</f>
        <v>5.8783443727764469E-6</v>
      </c>
      <c r="O27" s="48">
        <f>IFERROR((s_TR/(up_RadSpec!M27*s_EF_w*(1/365)*s_ED_com*up_RadSpec!R27*(s_ET_w_o+s_ET_w_i)*(1/24)*up_RadSpec!W27))*1,".")</f>
        <v>1.7436172248803837E-5</v>
      </c>
      <c r="P27" s="48">
        <f>IFERROR((s_TR/(up_RadSpec!N27*s_EF_w*(1/365)*s_ED_com*up_RadSpec!S27*(s_ET_w_o+s_ET_w_i)*(1/24)*up_RadSpec!X27))*1,".")</f>
        <v>1.0689684726048362E-5</v>
      </c>
      <c r="Q27" s="48">
        <f>IFERROR((s_TR/(up_RadSpec!O27*s_EF_w*(1/365)*s_ED_com*up_RadSpec!T27*(s_ET_w_o+s_ET_w_i)*(1/24)*up_RadSpec!Y27))*1,".")</f>
        <v>7.7763326697633285E-6</v>
      </c>
      <c r="R27" s="48">
        <f>IFERROR((s_TR/(up_RadSpec!K27*s_EF_w*(1/365)*s_ED_com*up_RadSpec!P27*(s_ET_w_o+s_ET_w_i)*(1/24)*up_RadSpec!U27))*1,".")</f>
        <v>5.4540040604556755E-5</v>
      </c>
      <c r="S27" s="69">
        <f>s_C*s_EF_w*(1/365)*s_ED_com*(s_ET_w_o+s_ET_w_i)*(1/24)*up_RadSpec!V27*up_RadSpec!Q27*1</f>
        <v>1890.1580607384651</v>
      </c>
      <c r="T27" s="69">
        <f>s_C*s_EF_w*(1/365)*s_ED_com*(s_ET_w_o+s_ET_w_i)*(1/24)*up_RadSpec!W27*up_RadSpec!R27*1</f>
        <v>637.23848568668734</v>
      </c>
      <c r="U27" s="69">
        <f>s_C*s_EF_w*(1/365)*s_ED_com*(s_ET_w_o+s_ET_w_i)*(1/24)*up_RadSpec!X27*up_RadSpec!S27*1</f>
        <v>1039.413255371787</v>
      </c>
      <c r="V27" s="69">
        <f>s_C*s_EF_w*(1/365)*s_ED_com*(s_ET_w_o+s_ET_w_i)*(1/24)*up_RadSpec!Y27*up_RadSpec!T27*1</f>
        <v>1428.8226175306052</v>
      </c>
      <c r="W27" s="69">
        <f>s_C*s_EF_w*(1/365)*s_ED_com*(s_ET_w_o+s_ET_w_i)*(1/24)*up_RadSpec!U27*up_RadSpec!P27*1</f>
        <v>203.72188720137638</v>
      </c>
      <c r="X27" s="11"/>
      <c r="Y27" s="11"/>
      <c r="Z27" s="11"/>
      <c r="AA27" s="11"/>
      <c r="AB27" s="11"/>
      <c r="AC27" s="48">
        <f>IFERROR(s_TR/(up_RadSpec!G27*s_EF_w*s_ED_com*(s_ET_w_o+s_ET_w_i)*(1/24)*s_IRA_w),".")</f>
        <v>2.9090909090909089E-11</v>
      </c>
      <c r="AD27" s="48">
        <f>IFERROR(s_TR/(up_RadSpec!J27*s_EF_w*(1/365)*s_ED_com*(s_ET_w_o+s_ET_w_i)*(1/24)*s_GSF_a),".")</f>
        <v>1.5927272727272726E-7</v>
      </c>
      <c r="AE27" s="48">
        <f t="shared" si="6"/>
        <v>2.9085596653164224E-11</v>
      </c>
      <c r="AF27" s="69">
        <f t="shared" si="4"/>
        <v>381940625</v>
      </c>
      <c r="AG27" s="69">
        <f t="shared" si="5"/>
        <v>69760.844748858435</v>
      </c>
      <c r="AH27" s="10"/>
      <c r="AI27" s="10"/>
      <c r="AJ27" s="10"/>
    </row>
    <row r="28" spans="1:36" x14ac:dyDescent="0.25">
      <c r="A28" s="49" t="s">
        <v>38</v>
      </c>
      <c r="B28" s="50" t="s">
        <v>289</v>
      </c>
      <c r="C28" s="48">
        <f>IFERROR((s_TR/(up_RadSpec!I28*s_EF_w*s_ED_com*s_IRS_w*(1/1000)))*1,".")</f>
        <v>3.6363636363636364E-9</v>
      </c>
      <c r="D28" s="48">
        <f>IFERROR(IF(A28="H-3",(s_TR/(up_RadSpec!G28*s_EF_w*s_ED_com*(s_ET_w_o+s_ET_w_i)*(1/24)*s_IRA_w*(1/17)*1000))*1,(s_TR/(up_RadSpec!G28*s_EF_w*s_ED_com*(s_ET_w_o+s_ET_w_i)*(1/24)*s_IRA_w*(1/s_PEF_wind)*1000))*1),".")</f>
        <v>9.0250320889537196E-6</v>
      </c>
      <c r="E28" s="48">
        <f>IFERROR((s_TR/(up_RadSpec!F28*s_EF_w*(1/365)*s_ED_com*up_RadSpec!Q28*(s_ET_w_o+s_ET_w_i)*(1/24)*up_RadSpec!V28))*1,".")</f>
        <v>2.6012204356153401E-6</v>
      </c>
      <c r="F28" s="48">
        <f t="shared" si="0"/>
        <v>3.6298268084845213E-9</v>
      </c>
      <c r="G28" s="69">
        <f t="shared" si="1"/>
        <v>3055525</v>
      </c>
      <c r="H28" s="69">
        <f t="shared" si="2"/>
        <v>1231.1313567072434</v>
      </c>
      <c r="I28" s="69">
        <f>s_C*s_EF_w*(1/365)*s_ED_com*(s_ET_w_o+s_ET_w_i)*(1/24)*up_RadSpec!V28*up_RadSpec!Q28*1</f>
        <v>4271.4565239726026</v>
      </c>
      <c r="J28" s="4"/>
      <c r="K28" s="4"/>
      <c r="L28" s="4"/>
      <c r="M28" s="4"/>
      <c r="N28" s="48">
        <f>IFERROR((s_TR/(up_RadSpec!F28*s_EF_w*(1/365)*s_ED_com*up_RadSpec!Q28*(s_ET_w_o+s_ET_w_i)*(1/24)*up_RadSpec!V28))*1,".")</f>
        <v>2.6012204356153401E-6</v>
      </c>
      <c r="O28" s="48">
        <f>IFERROR((s_TR/(up_RadSpec!M28*s_EF_w*(1/365)*s_ED_com*up_RadSpec!R28*(s_ET_w_o+s_ET_w_i)*(1/24)*up_RadSpec!W28))*1,".")</f>
        <v>5.8003581393411911E-6</v>
      </c>
      <c r="P28" s="48">
        <f>IFERROR((s_TR/(up_RadSpec!N28*s_EF_w*(1/365)*s_ED_com*up_RadSpec!S28*(s_ET_w_o+s_ET_w_i)*(1/24)*up_RadSpec!X28))*1,".")</f>
        <v>4.0271233191587157E-6</v>
      </c>
      <c r="Q28" s="48">
        <f>IFERROR((s_TR/(up_RadSpec!O28*s_EF_w*(1/365)*s_ED_com*up_RadSpec!T28*(s_ET_w_o+s_ET_w_i)*(1/24)*up_RadSpec!Y28))*1,".")</f>
        <v>3.4866947137369663E-6</v>
      </c>
      <c r="R28" s="48">
        <f>IFERROR((s_TR/(up_RadSpec!K28*s_EF_w*(1/365)*s_ED_com*up_RadSpec!P28*(s_ET_w_o+s_ET_w_i)*(1/24)*up_RadSpec!U28))*1,".")</f>
        <v>1.01968253968254E-5</v>
      </c>
      <c r="S28" s="69">
        <f>s_C*s_EF_w*(1/365)*s_ED_com*(s_ET_w_o+s_ET_w_i)*(1/24)*up_RadSpec!V28*up_RadSpec!Q28*1</f>
        <v>4271.4565239726026</v>
      </c>
      <c r="T28" s="69">
        <f>s_C*s_EF_w*(1/365)*s_ED_com*(s_ET_w_o+s_ET_w_i)*(1/24)*up_RadSpec!W28*up_RadSpec!R28*1</f>
        <v>1915.571372160477</v>
      </c>
      <c r="U28" s="69">
        <f>s_C*s_EF_w*(1/365)*s_ED_com*(s_ET_w_o+s_ET_w_i)*(1/24)*up_RadSpec!X28*up_RadSpec!S28*1</f>
        <v>2759.0414098173524</v>
      </c>
      <c r="V28" s="69">
        <f>s_C*s_EF_w*(1/365)*s_ED_com*(s_ET_w_o+s_ET_w_i)*(1/24)*up_RadSpec!Y28*up_RadSpec!T28*1</f>
        <v>3186.685647075612</v>
      </c>
      <c r="W28" s="69">
        <f>s_C*s_EF_w*(1/365)*s_ED_com*(s_ET_w_o+s_ET_w_i)*(1/24)*up_RadSpec!U28*up_RadSpec!P28*1</f>
        <v>1089.6528642590279</v>
      </c>
      <c r="X28" s="11"/>
      <c r="Y28" s="11"/>
      <c r="Z28" s="11"/>
      <c r="AA28" s="11"/>
      <c r="AB28" s="11"/>
      <c r="AC28" s="48">
        <f>IFERROR(s_TR/(up_RadSpec!G28*s_EF_w*s_ED_com*(s_ET_w_o+s_ET_w_i)*(1/24)*s_IRA_w),".")</f>
        <v>2.9090909090909089E-11</v>
      </c>
      <c r="AD28" s="48">
        <f>IFERROR(s_TR/(up_RadSpec!J28*s_EF_w*(1/365)*s_ED_com*(s_ET_w_o+s_ET_w_i)*(1/24)*s_GSF_a),".")</f>
        <v>1.5927272727272726E-7</v>
      </c>
      <c r="AE28" s="48">
        <f t="shared" si="6"/>
        <v>2.9085596653164224E-11</v>
      </c>
      <c r="AF28" s="69">
        <f t="shared" si="4"/>
        <v>381940625</v>
      </c>
      <c r="AG28" s="69">
        <f t="shared" si="5"/>
        <v>69760.844748858435</v>
      </c>
      <c r="AH28" s="10"/>
      <c r="AI28" s="10"/>
      <c r="AJ28" s="10"/>
    </row>
    <row r="29" spans="1:36" x14ac:dyDescent="0.25">
      <c r="A29" s="49" t="s">
        <v>39</v>
      </c>
      <c r="B29" s="50" t="s">
        <v>289</v>
      </c>
      <c r="C29" s="48">
        <f>IFERROR((s_TR/(up_RadSpec!I29*s_EF_w*s_ED_com*s_IRS_w*(1/1000)))*1,".")</f>
        <v>3.6363636363636364E-9</v>
      </c>
      <c r="D29" s="48">
        <f>IFERROR(IF(A29="H-3",(s_TR/(up_RadSpec!G29*s_EF_w*s_ED_com*(s_ET_w_o+s_ET_w_i)*(1/24)*s_IRA_w*(1/17)*1000))*1,(s_TR/(up_RadSpec!G29*s_EF_w*s_ED_com*(s_ET_w_o+s_ET_w_i)*(1/24)*s_IRA_w*(1/s_PEF_wind)*1000))*1),".")</f>
        <v>9.0250320889537196E-6</v>
      </c>
      <c r="E29" s="48">
        <f>IFERROR((s_TR/(up_RadSpec!F29*s_EF_w*(1/365)*s_ED_com*up_RadSpec!Q29*(s_ET_w_o+s_ET_w_i)*(1/24)*up_RadSpec!V29))*1,".")</f>
        <v>2.8286140089418794E-6</v>
      </c>
      <c r="F29" s="48">
        <f t="shared" si="0"/>
        <v>3.6302340460856472E-9</v>
      </c>
      <c r="G29" s="69">
        <f t="shared" si="1"/>
        <v>3055525</v>
      </c>
      <c r="H29" s="69">
        <f t="shared" si="2"/>
        <v>1231.1313567072434</v>
      </c>
      <c r="I29" s="69">
        <f>s_C*s_EF_w*(1/365)*s_ED_com*(s_ET_w_o+s_ET_w_i)*(1/24)*up_RadSpec!V29*up_RadSpec!Q29*1</f>
        <v>3928.0721812434113</v>
      </c>
      <c r="J29" s="4"/>
      <c r="K29" s="4"/>
      <c r="L29" s="4"/>
      <c r="M29" s="4"/>
      <c r="N29" s="48">
        <f>IFERROR((s_TR/(up_RadSpec!F29*s_EF_w*(1/365)*s_ED_com*up_RadSpec!Q29*(s_ET_w_o+s_ET_w_i)*(1/24)*up_RadSpec!V29))*1,".")</f>
        <v>2.8286140089418794E-6</v>
      </c>
      <c r="O29" s="48">
        <f>IFERROR((s_TR/(up_RadSpec!M29*s_EF_w*(1/365)*s_ED_com*up_RadSpec!R29*(s_ET_w_o+s_ET_w_i)*(1/24)*up_RadSpec!W29))*1,".")</f>
        <v>5.6444019138755959E-6</v>
      </c>
      <c r="P29" s="48">
        <f>IFERROR((s_TR/(up_RadSpec!N29*s_EF_w*(1/365)*s_ED_com*up_RadSpec!S29*(s_ET_w_o+s_ET_w_i)*(1/24)*up_RadSpec!X29))*1,".")</f>
        <v>4.0210479175996419E-6</v>
      </c>
      <c r="Q29" s="48">
        <f>IFERROR((s_TR/(up_RadSpec!O29*s_EF_w*(1/365)*s_ED_com*up_RadSpec!T29*(s_ET_w_o+s_ET_w_i)*(1/24)*up_RadSpec!Y29))*1,".")</f>
        <v>3.4108867132867111E-6</v>
      </c>
      <c r="R29" s="48">
        <f>IFERROR((s_TR/(up_RadSpec!K29*s_EF_w*(1/365)*s_ED_com*up_RadSpec!P29*(s_ET_w_o+s_ET_w_i)*(1/24)*up_RadSpec!U29))*1,".")</f>
        <v>1.0135537190082644E-5</v>
      </c>
      <c r="S29" s="69">
        <f>s_C*s_EF_w*(1/365)*s_ED_com*(s_ET_w_o+s_ET_w_i)*(1/24)*up_RadSpec!V29*up_RadSpec!Q29*1</f>
        <v>3928.0721812434113</v>
      </c>
      <c r="T29" s="69">
        <f>s_C*s_EF_w*(1/365)*s_ED_com*(s_ET_w_o+s_ET_w_i)*(1/24)*up_RadSpec!W29*up_RadSpec!R29*1</f>
        <v>1968.4990844974911</v>
      </c>
      <c r="U29" s="69">
        <f>s_C*s_EF_w*(1/365)*s_ED_com*(s_ET_w_o+s_ET_w_i)*(1/24)*up_RadSpec!X29*up_RadSpec!S29*1</f>
        <v>2763.2100456621001</v>
      </c>
      <c r="V29" s="69">
        <f>s_C*s_EF_w*(1/365)*s_ED_com*(s_ET_w_o+s_ET_w_i)*(1/24)*up_RadSpec!Y29*up_RadSpec!T29*1</f>
        <v>3257.510710255604</v>
      </c>
      <c r="W29" s="69">
        <f>s_C*s_EF_w*(1/365)*s_ED_com*(s_ET_w_o+s_ET_w_i)*(1/24)*up_RadSpec!U29*up_RadSpec!P29*1</f>
        <v>1096.2418460534896</v>
      </c>
      <c r="X29" s="11"/>
      <c r="Y29" s="11"/>
      <c r="Z29" s="11"/>
      <c r="AA29" s="11"/>
      <c r="AB29" s="11"/>
      <c r="AC29" s="48">
        <f>IFERROR(s_TR/(up_RadSpec!G29*s_EF_w*s_ED_com*(s_ET_w_o+s_ET_w_i)*(1/24)*s_IRA_w),".")</f>
        <v>2.9090909090909089E-11</v>
      </c>
      <c r="AD29" s="48">
        <f>IFERROR(s_TR/(up_RadSpec!J29*s_EF_w*(1/365)*s_ED_com*(s_ET_w_o+s_ET_w_i)*(1/24)*s_GSF_a),".")</f>
        <v>1.5927272727272726E-7</v>
      </c>
      <c r="AE29" s="48">
        <f t="shared" si="6"/>
        <v>2.9085596653164224E-11</v>
      </c>
      <c r="AF29" s="69">
        <f t="shared" si="4"/>
        <v>381940625</v>
      </c>
      <c r="AG29" s="69">
        <f t="shared" si="5"/>
        <v>69760.844748858435</v>
      </c>
      <c r="AH29" s="10"/>
      <c r="AI29" s="10"/>
      <c r="AJ29" s="10"/>
    </row>
    <row r="30" spans="1:36" x14ac:dyDescent="0.25">
      <c r="A30" s="49" t="s">
        <v>40</v>
      </c>
      <c r="B30" s="50" t="s">
        <v>289</v>
      </c>
      <c r="C30" s="48">
        <f>IFERROR((s_TR/(up_RadSpec!I30*s_EF_w*s_ED_com*s_IRS_w*(1/1000)))*1,".")</f>
        <v>3.6363636363636364E-9</v>
      </c>
      <c r="D30" s="48">
        <f>IFERROR(IF(A30="H-3",(s_TR/(up_RadSpec!G30*s_EF_w*s_ED_com*(s_ET_w_o+s_ET_w_i)*(1/24)*s_IRA_w*(1/17)*1000))*1,(s_TR/(up_RadSpec!G30*s_EF_w*s_ED_com*(s_ET_w_o+s_ET_w_i)*(1/24)*s_IRA_w*(1/s_PEF_wind)*1000))*1),".")</f>
        <v>9.0250320889537196E-6</v>
      </c>
      <c r="E30" s="48">
        <f>IFERROR((s_TR/(up_RadSpec!F30*s_EF_w*(1/365)*s_ED_com*up_RadSpec!Q30*(s_ET_w_o+s_ET_w_i)*(1/24)*up_RadSpec!V30))*1,".")</f>
        <v>2.654545454545454E-5</v>
      </c>
      <c r="F30" s="48">
        <f t="shared" si="0"/>
        <v>3.6344014010688553E-9</v>
      </c>
      <c r="G30" s="69">
        <f t="shared" si="1"/>
        <v>3055525</v>
      </c>
      <c r="H30" s="69">
        <f t="shared" si="2"/>
        <v>1231.1313567072434</v>
      </c>
      <c r="I30" s="69">
        <f>s_C*s_EF_w*(1/365)*s_ED_com*(s_ET_w_o+s_ET_w_i)*(1/24)*up_RadSpec!V30*up_RadSpec!Q30*1</f>
        <v>418.56506849315065</v>
      </c>
      <c r="J30" s="4"/>
      <c r="K30" s="4"/>
      <c r="L30" s="4"/>
      <c r="M30" s="4"/>
      <c r="N30" s="48">
        <f>IFERROR((s_TR/(up_RadSpec!F30*s_EF_w*(1/365)*s_ED_com*up_RadSpec!Q30*(s_ET_w_o+s_ET_w_i)*(1/24)*up_RadSpec!V30))*1,".")</f>
        <v>2.654545454545454E-5</v>
      </c>
      <c r="O30" s="48">
        <f>IFERROR((s_TR/(up_RadSpec!M30*s_EF_w*(1/365)*s_ED_com*up_RadSpec!R30*(s_ET_w_o+s_ET_w_i)*(1/24)*up_RadSpec!W30))*1,".")</f>
        <v>1.3004536082474226E-4</v>
      </c>
      <c r="P30" s="48">
        <f>IFERROR((s_TR/(up_RadSpec!N30*s_EF_w*(1/365)*s_ED_com*up_RadSpec!S30*(s_ET_w_o+s_ET_w_i)*(1/24)*up_RadSpec!X30))*1,".")</f>
        <v>4.6863931523022416E-5</v>
      </c>
      <c r="Q30" s="48">
        <f>IFERROR((s_TR/(up_RadSpec!O30*s_EF_w*(1/365)*s_ED_com*up_RadSpec!T30*(s_ET_w_o+s_ET_w_i)*(1/24)*up_RadSpec!Y30))*1,".")</f>
        <v>3.4883160981632983E-5</v>
      </c>
      <c r="R30" s="48">
        <f>IFERROR((s_TR/(up_RadSpec!K30*s_EF_w*(1/365)*s_ED_com*up_RadSpec!P30*(s_ET_w_o+s_ET_w_i)*(1/24)*up_RadSpec!U30))*1,".")</f>
        <v>3.1854545454545447E-3</v>
      </c>
      <c r="S30" s="69">
        <f>s_C*s_EF_w*(1/365)*s_ED_com*(s_ET_w_o+s_ET_w_i)*(1/24)*up_RadSpec!V30*up_RadSpec!Q30*1</f>
        <v>418.56506849315065</v>
      </c>
      <c r="T30" s="69">
        <f>s_C*s_EF_w*(1/365)*s_ED_com*(s_ET_w_o+s_ET_w_i)*(1/24)*up_RadSpec!W30*up_RadSpec!R30*1</f>
        <v>85.439418442415018</v>
      </c>
      <c r="U30" s="69">
        <f>s_C*s_EF_w*(1/365)*s_ED_com*(s_ET_w_o+s_ET_w_i)*(1/24)*up_RadSpec!X30*up_RadSpec!S30*1</f>
        <v>237.09065029129275</v>
      </c>
      <c r="V30" s="69">
        <f>s_C*s_EF_w*(1/365)*s_ED_com*(s_ET_w_o+s_ET_w_i)*(1/24)*up_RadSpec!Y30*up_RadSpec!T30*1</f>
        <v>318.52044617889612</v>
      </c>
      <c r="W30" s="69">
        <f>s_C*s_EF_w*(1/365)*s_ED_com*(s_ET_w_o+s_ET_w_i)*(1/24)*up_RadSpec!U30*up_RadSpec!P30*1</f>
        <v>3.4880422374429219</v>
      </c>
      <c r="X30" s="11"/>
      <c r="Y30" s="11"/>
      <c r="Z30" s="11"/>
      <c r="AA30" s="11"/>
      <c r="AB30" s="11"/>
      <c r="AC30" s="48">
        <f>IFERROR(s_TR/(up_RadSpec!G30*s_EF_w*s_ED_com*(s_ET_w_o+s_ET_w_i)*(1/24)*s_IRA_w),".")</f>
        <v>2.9090909090909089E-11</v>
      </c>
      <c r="AD30" s="48">
        <f>IFERROR(s_TR/(up_RadSpec!J30*s_EF_w*(1/365)*s_ED_com*(s_ET_w_o+s_ET_w_i)*(1/24)*s_GSF_a),".")</f>
        <v>1.5927272727272726E-7</v>
      </c>
      <c r="AE30" s="48">
        <f t="shared" si="6"/>
        <v>2.9085596653164224E-11</v>
      </c>
      <c r="AF30" s="69">
        <f t="shared" si="4"/>
        <v>381940625</v>
      </c>
      <c r="AG30" s="69">
        <f t="shared" si="5"/>
        <v>69760.844748858435</v>
      </c>
      <c r="AH30" s="10"/>
      <c r="AI30" s="10"/>
      <c r="AJ30" s="10"/>
    </row>
    <row r="31" spans="1:36" x14ac:dyDescent="0.25">
      <c r="A31" s="52" t="s">
        <v>13</v>
      </c>
      <c r="B31" s="52" t="s">
        <v>289</v>
      </c>
      <c r="C31" s="53">
        <f>1/SUM(1/C32,1/C33,1/C34,1/C35,1/C36,1/C37,1/C38,1/C41,1/C44)</f>
        <v>4.0405117873850371E-10</v>
      </c>
      <c r="D31" s="53">
        <f>1/SUM(1/D32,1/D33,1/D34,1/D35,1/D36,1/D37,1/D38,1/D41,1/D44)</f>
        <v>1.0028080847660071E-6</v>
      </c>
      <c r="E31" s="53">
        <f>1/SUM(1/E32,1/E33,1/E34,1/E35,1/E36,1/E37,1/E38,1/E39,1/E40,1/E41,1/E42,1/E43)</f>
        <v>1.0793276001335156E-6</v>
      </c>
      <c r="F31" s="54">
        <f>1/SUM(1/F32,1/F33,1/F34,1/F35,1/F36,1/F37,1/F38,1/F39,1/F40,1/F41,1/F42,1/F43,1/F44)</f>
        <v>3.0283235179693351E-10</v>
      </c>
      <c r="G31" s="71"/>
      <c r="H31" s="71"/>
      <c r="I31" s="71"/>
      <c r="J31" s="72">
        <f>IFERROR(IF(SUM(G32:G44)&gt;0.01,1-EXP(-SUM(G32:G44)),SUM(G32:G44)),".")</f>
        <v>1</v>
      </c>
      <c r="K31" s="72">
        <f>IFERROR(IF(SUM(H32:H44)&gt;0.01,1-EXP(-SUM(H32:H44)),SUM(H32:H44)),".")</f>
        <v>1</v>
      </c>
      <c r="L31" s="72">
        <f>IFERROR(IF(SUM(I32:I44)&gt;0.01,1-EXP(-SUM(I32:I44)),SUM(I32:I44)),".")</f>
        <v>1</v>
      </c>
      <c r="M31" s="72">
        <f>IFERROR(IF(SUM(G32:I44)&gt;0.01,1-EXP(-SUM(G32:I44)),SUM(G32:I44)),".")</f>
        <v>1</v>
      </c>
      <c r="N31" s="53">
        <f t="shared" ref="N31:R31" si="7">1/SUM(1/N32,1/N33,1/N34,1/N35,1/N36,1/N37,1/N38,1/N39,1/N40,1/N41,1/N42,1/N43)</f>
        <v>1.0793276001335156E-6</v>
      </c>
      <c r="O31" s="53">
        <f t="shared" si="7"/>
        <v>1.9946413406993447E-6</v>
      </c>
      <c r="P31" s="53">
        <f t="shared" si="7"/>
        <v>1.4093181289924036E-6</v>
      </c>
      <c r="Q31" s="53">
        <f t="shared" si="7"/>
        <v>1.2243001143509866E-6</v>
      </c>
      <c r="R31" s="53">
        <f t="shared" si="7"/>
        <v>4.2138527700560422E-6</v>
      </c>
      <c r="S31" s="71"/>
      <c r="T31" s="63"/>
      <c r="U31" s="63"/>
      <c r="V31" s="63"/>
      <c r="W31" s="63"/>
      <c r="X31" s="72">
        <f>IFERROR(IF(SUM(S32:S44)&gt;0.01,1-EXP(-SUM(S32:S44)),SUM(S32:S44)),".")</f>
        <v>1</v>
      </c>
      <c r="Y31" s="72">
        <f t="shared" ref="Y31:AB31" si="8">IFERROR(IF(SUM(T32:T44)&gt;0.01,1-EXP(-SUM(T32:T44)),SUM(T32:T44)),".")</f>
        <v>1</v>
      </c>
      <c r="Z31" s="72">
        <f t="shared" si="8"/>
        <v>1</v>
      </c>
      <c r="AA31" s="72">
        <f t="shared" si="8"/>
        <v>1</v>
      </c>
      <c r="AB31" s="72">
        <f t="shared" si="8"/>
        <v>1</v>
      </c>
      <c r="AC31" s="53">
        <f>1/SUM(1/AC32,1/AC33,1/AC34,1/AC35,1/AC36,1/AC37,1/AC38,1/AC41,1/AC44)</f>
        <v>3.2324094299080297E-12</v>
      </c>
      <c r="AD31" s="53">
        <f t="shared" ref="AD31:AE31" si="9">1/SUM(1/AD32,1/AD33,1/AD34,1/AD35,1/AD36,1/AD37,1/AD38,1/AD39,1/AD40,1/AD41,1/AD42,1/AD43,1/AD44)</f>
        <v>1.327312546649127E-8</v>
      </c>
      <c r="AE31" s="54">
        <f t="shared" si="9"/>
        <v>2.4238724372701367E-12</v>
      </c>
      <c r="AF31" s="71"/>
      <c r="AG31" s="71"/>
      <c r="AH31" s="72">
        <f>IFERROR(IF(SUM(AF32:AF44)&gt;0.01,1-EXP(-SUM(AF32:AF44)),SUM(AF32:AF44)),".")</f>
        <v>1</v>
      </c>
      <c r="AI31" s="72">
        <f>IFERROR(IF(SUM(AG32:AG44)&gt;0.01,1-EXP(-SUM(AG32:AG44)),SUM(AG32:AG44)),".")</f>
        <v>1</v>
      </c>
      <c r="AJ31" s="72">
        <f>IFERROR(IF(SUM(AF32:AG44)&gt;0.01,1-EXP(-SUM(AF32:AG44)),SUM(AF32:AG44)),".")</f>
        <v>1</v>
      </c>
    </row>
    <row r="32" spans="1:36" x14ac:dyDescent="0.25">
      <c r="A32" s="55" t="s">
        <v>290</v>
      </c>
      <c r="B32" s="50">
        <v>1</v>
      </c>
      <c r="C32" s="56">
        <f>IFERROR(C3/$B32,0)</f>
        <v>3.6363636363636364E-9</v>
      </c>
      <c r="D32" s="56">
        <f>IFERROR(D3/$B32,0)</f>
        <v>9.0250320889537196E-6</v>
      </c>
      <c r="E32" s="56">
        <f>IFERROR(E3/$B32,0)</f>
        <v>2.2184415584415593E-3</v>
      </c>
      <c r="F32" s="56">
        <f>IF(AND(C32&lt;&gt;0,D32&lt;&gt;0,E32&lt;&gt;0),1/((1/C32)+(1/D32)+(1/E32)),IF(AND(C32&lt;&gt;0,D32&lt;&gt;0,E32=0), 1/((1/C32)+(1/D32)),IF(AND(C32&lt;&gt;0,D32=0,E32&lt;&gt;0),1/((1/C32)+(1/E32)),IF(AND(C32=0,D32&lt;&gt;0,E32&lt;&gt;0),1/((1/D32)+(1/E32)),IF(AND(C32&lt;&gt;0,D32=0,E32=0),1/((1/C32)),IF(AND(C32=0,D32&lt;&gt;0,E32=0),1/((1/D32)),IF(AND(C32=0,D32=0,E32&lt;&gt;0),1/((1/E32)),IF(AND(C32=0,D32=0,E32=0),0))))))))</f>
        <v>3.6348931080125592E-9</v>
      </c>
      <c r="G32" s="64">
        <f>IFERROR(up_RadSpec!$I$3*G3,".")*$B$32</f>
        <v>15277625</v>
      </c>
      <c r="H32" s="64">
        <f>IFERROR(up_RadSpec!$G$3*H3,".")*$B$32</f>
        <v>6155.6567835362166</v>
      </c>
      <c r="I32" s="64">
        <f>IFERROR(up_RadSpec!$F$3*I3,".")*$B$32</f>
        <v>25.042354525231225</v>
      </c>
      <c r="J32" s="73">
        <f t="shared" ref="J32:L44" si="10">IFERROR(IF(G32&gt;0.01,1-EXP(-G32),G32),".")</f>
        <v>1</v>
      </c>
      <c r="K32" s="73">
        <f t="shared" si="10"/>
        <v>1</v>
      </c>
      <c r="L32" s="73">
        <f t="shared" si="10"/>
        <v>0.99999999998668798</v>
      </c>
      <c r="M32" s="73">
        <f>IFERROR(IF(SUM(G32:I32)&gt;0.01,1-EXP(-SUM(G32:I32)),SUM(G32:I32)),".")</f>
        <v>1</v>
      </c>
      <c r="N32" s="56">
        <f t="shared" ref="N32:AD32" si="11">IFERROR(N3/$B32,0)</f>
        <v>2.2184415584415593E-3</v>
      </c>
      <c r="O32" s="56">
        <f t="shared" si="11"/>
        <v>3.1106175132324275E-3</v>
      </c>
      <c r="P32" s="56">
        <f t="shared" si="11"/>
        <v>2.3582923154193873E-3</v>
      </c>
      <c r="Q32" s="56">
        <f t="shared" si="11"/>
        <v>2.430968353680217E-3</v>
      </c>
      <c r="R32" s="56">
        <f t="shared" si="11"/>
        <v>4.8228185429946419E-3</v>
      </c>
      <c r="S32" s="64">
        <f>IFERROR(up_RadSpec!$F$3*S3,".")*$B$32</f>
        <v>25.042354525231225</v>
      </c>
      <c r="T32" s="64">
        <f>IFERROR(up_RadSpec!$M$3*T3,".")*$B$32</f>
        <v>17.859797858036714</v>
      </c>
      <c r="U32" s="64">
        <f>IFERROR(up_RadSpec!$N$3*U3,".")*$B$32</f>
        <v>23.557300185715256</v>
      </c>
      <c r="V32" s="64">
        <f>IFERROR(up_RadSpec!$O$3*V3,".")*$B$32</f>
        <v>22.853032996458332</v>
      </c>
      <c r="W32" s="64">
        <f>IFERROR(up_RadSpec!$K$3*W3,".")*$B$32</f>
        <v>11.519197644434723</v>
      </c>
      <c r="X32" s="73">
        <f>IFERROR(IF(S32&gt;0.01,1-EXP(-S32),S32),".")</f>
        <v>0.99999999998668798</v>
      </c>
      <c r="Y32" s="73">
        <f t="shared" ref="Y32:AB44" si="12">IFERROR(IF(T32&gt;0.01,1-EXP(-T32),T32),".")</f>
        <v>0.99999998247781174</v>
      </c>
      <c r="Z32" s="73">
        <f t="shared" si="12"/>
        <v>0.99999999994122479</v>
      </c>
      <c r="AA32" s="73">
        <f t="shared" si="12"/>
        <v>0.99999999988113508</v>
      </c>
      <c r="AB32" s="73">
        <f t="shared" si="12"/>
        <v>0.99999006252550404</v>
      </c>
      <c r="AC32" s="56">
        <f t="shared" si="11"/>
        <v>2.9090909090909089E-11</v>
      </c>
      <c r="AD32" s="56">
        <f t="shared" si="11"/>
        <v>1.5927272727272726E-7</v>
      </c>
      <c r="AE32" s="56">
        <f>IFERROR(IF(AND(AC32&lt;&gt;0,AD32&lt;&gt;0),1/((1/AC32)+(1/AD32)),IF(AND(AC32&lt;&gt;0,AD32=0),1/((1/AC32)),IF(AND(AC32=0,AD32&lt;&gt;0),1/((1/AD32)),IF(AND(AC32=0,AD32=0),0)))),0)</f>
        <v>2.9085596653164224E-11</v>
      </c>
      <c r="AF32" s="64">
        <f>IFERROR(up_RadSpec!$G$3*AF3,".")*$B$32</f>
        <v>1909703125</v>
      </c>
      <c r="AG32" s="64">
        <f>IFERROR(up_RadSpec!$J$3*AG3,".")*$B$32</f>
        <v>348804.22374429216</v>
      </c>
      <c r="AH32" s="73">
        <f>IFERROR(IF(AF32&gt;0.01,1-EXP(-AF32),AF32),".")</f>
        <v>1</v>
      </c>
      <c r="AI32" s="73">
        <f>IFERROR(IF(AG32&gt;0.01,1-EXP(-AG32),AG32),".")</f>
        <v>1</v>
      </c>
      <c r="AJ32" s="73">
        <f>IFERROR(IF(SUM(AF32:AG32)&gt;0.01,1-EXP(-SUM(AF32:AG32)),SUM(AF32:AG32)),".")</f>
        <v>1</v>
      </c>
    </row>
    <row r="33" spans="1:36" x14ac:dyDescent="0.25">
      <c r="A33" s="55" t="s">
        <v>291</v>
      </c>
      <c r="B33" s="50">
        <v>1</v>
      </c>
      <c r="C33" s="56">
        <f t="shared" ref="C33:E34" si="13">IFERROR(C13/$B33,0)</f>
        <v>3.6363636363636364E-9</v>
      </c>
      <c r="D33" s="56">
        <f t="shared" si="13"/>
        <v>9.0250320889537196E-6</v>
      </c>
      <c r="E33" s="56">
        <f t="shared" si="13"/>
        <v>5.4790618044855368E-5</v>
      </c>
      <c r="F33" s="56">
        <f>IF(AND(C33&lt;&gt;0,D33&lt;&gt;0,E33&lt;&gt;0),1/((1/C33)+(1/D33)+(1/E33)),IF(AND(C33&lt;&gt;0,D33&lt;&gt;0,E33=0), 1/((1/C33)+(1/D33)),IF(AND(C33&lt;&gt;0,D33=0,E33&lt;&gt;0),1/((1/C33)+(1/E33)),IF(AND(C33=0,D33&lt;&gt;0,E33&lt;&gt;0),1/((1/D33)+(1/E33)),IF(AND(C33&lt;&gt;0,D33=0,E33=0),1/((1/C33)),IF(AND(C33=0,D33&lt;&gt;0,E33=0),1/((1/D33)),IF(AND(C33=0,D33=0,E33&lt;&gt;0),1/((1/E33)),IF(AND(C33=0,D33=0,E33=0),0))))))))</f>
        <v>3.6346579346142699E-9</v>
      </c>
      <c r="G33" s="64">
        <f>IFERROR(up_RadSpec!$I$13*G13,".")*$B$33</f>
        <v>15277625</v>
      </c>
      <c r="H33" s="64">
        <f>IFERROR(up_RadSpec!$G$13*H13,".")*$B$33</f>
        <v>6155.6567835362166</v>
      </c>
      <c r="I33" s="64">
        <f>IFERROR(up_RadSpec!$F$13*I13,".")*$B$33</f>
        <v>1013.9509642785713</v>
      </c>
      <c r="J33" s="73">
        <f t="shared" si="10"/>
        <v>1</v>
      </c>
      <c r="K33" s="73">
        <f t="shared" si="10"/>
        <v>1</v>
      </c>
      <c r="L33" s="73">
        <f t="shared" si="10"/>
        <v>1</v>
      </c>
      <c r="M33" s="73">
        <f t="shared" ref="M33:M44" si="14">IFERROR(IF(SUM(G33:I33)&gt;0.01,1-EXP(-SUM(G33:I33)),SUM(G33:I33)),".")</f>
        <v>1</v>
      </c>
      <c r="N33" s="56">
        <f t="shared" ref="N33:AD34" si="15">IFERROR(N13/$B33,0)</f>
        <v>5.4790618044855368E-5</v>
      </c>
      <c r="O33" s="56">
        <f t="shared" si="15"/>
        <v>1.1948632373213381E-4</v>
      </c>
      <c r="P33" s="56">
        <f t="shared" si="15"/>
        <v>7.0985979194934404E-5</v>
      </c>
      <c r="Q33" s="56">
        <f t="shared" si="15"/>
        <v>5.8600282168498088E-5</v>
      </c>
      <c r="R33" s="56">
        <f t="shared" si="15"/>
        <v>1.1495129870129864E-3</v>
      </c>
      <c r="S33" s="64">
        <f>IFERROR(up_RadSpec!$F$13*S13,".")*$B$33</f>
        <v>1013.9509642785713</v>
      </c>
      <c r="T33" s="64">
        <f>IFERROR(up_RadSpec!$M$13*T13,".")*$B$33</f>
        <v>464.94860888467878</v>
      </c>
      <c r="U33" s="64">
        <f>IFERROR(up_RadSpec!$N$13*U13,".")*$B$33</f>
        <v>782.61933736858896</v>
      </c>
      <c r="V33" s="64">
        <f>IFERROR(up_RadSpec!$O$13*V13,".")*$B$33</f>
        <v>948.03297772966789</v>
      </c>
      <c r="W33" s="64">
        <f>IFERROR(up_RadSpec!$K$13*W13,".")*$B$33</f>
        <v>48.329162547662762</v>
      </c>
      <c r="X33" s="73">
        <f t="shared" ref="X33:X44" si="16">IFERROR(IF(S33&gt;0.01,1-EXP(-S33),S33),".")</f>
        <v>1</v>
      </c>
      <c r="Y33" s="73">
        <f t="shared" si="12"/>
        <v>1</v>
      </c>
      <c r="Z33" s="73">
        <f t="shared" si="12"/>
        <v>1</v>
      </c>
      <c r="AA33" s="73">
        <f t="shared" si="12"/>
        <v>1</v>
      </c>
      <c r="AB33" s="73">
        <f t="shared" si="12"/>
        <v>1</v>
      </c>
      <c r="AC33" s="56">
        <f t="shared" si="15"/>
        <v>2.9090909090909089E-11</v>
      </c>
      <c r="AD33" s="56">
        <f t="shared" si="15"/>
        <v>1.5927272727272726E-7</v>
      </c>
      <c r="AE33" s="56">
        <f t="shared" ref="AE33:AE44" si="17">IFERROR(IF(AND(AC33&lt;&gt;0,AD33&lt;&gt;0),1/((1/AC33)+(1/AD33)),IF(AND(AC33&lt;&gt;0,AD33=0),1/((1/AC33)),IF(AND(AC33=0,AD33&lt;&gt;0),1/((1/AD33)),IF(AND(AC33=0,AD33=0),0)))),0)</f>
        <v>2.9085596653164224E-11</v>
      </c>
      <c r="AF33" s="64">
        <f>IFERROR(up_RadSpec!$G$13*AF13,".")*$B$33</f>
        <v>1909703125</v>
      </c>
      <c r="AG33" s="64">
        <f>IFERROR(up_RadSpec!$J$13*AG13,".")*$B$33</f>
        <v>348804.22374429216</v>
      </c>
      <c r="AH33" s="73">
        <f t="shared" ref="AH33:AI44" si="18">IFERROR(IF(AF33&gt;0.01,1-EXP(-AF33),AF33),".")</f>
        <v>1</v>
      </c>
      <c r="AI33" s="73">
        <f t="shared" si="18"/>
        <v>1</v>
      </c>
      <c r="AJ33" s="73">
        <f t="shared" ref="AJ33:AJ44" si="19">IFERROR(IF(SUM(AF33:AG33)&gt;0.01,1-EXP(-SUM(AF33:AG33)),SUM(AF33:AG33)),".")</f>
        <v>1</v>
      </c>
    </row>
    <row r="34" spans="1:36" x14ac:dyDescent="0.25">
      <c r="A34" s="55" t="s">
        <v>292</v>
      </c>
      <c r="B34" s="50">
        <v>1</v>
      </c>
      <c r="C34" s="56">
        <f t="shared" si="13"/>
        <v>3.6363636363636364E-9</v>
      </c>
      <c r="D34" s="56">
        <f t="shared" si="13"/>
        <v>9.0250320889537196E-6</v>
      </c>
      <c r="E34" s="56">
        <f t="shared" si="13"/>
        <v>8.225017943474665E-6</v>
      </c>
      <c r="F34" s="56">
        <f>IF(AND(C34&lt;&gt;0,D34&lt;&gt;0,E34&lt;&gt;0),1/((1/C34)+(1/D34)+(1/E34)),IF(AND(C34&lt;&gt;0,D34&lt;&gt;0,E34=0), 1/((1/C34)+(1/D34)),IF(AND(C34&lt;&gt;0,D34=0,E34&lt;&gt;0),1/((1/C34)+(1/E34)),IF(AND(C34=0,D34&lt;&gt;0,E34&lt;&gt;0),1/((1/D34)+(1/E34)),IF(AND(C34&lt;&gt;0,D34=0,E34=0),1/((1/C34)),IF(AND(C34=0,D34&lt;&gt;0,E34=0),1/((1/D34)),IF(AND(C34=0,D34=0,E34&lt;&gt;0),1/((1/E34)),IF(AND(C34=0,D34=0,E34=0),0))))))))</f>
        <v>3.6332933949480451E-9</v>
      </c>
      <c r="G34" s="64">
        <f>IFERROR(up_RadSpec!$I$14*G14,".")*$B$34</f>
        <v>15277625</v>
      </c>
      <c r="H34" s="64">
        <f>IFERROR(up_RadSpec!$G$14*H14,".")*$B$33</f>
        <v>6155.6567835362166</v>
      </c>
      <c r="I34" s="64">
        <f>IFERROR(up_RadSpec!$F$14*I14,".")*$B$33</f>
        <v>6754.3925596022154</v>
      </c>
      <c r="J34" s="73">
        <f t="shared" si="10"/>
        <v>1</v>
      </c>
      <c r="K34" s="73">
        <f t="shared" si="10"/>
        <v>1</v>
      </c>
      <c r="L34" s="73">
        <f t="shared" si="10"/>
        <v>1</v>
      </c>
      <c r="M34" s="73">
        <f t="shared" si="14"/>
        <v>1</v>
      </c>
      <c r="N34" s="56">
        <f t="shared" si="15"/>
        <v>8.225017943474665E-6</v>
      </c>
      <c r="O34" s="56">
        <f t="shared" si="15"/>
        <v>1.4937483186060478E-5</v>
      </c>
      <c r="P34" s="56">
        <f t="shared" si="15"/>
        <v>1.1043933455751369E-5</v>
      </c>
      <c r="Q34" s="56">
        <f t="shared" si="15"/>
        <v>9.6777614763226293E-6</v>
      </c>
      <c r="R34" s="56">
        <f t="shared" si="15"/>
        <v>4.1679600886917974E-5</v>
      </c>
      <c r="S34" s="64">
        <f>IFERROR(up_RadSpec!$F$14*S14,".")*$B$33</f>
        <v>6754.3925596022154</v>
      </c>
      <c r="T34" s="64">
        <f>IFERROR(up_RadSpec!$M$14*T14,".")*$B$33</f>
        <v>3719.1673662831909</v>
      </c>
      <c r="U34" s="64">
        <f>IFERROR(up_RadSpec!$N$14*U14,".")*$B$33</f>
        <v>5030.3635224339841</v>
      </c>
      <c r="V34" s="64">
        <f>IFERROR(up_RadSpec!$O$14*V14,".")*$B$33</f>
        <v>5740.4803926940622</v>
      </c>
      <c r="W34" s="64">
        <f>IFERROR(up_RadSpec!$K$14*W14,".")*$B$33</f>
        <v>1332.9062375315862</v>
      </c>
      <c r="X34" s="73">
        <f t="shared" si="16"/>
        <v>1</v>
      </c>
      <c r="Y34" s="73">
        <f t="shared" si="12"/>
        <v>1</v>
      </c>
      <c r="Z34" s="73">
        <f t="shared" si="12"/>
        <v>1</v>
      </c>
      <c r="AA34" s="73">
        <f t="shared" si="12"/>
        <v>1</v>
      </c>
      <c r="AB34" s="73">
        <f t="shared" si="12"/>
        <v>1</v>
      </c>
      <c r="AC34" s="56">
        <f t="shared" si="15"/>
        <v>2.9090909090909089E-11</v>
      </c>
      <c r="AD34" s="56">
        <f t="shared" si="15"/>
        <v>1.5927272727272726E-7</v>
      </c>
      <c r="AE34" s="56">
        <f t="shared" si="17"/>
        <v>2.9085596653164224E-11</v>
      </c>
      <c r="AF34" s="64">
        <f>IFERROR(up_RadSpec!$G$14*AF14,".")*$B$33</f>
        <v>1909703125</v>
      </c>
      <c r="AG34" s="64">
        <f>IFERROR(up_RadSpec!$J$14*AG14,".")*$B$33</f>
        <v>348804.22374429216</v>
      </c>
      <c r="AH34" s="73">
        <f t="shared" si="18"/>
        <v>1</v>
      </c>
      <c r="AI34" s="73">
        <f t="shared" si="18"/>
        <v>1</v>
      </c>
      <c r="AJ34" s="73">
        <f t="shared" si="19"/>
        <v>1</v>
      </c>
    </row>
    <row r="35" spans="1:36" x14ac:dyDescent="0.25">
      <c r="A35" s="55" t="s">
        <v>293</v>
      </c>
      <c r="B35" s="50">
        <v>1</v>
      </c>
      <c r="C35" s="56">
        <f>IFERROR(C30/$B35,0)</f>
        <v>3.6363636363636364E-9</v>
      </c>
      <c r="D35" s="56">
        <f>IFERROR(D30/$B35,0)</f>
        <v>9.0250320889537196E-6</v>
      </c>
      <c r="E35" s="56">
        <f>IFERROR(E30/$B35,0)</f>
        <v>2.654545454545454E-5</v>
      </c>
      <c r="F35" s="56">
        <f t="shared" ref="F35:F61" si="20">IF(AND(C35&lt;&gt;0,D35&lt;&gt;0,E35&lt;&gt;0),1/((1/C35)+(1/D35)+(1/E35)),IF(AND(C35&lt;&gt;0,D35&lt;&gt;0,E35=0), 1/((1/C35)+(1/D35)),IF(AND(C35&lt;&gt;0,D35=0,E35&lt;&gt;0),1/((1/C35)+(1/E35)),IF(AND(C35=0,D35&lt;&gt;0,E35&lt;&gt;0),1/((1/D35)+(1/E35)),IF(AND(C35&lt;&gt;0,D35=0,E35=0),1/((1/C35)),IF(AND(C35=0,D35&lt;&gt;0,E35=0),1/((1/D35)),IF(AND(C35=0,D35=0,E35&lt;&gt;0),1/((1/E35)),IF(AND(C35=0,D35=0,E35=0),0))))))))</f>
        <v>3.6344014010688553E-9</v>
      </c>
      <c r="G35" s="64">
        <f>IFERROR(up_RadSpec!$I$30*G30,".")*$B$35</f>
        <v>15277625</v>
      </c>
      <c r="H35" s="64">
        <f>IFERROR(up_RadSpec!$G$30*H30,".")*$B$35</f>
        <v>6155.6567835362166</v>
      </c>
      <c r="I35" s="64">
        <f>IFERROR(up_RadSpec!$F$30*I30,".")*$B$35</f>
        <v>2092.8253424657532</v>
      </c>
      <c r="J35" s="73">
        <f t="shared" si="10"/>
        <v>1</v>
      </c>
      <c r="K35" s="73">
        <f t="shared" si="10"/>
        <v>1</v>
      </c>
      <c r="L35" s="73">
        <f t="shared" si="10"/>
        <v>1</v>
      </c>
      <c r="M35" s="73">
        <f t="shared" si="14"/>
        <v>1</v>
      </c>
      <c r="N35" s="56">
        <f t="shared" ref="N35:AD35" si="21">IFERROR(N30/$B35,0)</f>
        <v>2.654545454545454E-5</v>
      </c>
      <c r="O35" s="56">
        <f t="shared" si="21"/>
        <v>1.3004536082474226E-4</v>
      </c>
      <c r="P35" s="56">
        <f t="shared" si="21"/>
        <v>4.6863931523022416E-5</v>
      </c>
      <c r="Q35" s="56">
        <f t="shared" si="21"/>
        <v>3.4883160981632983E-5</v>
      </c>
      <c r="R35" s="56">
        <f t="shared" si="21"/>
        <v>3.1854545454545447E-3</v>
      </c>
      <c r="S35" s="64">
        <f>IFERROR(up_RadSpec!$F$30*S30,".")*$B$35</f>
        <v>2092.8253424657532</v>
      </c>
      <c r="T35" s="64">
        <f>IFERROR(up_RadSpec!$M$30*T30,".")*$B$35</f>
        <v>427.19709221207506</v>
      </c>
      <c r="U35" s="64">
        <f>IFERROR(up_RadSpec!$N$30*U30,".")*$B$35</f>
        <v>1185.4532514564637</v>
      </c>
      <c r="V35" s="64">
        <f>IFERROR(up_RadSpec!$O$30*V30,".")*$B$35</f>
        <v>1592.6022308944807</v>
      </c>
      <c r="W35" s="64">
        <f>IFERROR(up_RadSpec!$K$30*W30,".")*$B$35</f>
        <v>17.440211187214608</v>
      </c>
      <c r="X35" s="73">
        <f t="shared" si="16"/>
        <v>1</v>
      </c>
      <c r="Y35" s="73">
        <f t="shared" si="12"/>
        <v>1</v>
      </c>
      <c r="Z35" s="73">
        <f t="shared" si="12"/>
        <v>1</v>
      </c>
      <c r="AA35" s="73">
        <f t="shared" si="12"/>
        <v>1</v>
      </c>
      <c r="AB35" s="73">
        <f t="shared" si="12"/>
        <v>0.99999997334292345</v>
      </c>
      <c r="AC35" s="56">
        <f t="shared" si="21"/>
        <v>2.9090909090909089E-11</v>
      </c>
      <c r="AD35" s="56">
        <f t="shared" si="21"/>
        <v>1.5927272727272726E-7</v>
      </c>
      <c r="AE35" s="56">
        <f t="shared" si="17"/>
        <v>2.9085596653164224E-11</v>
      </c>
      <c r="AF35" s="64">
        <f>IFERROR(up_RadSpec!$G$30*AF30,".")*$B$35</f>
        <v>1909703125</v>
      </c>
      <c r="AG35" s="64">
        <f>IFERROR(up_RadSpec!$J$30*AG30,".")*$B$35</f>
        <v>348804.22374429216</v>
      </c>
      <c r="AH35" s="73">
        <f t="shared" si="18"/>
        <v>1</v>
      </c>
      <c r="AI35" s="73">
        <f t="shared" si="18"/>
        <v>1</v>
      </c>
      <c r="AJ35" s="73">
        <f t="shared" si="19"/>
        <v>1</v>
      </c>
    </row>
    <row r="36" spans="1:36" x14ac:dyDescent="0.25">
      <c r="A36" s="55" t="s">
        <v>294</v>
      </c>
      <c r="B36" s="50">
        <v>1</v>
      </c>
      <c r="C36" s="56">
        <f>IFERROR(C26/$B36,0)</f>
        <v>3.6363636363636364E-9</v>
      </c>
      <c r="D36" s="56">
        <f>IFERROR(D26/$B36,0)</f>
        <v>9.0250320889537196E-6</v>
      </c>
      <c r="E36" s="56">
        <f>IFERROR(E26/$B36,0)</f>
        <v>2.7899814471243031E-5</v>
      </c>
      <c r="F36" s="56">
        <f t="shared" si="20"/>
        <v>3.6344255563047033E-9</v>
      </c>
      <c r="G36" s="64">
        <f>IFERROR(up_RadSpec!$I$26*G26,".")*$B$37</f>
        <v>15277625</v>
      </c>
      <c r="H36" s="64">
        <f>IFERROR(up_RadSpec!$G$26*H26,".")*$B$37</f>
        <v>6155.6567835362166</v>
      </c>
      <c r="I36" s="64">
        <f>IFERROR(up_RadSpec!$F$26*I26,".")*$B$37</f>
        <v>1991.2318792392612</v>
      </c>
      <c r="J36" s="73">
        <f t="shared" si="10"/>
        <v>1</v>
      </c>
      <c r="K36" s="73">
        <f t="shared" si="10"/>
        <v>1</v>
      </c>
      <c r="L36" s="73">
        <f t="shared" si="10"/>
        <v>1</v>
      </c>
      <c r="M36" s="73">
        <f t="shared" si="14"/>
        <v>1</v>
      </c>
      <c r="N36" s="56">
        <f t="shared" ref="N36:AD36" si="22">IFERROR(N26/$B36,0)</f>
        <v>2.7899814471243031E-5</v>
      </c>
      <c r="O36" s="56">
        <f t="shared" si="22"/>
        <v>5.0938165204298848E-5</v>
      </c>
      <c r="P36" s="56">
        <f t="shared" si="22"/>
        <v>3.6817148325358841E-5</v>
      </c>
      <c r="Q36" s="56">
        <f t="shared" si="22"/>
        <v>3.149256198347106E-5</v>
      </c>
      <c r="R36" s="56">
        <f t="shared" si="22"/>
        <v>2.968949605026463E-4</v>
      </c>
      <c r="S36" s="64">
        <f>IFERROR(up_RadSpec!$F$26*S26,".")*$B$37</f>
        <v>1991.2318792392612</v>
      </c>
      <c r="T36" s="64">
        <f>IFERROR(up_RadSpec!$M$26*T26,".")*$B$37</f>
        <v>1090.6360638861704</v>
      </c>
      <c r="U36" s="64">
        <f>IFERROR(up_RadSpec!$N$26*U26,".")*$B$37</f>
        <v>1508.9435908792243</v>
      </c>
      <c r="V36" s="64">
        <f>IFERROR(up_RadSpec!$O$26*V26,".")*$B$37</f>
        <v>1764.0673384768809</v>
      </c>
      <c r="W36" s="64">
        <f>IFERROR(up_RadSpec!$K$26*W26,".")*$B$37</f>
        <v>187.12005049174562</v>
      </c>
      <c r="X36" s="73">
        <f t="shared" si="16"/>
        <v>1</v>
      </c>
      <c r="Y36" s="73">
        <f t="shared" si="12"/>
        <v>1</v>
      </c>
      <c r="Z36" s="73">
        <f t="shared" si="12"/>
        <v>1</v>
      </c>
      <c r="AA36" s="73">
        <f t="shared" si="12"/>
        <v>1</v>
      </c>
      <c r="AB36" s="73">
        <f t="shared" si="12"/>
        <v>1</v>
      </c>
      <c r="AC36" s="56">
        <f t="shared" si="22"/>
        <v>2.9090909090909089E-11</v>
      </c>
      <c r="AD36" s="56">
        <f t="shared" si="22"/>
        <v>1.5927272727272726E-7</v>
      </c>
      <c r="AE36" s="56">
        <f t="shared" si="17"/>
        <v>2.9085596653164224E-11</v>
      </c>
      <c r="AF36" s="64">
        <f>IFERROR(up_RadSpec!$G$26*AF26,".")*$B$37</f>
        <v>1909703125</v>
      </c>
      <c r="AG36" s="64">
        <f>IFERROR(up_RadSpec!$J$26*AG26,".")*$B$37</f>
        <v>348804.22374429216</v>
      </c>
      <c r="AH36" s="73">
        <f t="shared" si="18"/>
        <v>1</v>
      </c>
      <c r="AI36" s="73">
        <f t="shared" si="18"/>
        <v>1</v>
      </c>
      <c r="AJ36" s="73">
        <f t="shared" si="19"/>
        <v>1</v>
      </c>
    </row>
    <row r="37" spans="1:36" x14ac:dyDescent="0.25">
      <c r="A37" s="55" t="s">
        <v>295</v>
      </c>
      <c r="B37" s="50">
        <v>1</v>
      </c>
      <c r="C37" s="56">
        <f>IFERROR(C22/$B37,0)</f>
        <v>3.6363636363636364E-9</v>
      </c>
      <c r="D37" s="56">
        <f>IFERROR(D22/$B37,0)</f>
        <v>9.0250320889537196E-6</v>
      </c>
      <c r="E37" s="56">
        <f>IFERROR(E22/$B37,0)</f>
        <v>15.285043988269797</v>
      </c>
      <c r="F37" s="56">
        <f t="shared" si="20"/>
        <v>3.6348990628919511E-9</v>
      </c>
      <c r="G37" s="64">
        <f>IFERROR(up_RadSpec!$I$22*G22,".")*$B$37</f>
        <v>15277625</v>
      </c>
      <c r="H37" s="64">
        <f>IFERROR(up_RadSpec!$G$22*H22,".")*$B$37</f>
        <v>6155.6567835362166</v>
      </c>
      <c r="I37" s="64">
        <f>IFERROR(up_RadSpec!$F$22*I22,".")*$B$37</f>
        <v>3.6345986339741364E-3</v>
      </c>
      <c r="J37" s="73">
        <f t="shared" si="10"/>
        <v>1</v>
      </c>
      <c r="K37" s="73">
        <f t="shared" si="10"/>
        <v>1</v>
      </c>
      <c r="L37" s="73">
        <f t="shared" si="10"/>
        <v>3.6345986339741364E-3</v>
      </c>
      <c r="M37" s="73">
        <f t="shared" si="14"/>
        <v>1</v>
      </c>
      <c r="N37" s="56">
        <f t="shared" ref="N37:AD37" si="23">IFERROR(N22/$B37,0)</f>
        <v>15.285043988269797</v>
      </c>
      <c r="O37" s="56">
        <f t="shared" si="23"/>
        <v>14.006003150167917</v>
      </c>
      <c r="P37" s="56">
        <f t="shared" si="23"/>
        <v>10.760360759143474</v>
      </c>
      <c r="Q37" s="56">
        <f t="shared" si="23"/>
        <v>11.08825757575757</v>
      </c>
      <c r="R37" s="56">
        <f t="shared" si="23"/>
        <v>78.678866993535507</v>
      </c>
      <c r="S37" s="64">
        <f>IFERROR(up_RadSpec!$F$22*S22,".")*$B$37</f>
        <v>3.6345986339741364E-3</v>
      </c>
      <c r="T37" s="64">
        <f>IFERROR(up_RadSpec!$M$22*T22,".")*$B$37</f>
        <v>3.9665134588616697E-3</v>
      </c>
      <c r="U37" s="64">
        <f>IFERROR(up_RadSpec!$N$22*U22,".")*$B$37</f>
        <v>5.1629309874943428E-3</v>
      </c>
      <c r="V37" s="64">
        <f>IFERROR(up_RadSpec!$O$22*V22,".")*$B$37</f>
        <v>5.0102551839579148E-3</v>
      </c>
      <c r="W37" s="64">
        <f>IFERROR(up_RadSpec!$K$22*W22,".")*$B$37</f>
        <v>7.0609811913743706E-4</v>
      </c>
      <c r="X37" s="73">
        <f t="shared" si="16"/>
        <v>3.6345986339741364E-3</v>
      </c>
      <c r="Y37" s="73">
        <f t="shared" si="12"/>
        <v>3.9665134588616697E-3</v>
      </c>
      <c r="Z37" s="73">
        <f t="shared" si="12"/>
        <v>5.1629309874943428E-3</v>
      </c>
      <c r="AA37" s="73">
        <f t="shared" si="12"/>
        <v>5.0102551839579148E-3</v>
      </c>
      <c r="AB37" s="73">
        <f t="shared" si="12"/>
        <v>7.0609811913743706E-4</v>
      </c>
      <c r="AC37" s="56">
        <f t="shared" si="23"/>
        <v>2.9090909090909089E-11</v>
      </c>
      <c r="AD37" s="56">
        <f t="shared" si="23"/>
        <v>1.5927272727272726E-7</v>
      </c>
      <c r="AE37" s="56">
        <f t="shared" si="17"/>
        <v>2.9085596653164224E-11</v>
      </c>
      <c r="AF37" s="64">
        <f>IFERROR(up_RadSpec!$G$22*AF22,".")*$B$37</f>
        <v>1909703125</v>
      </c>
      <c r="AG37" s="64">
        <f>IFERROR(up_RadSpec!$J$22*AG22,".")*$B$37</f>
        <v>348804.22374429216</v>
      </c>
      <c r="AH37" s="73">
        <f t="shared" si="18"/>
        <v>1</v>
      </c>
      <c r="AI37" s="73">
        <f t="shared" si="18"/>
        <v>1</v>
      </c>
      <c r="AJ37" s="73">
        <f t="shared" si="19"/>
        <v>1</v>
      </c>
    </row>
    <row r="38" spans="1:36" x14ac:dyDescent="0.25">
      <c r="A38" s="55" t="s">
        <v>296</v>
      </c>
      <c r="B38" s="50">
        <v>1</v>
      </c>
      <c r="C38" s="56">
        <f>IFERROR(C2/$B38,0)</f>
        <v>3.6363636363636364E-9</v>
      </c>
      <c r="D38" s="56">
        <f>IFERROR(D2/$B38,0)</f>
        <v>9.0250320889537196E-6</v>
      </c>
      <c r="E38" s="56">
        <f>IFERROR(E2/$B38,0)</f>
        <v>1.6909254955570751E-5</v>
      </c>
      <c r="F38" s="56">
        <f t="shared" si="20"/>
        <v>3.6341178553811329E-9</v>
      </c>
      <c r="G38" s="64">
        <f>IFERROR(up_RadSpec!$I$2*G2,".")*$B$38</f>
        <v>15277625</v>
      </c>
      <c r="H38" s="64">
        <f>IFERROR(up_RadSpec!$G$2*H2,".")*$B$38</f>
        <v>6155.6567835362166</v>
      </c>
      <c r="I38" s="64">
        <f>IFERROR(up_RadSpec!$F$2*I2,".")*$B$38</f>
        <v>3285.4788780446779</v>
      </c>
      <c r="J38" s="73">
        <f t="shared" si="10"/>
        <v>1</v>
      </c>
      <c r="K38" s="73">
        <f t="shared" si="10"/>
        <v>1</v>
      </c>
      <c r="L38" s="73">
        <f t="shared" si="10"/>
        <v>1</v>
      </c>
      <c r="M38" s="73">
        <f t="shared" si="14"/>
        <v>1</v>
      </c>
      <c r="N38" s="56">
        <f t="shared" ref="N38:AD38" si="24">IFERROR(N2/$B38,0)</f>
        <v>1.6909254955570751E-5</v>
      </c>
      <c r="O38" s="56">
        <f t="shared" si="24"/>
        <v>3.4189433603046162E-5</v>
      </c>
      <c r="P38" s="56">
        <f t="shared" si="24"/>
        <v>2.322107051826677E-5</v>
      </c>
      <c r="Q38" s="56">
        <f t="shared" si="24"/>
        <v>1.9301841948900769E-5</v>
      </c>
      <c r="R38" s="56">
        <f t="shared" si="24"/>
        <v>2.705519000939976E-4</v>
      </c>
      <c r="S38" s="64">
        <f>IFERROR(up_RadSpec!$F$2*S2,".")*$B$38</f>
        <v>3285.4788780446779</v>
      </c>
      <c r="T38" s="64">
        <f>IFERROR(up_RadSpec!$M$2*T2,".")*$B$38</f>
        <v>1624.9172374429227</v>
      </c>
      <c r="U38" s="64">
        <f>IFERROR(up_RadSpec!$N$2*U2,".")*$B$38</f>
        <v>2392.4392269640562</v>
      </c>
      <c r="V38" s="64">
        <f>IFERROR(up_RadSpec!$O$2*V2,".")*$B$38</f>
        <v>2878.2227181776207</v>
      </c>
      <c r="W38" s="64">
        <f>IFERROR(up_RadSpec!$K$2*W2,".")*$B$38</f>
        <v>205.33952997816155</v>
      </c>
      <c r="X38" s="73">
        <f t="shared" si="16"/>
        <v>1</v>
      </c>
      <c r="Y38" s="73">
        <f t="shared" si="12"/>
        <v>1</v>
      </c>
      <c r="Z38" s="73">
        <f t="shared" si="12"/>
        <v>1</v>
      </c>
      <c r="AA38" s="73">
        <f t="shared" si="12"/>
        <v>1</v>
      </c>
      <c r="AB38" s="73">
        <f t="shared" si="12"/>
        <v>1</v>
      </c>
      <c r="AC38" s="56">
        <f t="shared" si="24"/>
        <v>2.9090909090909089E-11</v>
      </c>
      <c r="AD38" s="56">
        <f t="shared" si="24"/>
        <v>1.5927272727272726E-7</v>
      </c>
      <c r="AE38" s="56">
        <f t="shared" si="17"/>
        <v>2.9085596653164224E-11</v>
      </c>
      <c r="AF38" s="64">
        <f>IFERROR(up_RadSpec!$G$2*AF2,".")*$B$38</f>
        <v>1909703125</v>
      </c>
      <c r="AG38" s="64">
        <f>IFERROR(up_RadSpec!$J$2*AG2,".")*$B$38</f>
        <v>348804.22374429216</v>
      </c>
      <c r="AH38" s="73">
        <f t="shared" si="18"/>
        <v>1</v>
      </c>
      <c r="AI38" s="73">
        <f t="shared" si="18"/>
        <v>1</v>
      </c>
      <c r="AJ38" s="73">
        <f t="shared" si="19"/>
        <v>1</v>
      </c>
    </row>
    <row r="39" spans="1:36" x14ac:dyDescent="0.25">
      <c r="A39" s="55" t="s">
        <v>297</v>
      </c>
      <c r="B39" s="50">
        <v>1</v>
      </c>
      <c r="C39" s="56">
        <f>IFERROR(C11/$B39,0)</f>
        <v>3.6363636363636364E-9</v>
      </c>
      <c r="D39" s="56">
        <f>IFERROR(D11/$B39,0)</f>
        <v>9.0250320889537196E-6</v>
      </c>
      <c r="E39" s="56">
        <f>IFERROR(E11/$B39,0)</f>
        <v>1.4877122877122873E-5</v>
      </c>
      <c r="F39" s="56">
        <f t="shared" si="20"/>
        <v>3.6340111727361278E-9</v>
      </c>
      <c r="G39" s="64">
        <f>IFERROR(up_RadSpec!$I$11*G11,".")*$B$39</f>
        <v>15277625</v>
      </c>
      <c r="H39" s="64">
        <f>IFERROR(up_RadSpec!$G$11*H11,".")*$B$39</f>
        <v>6155.6567835362166</v>
      </c>
      <c r="I39" s="64">
        <f>IFERROR(up_RadSpec!$F$11*I11,".")*$B$39</f>
        <v>3734.2569836153634</v>
      </c>
      <c r="J39" s="73">
        <f t="shared" si="10"/>
        <v>1</v>
      </c>
      <c r="K39" s="73">
        <f t="shared" si="10"/>
        <v>1</v>
      </c>
      <c r="L39" s="73">
        <f t="shared" si="10"/>
        <v>1</v>
      </c>
      <c r="M39" s="73">
        <f t="shared" si="14"/>
        <v>1</v>
      </c>
      <c r="N39" s="56">
        <f t="shared" ref="N39:AD39" si="25">IFERROR(N11/$B39,0)</f>
        <v>1.4877122877122873E-5</v>
      </c>
      <c r="O39" s="56">
        <f t="shared" si="25"/>
        <v>1.8824477461596577E-5</v>
      </c>
      <c r="P39" s="56">
        <f t="shared" si="25"/>
        <v>1.4609548724656637E-5</v>
      </c>
      <c r="Q39" s="56">
        <f t="shared" si="25"/>
        <v>1.3916387959866224E-5</v>
      </c>
      <c r="R39" s="56">
        <f t="shared" si="25"/>
        <v>3.5044063079777362E-5</v>
      </c>
      <c r="S39" s="64">
        <f>IFERROR(up_RadSpec!$F$11*S11,".")*$B$39</f>
        <v>3734.2569836153634</v>
      </c>
      <c r="T39" s="64">
        <f>IFERROR(up_RadSpec!$M$11*T11,".")*$B$39</f>
        <v>2951.2107368364718</v>
      </c>
      <c r="U39" s="64">
        <f>IFERROR(up_RadSpec!$N$11*U11,".")*$B$39</f>
        <v>3802.6499686632651</v>
      </c>
      <c r="V39" s="64">
        <f>IFERROR(up_RadSpec!$O$11*V11,".")*$B$39</f>
        <v>3992.0559961547683</v>
      </c>
      <c r="W39" s="64">
        <f>IFERROR(up_RadSpec!$K$11*W11,".")*$B$39</f>
        <v>1585.2899212494208</v>
      </c>
      <c r="X39" s="73">
        <f t="shared" si="16"/>
        <v>1</v>
      </c>
      <c r="Y39" s="73">
        <f t="shared" si="12"/>
        <v>1</v>
      </c>
      <c r="Z39" s="73">
        <f t="shared" si="12"/>
        <v>1</v>
      </c>
      <c r="AA39" s="73">
        <f t="shared" si="12"/>
        <v>1</v>
      </c>
      <c r="AB39" s="73">
        <f t="shared" si="12"/>
        <v>1</v>
      </c>
      <c r="AC39" s="56">
        <f t="shared" si="25"/>
        <v>2.9090909090909089E-11</v>
      </c>
      <c r="AD39" s="56">
        <f t="shared" si="25"/>
        <v>1.5927272727272726E-7</v>
      </c>
      <c r="AE39" s="56">
        <f t="shared" si="17"/>
        <v>2.9085596653164224E-11</v>
      </c>
      <c r="AF39" s="64">
        <f>IFERROR(up_RadSpec!$G$11*AF11,".")*$B$39</f>
        <v>1909703125</v>
      </c>
      <c r="AG39" s="64">
        <f>IFERROR(up_RadSpec!$J$11*AG11,".")*$B$39</f>
        <v>348804.22374429216</v>
      </c>
      <c r="AH39" s="73">
        <f t="shared" si="18"/>
        <v>1</v>
      </c>
      <c r="AI39" s="73">
        <f t="shared" si="18"/>
        <v>1</v>
      </c>
      <c r="AJ39" s="73">
        <f t="shared" si="19"/>
        <v>1</v>
      </c>
    </row>
    <row r="40" spans="1:36" x14ac:dyDescent="0.25">
      <c r="A40" s="55" t="s">
        <v>298</v>
      </c>
      <c r="B40" s="50">
        <v>1</v>
      </c>
      <c r="C40" s="56">
        <f>IFERROR(C4/$B40,0)</f>
        <v>3.6363636363636364E-9</v>
      </c>
      <c r="D40" s="56">
        <f>IFERROR(D4/$B40,0)</f>
        <v>9.0250320889537196E-6</v>
      </c>
      <c r="E40" s="56">
        <f>IFERROR(E4/$B40,0)</f>
        <v>8.2585858585858615E-6</v>
      </c>
      <c r="F40" s="56">
        <f t="shared" si="20"/>
        <v>3.6332999184912709E-9</v>
      </c>
      <c r="G40" s="64">
        <f>IFERROR(up_RadSpec!$I$4*G4,".")*$B$40</f>
        <v>15277625</v>
      </c>
      <c r="H40" s="64">
        <f>IFERROR(up_RadSpec!$G$4*H4,".")*$B$40</f>
        <v>6155.6567835362166</v>
      </c>
      <c r="I40" s="64">
        <f>IFERROR(up_RadSpec!$F$4*I4,".")*$B$40</f>
        <v>6726.9386007827761</v>
      </c>
      <c r="J40" s="73">
        <f t="shared" si="10"/>
        <v>1</v>
      </c>
      <c r="K40" s="73">
        <f t="shared" si="10"/>
        <v>1</v>
      </c>
      <c r="L40" s="73">
        <f t="shared" si="10"/>
        <v>1</v>
      </c>
      <c r="M40" s="73">
        <f t="shared" si="14"/>
        <v>1</v>
      </c>
      <c r="N40" s="56">
        <f t="shared" ref="N40:AD40" si="26">IFERROR(N4/$B40,0)</f>
        <v>8.2585858585858615E-6</v>
      </c>
      <c r="O40" s="56">
        <f t="shared" si="26"/>
        <v>1.3476923076923083E-5</v>
      </c>
      <c r="P40" s="56">
        <f t="shared" si="26"/>
        <v>9.694861660079048E-6</v>
      </c>
      <c r="Q40" s="56">
        <f t="shared" si="26"/>
        <v>8.4393416567329615E-6</v>
      </c>
      <c r="R40" s="56">
        <f t="shared" si="26"/>
        <v>2.4888664733324919E-5</v>
      </c>
      <c r="S40" s="64">
        <f>IFERROR(up_RadSpec!$F$4*S4,".")*$B$40</f>
        <v>6726.9386007827761</v>
      </c>
      <c r="T40" s="64">
        <f>IFERROR(up_RadSpec!$M$4*T4,".")*$B$40</f>
        <v>4122.2317351598158</v>
      </c>
      <c r="U40" s="64">
        <f>IFERROR(up_RadSpec!$N$4*U4,".")*$B$40</f>
        <v>5730.3551043705156</v>
      </c>
      <c r="V40" s="64">
        <f>IFERROR(up_RadSpec!$O$4*V4,".")*$B$40</f>
        <v>6582.8594527486457</v>
      </c>
      <c r="W40" s="64">
        <f>IFERROR(up_RadSpec!$K$4*W4,".")*$B$40</f>
        <v>2232.1406389316694</v>
      </c>
      <c r="X40" s="73">
        <f t="shared" si="16"/>
        <v>1</v>
      </c>
      <c r="Y40" s="73">
        <f t="shared" si="12"/>
        <v>1</v>
      </c>
      <c r="Z40" s="73">
        <f t="shared" si="12"/>
        <v>1</v>
      </c>
      <c r="AA40" s="73">
        <f t="shared" si="12"/>
        <v>1</v>
      </c>
      <c r="AB40" s="73">
        <f t="shared" si="12"/>
        <v>1</v>
      </c>
      <c r="AC40" s="56">
        <f t="shared" si="26"/>
        <v>2.9090909090909089E-11</v>
      </c>
      <c r="AD40" s="56">
        <f t="shared" si="26"/>
        <v>1.5927272727272726E-7</v>
      </c>
      <c r="AE40" s="56">
        <f t="shared" si="17"/>
        <v>2.9085596653164224E-11</v>
      </c>
      <c r="AF40" s="64">
        <f>IFERROR(up_RadSpec!$G$4*AF4,".")*$B$40</f>
        <v>1909703125</v>
      </c>
      <c r="AG40" s="64">
        <f>IFERROR(up_RadSpec!$J$4*AG4,".")*$B$40</f>
        <v>348804.22374429216</v>
      </c>
      <c r="AH40" s="73">
        <f t="shared" si="18"/>
        <v>1</v>
      </c>
      <c r="AI40" s="73">
        <f t="shared" si="18"/>
        <v>1</v>
      </c>
      <c r="AJ40" s="73">
        <f t="shared" si="19"/>
        <v>1</v>
      </c>
    </row>
    <row r="41" spans="1:36" x14ac:dyDescent="0.25">
      <c r="A41" s="55" t="s">
        <v>299</v>
      </c>
      <c r="B41" s="57">
        <v>0.99987999999999999</v>
      </c>
      <c r="C41" s="56">
        <f>IFERROR(C8/$B41,0)</f>
        <v>3.636800052369921E-9</v>
      </c>
      <c r="D41" s="56">
        <f>IFERROR(D8/$B41,0)</f>
        <v>9.0261152227804538E-6</v>
      </c>
      <c r="E41" s="56">
        <f>IFERROR(E8/$B41,0)</f>
        <v>5.2803925622255007E-6</v>
      </c>
      <c r="F41" s="56">
        <f t="shared" si="20"/>
        <v>3.6328342455145807E-9</v>
      </c>
      <c r="G41" s="64">
        <f>IFERROR(up_RadSpec!$I$8*G8,".")*$B$41</f>
        <v>15275791.685000001</v>
      </c>
      <c r="H41" s="64">
        <f>IFERROR(up_RadSpec!$G$8*H8,".")*$B$41</f>
        <v>6154.9181047221919</v>
      </c>
      <c r="I41" s="64">
        <f>IFERROR(up_RadSpec!$F$8*I8,".")*$B$41</f>
        <v>10520.998078329521</v>
      </c>
      <c r="J41" s="73">
        <f t="shared" si="10"/>
        <v>1</v>
      </c>
      <c r="K41" s="73">
        <f t="shared" si="10"/>
        <v>1</v>
      </c>
      <c r="L41" s="73">
        <f t="shared" si="10"/>
        <v>1</v>
      </c>
      <c r="M41" s="73">
        <f t="shared" si="14"/>
        <v>1</v>
      </c>
      <c r="N41" s="56">
        <f t="shared" ref="N41:AD41" si="27">IFERROR(N8/$B41,0)</f>
        <v>5.2803925622255007E-6</v>
      </c>
      <c r="O41" s="56">
        <f t="shared" si="27"/>
        <v>9.6932155554038047E-6</v>
      </c>
      <c r="P41" s="56">
        <f t="shared" si="27"/>
        <v>7.0751452795470671E-6</v>
      </c>
      <c r="Q41" s="56">
        <f t="shared" si="27"/>
        <v>6.4867913982563713E-6</v>
      </c>
      <c r="R41" s="56">
        <f t="shared" si="27"/>
        <v>1.7960422486818002E-5</v>
      </c>
      <c r="S41" s="64">
        <f>IFERROR(up_RadSpec!$F$8*S8,".")*$B$41</f>
        <v>10520.998078329521</v>
      </c>
      <c r="T41" s="64">
        <f>IFERROR(up_RadSpec!$M$8*T8,".")*$B$41</f>
        <v>5731.328234935313</v>
      </c>
      <c r="U41" s="64">
        <f>IFERROR(up_RadSpec!$N$8*U8,".")*$B$41</f>
        <v>7852.1355823744279</v>
      </c>
      <c r="V41" s="64">
        <f>IFERROR(up_RadSpec!$O$8*V8,".")*$B$41</f>
        <v>8564.3265813870639</v>
      </c>
      <c r="W41" s="64">
        <f>IFERROR(up_RadSpec!$K$8*W8,".")*$B$41</f>
        <v>3093.1900427606547</v>
      </c>
      <c r="X41" s="73">
        <f t="shared" si="16"/>
        <v>1</v>
      </c>
      <c r="Y41" s="73">
        <f t="shared" si="12"/>
        <v>1</v>
      </c>
      <c r="Z41" s="73">
        <f t="shared" si="12"/>
        <v>1</v>
      </c>
      <c r="AA41" s="73">
        <f t="shared" si="12"/>
        <v>1</v>
      </c>
      <c r="AB41" s="73">
        <f t="shared" si="12"/>
        <v>1</v>
      </c>
      <c r="AC41" s="56">
        <f t="shared" si="27"/>
        <v>2.9094400418959364E-11</v>
      </c>
      <c r="AD41" s="56">
        <f t="shared" si="27"/>
        <v>1.5929184229380251E-7</v>
      </c>
      <c r="AE41" s="56">
        <f t="shared" si="17"/>
        <v>2.9089087343645458E-11</v>
      </c>
      <c r="AF41" s="64">
        <f>IFERROR(up_RadSpec!$G$8*AF8,".")*$B$41</f>
        <v>1909473960.625</v>
      </c>
      <c r="AG41" s="64">
        <f>IFERROR(up_RadSpec!$J$8*AG8,".")*$B$41</f>
        <v>348762.36723744287</v>
      </c>
      <c r="AH41" s="73">
        <f t="shared" si="18"/>
        <v>1</v>
      </c>
      <c r="AI41" s="73">
        <f t="shared" si="18"/>
        <v>1</v>
      </c>
      <c r="AJ41" s="73">
        <f t="shared" si="19"/>
        <v>1</v>
      </c>
    </row>
    <row r="42" spans="1:36" x14ac:dyDescent="0.25">
      <c r="A42" s="55" t="s">
        <v>300</v>
      </c>
      <c r="B42" s="50">
        <v>0.97898250799999997</v>
      </c>
      <c r="C42" s="56">
        <f>IFERROR(C19/$B42,0)</f>
        <v>3.714431674364131E-9</v>
      </c>
      <c r="D42" s="56">
        <f>IFERROR(D19/$B42,0)</f>
        <v>9.2187878896746543E-6</v>
      </c>
      <c r="E42" s="56">
        <f>IFERROR(E19/$B42,0)</f>
        <v>3.7334275877263396E-6</v>
      </c>
      <c r="F42" s="56">
        <f t="shared" si="20"/>
        <v>3.709246771705405E-9</v>
      </c>
      <c r="G42" s="74">
        <f>IFERROR(up_RadSpec!$I$19*G19,".")*$B$42</f>
        <v>14956527.6387835</v>
      </c>
      <c r="H42" s="74">
        <f>IFERROR(up_RadSpec!$G$19*H19,".")*$B$42</f>
        <v>6026.2803163334984</v>
      </c>
      <c r="I42" s="74">
        <f>IFERROR(up_RadSpec!$F$19*I19,".")*$B$42</f>
        <v>14880.427889545066</v>
      </c>
      <c r="J42" s="73">
        <f t="shared" si="10"/>
        <v>1</v>
      </c>
      <c r="K42" s="73">
        <f t="shared" si="10"/>
        <v>1</v>
      </c>
      <c r="L42" s="73">
        <f t="shared" si="10"/>
        <v>1</v>
      </c>
      <c r="M42" s="73">
        <f t="shared" si="14"/>
        <v>1</v>
      </c>
      <c r="N42" s="56">
        <f t="shared" ref="N42:AD42" si="28">IFERROR(N19/$B42,0)</f>
        <v>3.7334275877263396E-6</v>
      </c>
      <c r="O42" s="56">
        <f t="shared" si="28"/>
        <v>7.4048936703994236E-6</v>
      </c>
      <c r="P42" s="56">
        <f t="shared" si="28"/>
        <v>5.1330664881774284E-6</v>
      </c>
      <c r="Q42" s="56">
        <f t="shared" si="28"/>
        <v>4.287156882532978E-6</v>
      </c>
      <c r="R42" s="56">
        <f t="shared" si="28"/>
        <v>1.2751430676891291E-5</v>
      </c>
      <c r="S42" s="74">
        <f>IFERROR(up_RadSpec!$F$19*S19,".")*$B$42</f>
        <v>14880.427889545066</v>
      </c>
      <c r="T42" s="74">
        <f>IFERROR(up_RadSpec!$M$19*T19,".")*$B$42</f>
        <v>7502.4709972646151</v>
      </c>
      <c r="U42" s="74">
        <f>IFERROR(up_RadSpec!$N$19*U19,".")*$B$42</f>
        <v>10822.965205682658</v>
      </c>
      <c r="V42" s="74">
        <f>IFERROR(up_RadSpec!$O$19*V19,".")*$B$42</f>
        <v>12958.471435077616</v>
      </c>
      <c r="W42" s="74">
        <f>IFERROR(up_RadSpec!$K$19*W19,".")*$B$42</f>
        <v>4356.7660294526195</v>
      </c>
      <c r="X42" s="73">
        <f t="shared" si="16"/>
        <v>1</v>
      </c>
      <c r="Y42" s="73">
        <f t="shared" si="12"/>
        <v>1</v>
      </c>
      <c r="Z42" s="73">
        <f t="shared" si="12"/>
        <v>1</v>
      </c>
      <c r="AA42" s="73">
        <f t="shared" si="12"/>
        <v>1</v>
      </c>
      <c r="AB42" s="73">
        <f t="shared" si="12"/>
        <v>1</v>
      </c>
      <c r="AC42" s="56">
        <f t="shared" si="28"/>
        <v>2.9715453394913047E-11</v>
      </c>
      <c r="AD42" s="56">
        <f t="shared" si="28"/>
        <v>1.6269210733714892E-7</v>
      </c>
      <c r="AE42" s="56">
        <f t="shared" si="17"/>
        <v>2.9710026905980444E-11</v>
      </c>
      <c r="AF42" s="74">
        <f>IFERROR(up_RadSpec!$G$19*AF19,".")*$B$42</f>
        <v>1869565954.8479373</v>
      </c>
      <c r="AG42" s="74">
        <f>IFERROR(up_RadSpec!$J$19*AG19,".")*$B$42</f>
        <v>341473.23376218026</v>
      </c>
      <c r="AH42" s="73">
        <f t="shared" si="18"/>
        <v>1</v>
      </c>
      <c r="AI42" s="73">
        <f t="shared" si="18"/>
        <v>1</v>
      </c>
      <c r="AJ42" s="73">
        <f t="shared" si="19"/>
        <v>1</v>
      </c>
    </row>
    <row r="43" spans="1:36" x14ac:dyDescent="0.25">
      <c r="A43" s="55" t="s">
        <v>301</v>
      </c>
      <c r="B43" s="50">
        <v>2.0897492E-2</v>
      </c>
      <c r="C43" s="56">
        <f>IFERROR(C28/$B43,0)</f>
        <v>1.7400957188372825E-7</v>
      </c>
      <c r="D43" s="56">
        <f>IFERROR(D28/$B43,0)</f>
        <v>4.3187154175983031E-4</v>
      </c>
      <c r="E43" s="56">
        <f>IFERROR(E28/$B43,0)</f>
        <v>1.2447524495357338E-4</v>
      </c>
      <c r="F43" s="56">
        <f t="shared" si="20"/>
        <v>1.7369676746302958E-7</v>
      </c>
      <c r="G43" s="74">
        <f>IFERROR(up_RadSpec!$I$28*G28,".")*$B$43</f>
        <v>319264.04621649999</v>
      </c>
      <c r="H43" s="74">
        <f>IFERROR(up_RadSpec!$G$28*H28,".")*$B$43</f>
        <v>128.63778838869382</v>
      </c>
      <c r="I43" s="74">
        <f>IFERROR(up_RadSpec!$F$28*I28,".")*$B$43</f>
        <v>446.31364269032639</v>
      </c>
      <c r="J43" s="73">
        <f t="shared" si="10"/>
        <v>1</v>
      </c>
      <c r="K43" s="73">
        <f t="shared" si="10"/>
        <v>1</v>
      </c>
      <c r="L43" s="73">
        <f t="shared" si="10"/>
        <v>1</v>
      </c>
      <c r="M43" s="73">
        <f t="shared" si="14"/>
        <v>1</v>
      </c>
      <c r="N43" s="56">
        <f t="shared" ref="N43:AD43" si="29">IFERROR(N28/$B43,0)</f>
        <v>1.2447524495357338E-4</v>
      </c>
      <c r="O43" s="56">
        <f t="shared" si="29"/>
        <v>2.7756240506474132E-4</v>
      </c>
      <c r="P43" s="56">
        <f t="shared" si="29"/>
        <v>1.9270845128969139E-4</v>
      </c>
      <c r="Q43" s="56">
        <f t="shared" si="29"/>
        <v>1.6684751996732269E-4</v>
      </c>
      <c r="R43" s="56">
        <f t="shared" si="29"/>
        <v>4.8794493601554673E-4</v>
      </c>
      <c r="S43" s="74">
        <f>IFERROR(up_RadSpec!$F$28*S28,".")*$B$43</f>
        <v>446.31364269032639</v>
      </c>
      <c r="T43" s="74">
        <f>IFERROR(up_RadSpec!$M$28*T28,".")*$B$43</f>
        <v>200.15318712576297</v>
      </c>
      <c r="U43" s="74">
        <f>IFERROR(up_RadSpec!$N$28*U28,".")*$B$43</f>
        <v>288.28522894663422</v>
      </c>
      <c r="V43" s="74">
        <f>IFERROR(up_RadSpec!$O$28*V28,".")*$B$43</f>
        <v>332.96868908138714</v>
      </c>
      <c r="W43" s="74">
        <f>IFERROR(up_RadSpec!$K$28*W28,".")*$B$43</f>
        <v>113.85506006815059</v>
      </c>
      <c r="X43" s="73">
        <f t="shared" si="16"/>
        <v>1</v>
      </c>
      <c r="Y43" s="73">
        <f t="shared" si="12"/>
        <v>1</v>
      </c>
      <c r="Z43" s="73">
        <f t="shared" si="12"/>
        <v>1</v>
      </c>
      <c r="AA43" s="73">
        <f t="shared" si="12"/>
        <v>1</v>
      </c>
      <c r="AB43" s="73">
        <f t="shared" si="12"/>
        <v>1</v>
      </c>
      <c r="AC43" s="56">
        <f t="shared" si="29"/>
        <v>1.392076575069826E-9</v>
      </c>
      <c r="AD43" s="56">
        <f t="shared" si="29"/>
        <v>7.6216192485072977E-6</v>
      </c>
      <c r="AE43" s="56">
        <f t="shared" si="17"/>
        <v>1.3918223609399737E-9</v>
      </c>
      <c r="AF43" s="74">
        <f>IFERROR(up_RadSpec!$G$28*AF28,".")*$B$43</f>
        <v>39908005.777062498</v>
      </c>
      <c r="AG43" s="74">
        <f>IFERROR(up_RadSpec!$J$28*AG28,".")*$B$43</f>
        <v>7289.1334752625553</v>
      </c>
      <c r="AH43" s="73">
        <f t="shared" si="18"/>
        <v>1</v>
      </c>
      <c r="AI43" s="73">
        <f t="shared" si="18"/>
        <v>1</v>
      </c>
      <c r="AJ43" s="73">
        <f t="shared" si="19"/>
        <v>1</v>
      </c>
    </row>
    <row r="44" spans="1:36" x14ac:dyDescent="0.25">
      <c r="A44" s="55" t="s">
        <v>302</v>
      </c>
      <c r="B44" s="50">
        <v>0.99987999999999999</v>
      </c>
      <c r="C44" s="56">
        <f>IFERROR(C15/$B44,0)</f>
        <v>3.636800052369921E-9</v>
      </c>
      <c r="D44" s="56">
        <f>IFERROR(D15/$B44,0)</f>
        <v>9.0261152227804538E-6</v>
      </c>
      <c r="E44" s="56">
        <f>IFERROR(E15/$B44,0)</f>
        <v>0</v>
      </c>
      <c r="F44" s="56">
        <f t="shared" si="20"/>
        <v>3.6353353039928369E-9</v>
      </c>
      <c r="G44" s="64">
        <f>IFERROR(up_RadSpec!$I$15*G15,".")*$B$44</f>
        <v>15275791.685000001</v>
      </c>
      <c r="H44" s="64">
        <f>IFERROR(up_RadSpec!$G$15*H15,".")*$B$44</f>
        <v>6154.9181047221919</v>
      </c>
      <c r="I44" s="64">
        <f>IFERROR(up_RadSpec!$F$15*I15,".")*$B$44</f>
        <v>0</v>
      </c>
      <c r="J44" s="73">
        <f t="shared" si="10"/>
        <v>1</v>
      </c>
      <c r="K44" s="73">
        <f t="shared" si="10"/>
        <v>1</v>
      </c>
      <c r="L44" s="73">
        <f t="shared" si="10"/>
        <v>0</v>
      </c>
      <c r="M44" s="73">
        <f t="shared" si="14"/>
        <v>1</v>
      </c>
      <c r="N44" s="56">
        <f t="shared" ref="N44:AD44" si="30">IFERROR(N15/$B44,0)</f>
        <v>0</v>
      </c>
      <c r="O44" s="56">
        <f t="shared" si="30"/>
        <v>0</v>
      </c>
      <c r="P44" s="56">
        <f t="shared" si="30"/>
        <v>0</v>
      </c>
      <c r="Q44" s="56">
        <f t="shared" si="30"/>
        <v>0</v>
      </c>
      <c r="R44" s="56">
        <f t="shared" si="30"/>
        <v>0</v>
      </c>
      <c r="S44" s="64">
        <f>IFERROR(up_RadSpec!$F$15*S15,".")*$B$44</f>
        <v>0</v>
      </c>
      <c r="T44" s="64">
        <f>IFERROR(up_RadSpec!$M$15*T15,".")*$B$44</f>
        <v>0</v>
      </c>
      <c r="U44" s="64">
        <f>IFERROR(up_RadSpec!$N$15*U15,".")*$B$44</f>
        <v>0</v>
      </c>
      <c r="V44" s="64">
        <f>IFERROR(up_RadSpec!$O$15*V15,".")*$B$44</f>
        <v>0</v>
      </c>
      <c r="W44" s="64">
        <f>IFERROR(up_RadSpec!$K$15*W15,".")*$B$44</f>
        <v>0</v>
      </c>
      <c r="X44" s="73">
        <f t="shared" si="16"/>
        <v>0</v>
      </c>
      <c r="Y44" s="73">
        <f t="shared" si="12"/>
        <v>0</v>
      </c>
      <c r="Z44" s="73">
        <f t="shared" si="12"/>
        <v>0</v>
      </c>
      <c r="AA44" s="73">
        <f t="shared" si="12"/>
        <v>0</v>
      </c>
      <c r="AB44" s="73">
        <f t="shared" si="12"/>
        <v>0</v>
      </c>
      <c r="AC44" s="56">
        <f t="shared" si="30"/>
        <v>2.9094400418959364E-11</v>
      </c>
      <c r="AD44" s="56">
        <f t="shared" si="30"/>
        <v>1.5929184229380251E-7</v>
      </c>
      <c r="AE44" s="56">
        <f t="shared" si="17"/>
        <v>2.9089087343645458E-11</v>
      </c>
      <c r="AF44" s="64">
        <f>IFERROR(up_RadSpec!$G$15*AF15,".")*$B$44</f>
        <v>1909473960.625</v>
      </c>
      <c r="AG44" s="64">
        <f>IFERROR(up_RadSpec!$J$15*AG15,".")*$B$44</f>
        <v>348762.36723744287</v>
      </c>
      <c r="AH44" s="73">
        <f t="shared" si="18"/>
        <v>1</v>
      </c>
      <c r="AI44" s="73">
        <f t="shared" si="18"/>
        <v>1</v>
      </c>
      <c r="AJ44" s="73">
        <f t="shared" si="19"/>
        <v>1</v>
      </c>
    </row>
    <row r="45" spans="1:36" x14ac:dyDescent="0.25">
      <c r="A45" s="52" t="s">
        <v>20</v>
      </c>
      <c r="B45" s="52" t="s">
        <v>289</v>
      </c>
      <c r="C45" s="53">
        <f>IFERROR(IF(AND(C46&lt;&gt;0,C47&lt;&gt;0),1/SUM(1/C46,1/C47),IF(AND(C46&lt;&gt;0,C47=0),1/(1/C46),IF(AND(C46=0,C47&lt;&gt;0),1/(1/C47),IF(AND(C46=0,C47=0),".")))),".")</f>
        <v>1.8705670483714608E-9</v>
      </c>
      <c r="D45" s="53">
        <f t="shared" ref="D45:F45" si="31">IFERROR(IF(AND(D46&lt;&gt;0,D47&lt;&gt;0),1/SUM(1/D46,1/D47),IF(AND(D46&lt;&gt;0,D47=0),1/(1/D46),IF(AND(D46=0,D47&lt;&gt;0),1/(1/D47),IF(AND(D46=0,D47=0),".")))),".")</f>
        <v>4.6425300999252675E-6</v>
      </c>
      <c r="E45" s="53">
        <f t="shared" si="31"/>
        <v>2.3619228255008183E-6</v>
      </c>
      <c r="F45" s="54">
        <f t="shared" si="31"/>
        <v>1.868334598450551E-9</v>
      </c>
      <c r="G45" s="71"/>
      <c r="H45" s="71"/>
      <c r="I45" s="71"/>
      <c r="J45" s="72">
        <f>IFERROR(IF(SUM(G46:G47)&gt;0.01,1-EXP(-SUM(G46:G47)),SUM(G46:G47)),".")</f>
        <v>1</v>
      </c>
      <c r="K45" s="72">
        <f>IFERROR(IF(SUM(H46:H47)&gt;0.01,1-EXP(-SUM(H46:H47)),SUM(H46:H47)),".")</f>
        <v>1</v>
      </c>
      <c r="L45" s="72">
        <f>IFERROR(IF(SUM(I46:I47)&gt;0.01,1-EXP(-SUM(I46:I47)),SUM(I46:I47)),".")</f>
        <v>1</v>
      </c>
      <c r="M45" s="72">
        <f>IFERROR(IF(SUM(G46:I47)&gt;0.01,1-EXP(-SUM(G46:I47)),SUM(G46:I47)),".")</f>
        <v>1</v>
      </c>
      <c r="N45" s="53">
        <f t="shared" ref="N45:AE45" si="32">IFERROR(IF(AND(N46&lt;&gt;0,N47&lt;&gt;0),1/SUM(1/N46,1/N47),IF(AND(N46&lt;&gt;0,N47=0),1/(1/N46),IF(AND(N46=0,N47&lt;&gt;0),1/(1/N47),IF(AND(N46=0,N47=0),".")))),".")</f>
        <v>2.3619228255008183E-6</v>
      </c>
      <c r="O45" s="53">
        <f t="shared" si="32"/>
        <v>4.0304374552807868E-6</v>
      </c>
      <c r="P45" s="53">
        <f t="shared" si="32"/>
        <v>2.8637265186322225E-6</v>
      </c>
      <c r="Q45" s="53">
        <f t="shared" si="32"/>
        <v>2.4917090520755079E-6</v>
      </c>
      <c r="R45" s="53">
        <f t="shared" si="32"/>
        <v>6.7729291215221662E-6</v>
      </c>
      <c r="S45" s="71"/>
      <c r="T45" s="71"/>
      <c r="U45" s="71"/>
      <c r="V45" s="71"/>
      <c r="W45" s="71"/>
      <c r="X45" s="72">
        <f>IFERROR(IF(SUM(S46:S47)&gt;0.01,1-EXP(-SUM(S46:S47)),SUM(S46:S47)),".")</f>
        <v>1</v>
      </c>
      <c r="Y45" s="72">
        <f t="shared" ref="Y45:AB45" si="33">IFERROR(IF(SUM(T46:T47)&gt;0.01,1-EXP(-SUM(T46:T47)),SUM(T46:T47)),".")</f>
        <v>1</v>
      </c>
      <c r="Z45" s="72">
        <f t="shared" si="33"/>
        <v>1</v>
      </c>
      <c r="AA45" s="72">
        <f t="shared" si="33"/>
        <v>1</v>
      </c>
      <c r="AB45" s="72">
        <f t="shared" si="33"/>
        <v>1</v>
      </c>
      <c r="AC45" s="53">
        <f t="shared" si="32"/>
        <v>1.4964536386971686E-11</v>
      </c>
      <c r="AD45" s="53">
        <f t="shared" si="32"/>
        <v>8.1930836718669983E-8</v>
      </c>
      <c r="AE45" s="54">
        <f t="shared" si="32"/>
        <v>1.4961803637448867E-11</v>
      </c>
      <c r="AF45" s="71"/>
      <c r="AG45" s="71"/>
      <c r="AH45" s="72">
        <f>IFERROR(IF(SUM(AF46:AF47)&gt;0.01,1-EXP(-SUM(AF46:AF47)),SUM(AF46:AF47)),".")</f>
        <v>1</v>
      </c>
      <c r="AI45" s="72">
        <f>IFERROR(IF(SUM(AG46:AG47)&gt;0.01,1-EXP(-SUM(AG46:AG47)),SUM(AG46:AG47)),".")</f>
        <v>1</v>
      </c>
      <c r="AJ45" s="72">
        <f>IFERROR(IF(SUM(AF46:AG47)&gt;0.01,1-EXP(-SUM(AF46:AG47)),SUM(AF46:AG47)),".")</f>
        <v>1</v>
      </c>
    </row>
    <row r="46" spans="1:36" x14ac:dyDescent="0.25">
      <c r="A46" s="55" t="s">
        <v>303</v>
      </c>
      <c r="B46" s="50">
        <v>1</v>
      </c>
      <c r="C46" s="56">
        <f>IFERROR(C10/$B46,0)</f>
        <v>3.6363636363636364E-9</v>
      </c>
      <c r="D46" s="56">
        <f>IFERROR(D10/$B46,0)</f>
        <v>9.0250320889537196E-6</v>
      </c>
      <c r="E46" s="56">
        <f>IFERROR(E10/$B46,0)</f>
        <v>4.9753766233766233E-6</v>
      </c>
      <c r="F46" s="56">
        <f t="shared" si="20"/>
        <v>3.632245426353803E-9</v>
      </c>
      <c r="G46" s="64">
        <f>IFERROR(up_RadSpec!$I$10*G10,".")*$B$46</f>
        <v>15277625</v>
      </c>
      <c r="H46" s="64">
        <f>IFERROR(up_RadSpec!$G$10*H10,".")*$B$46</f>
        <v>6155.6567835362166</v>
      </c>
      <c r="I46" s="64">
        <f>IFERROR(up_RadSpec!$F$10*I10,".")*$B$46</f>
        <v>11165.988869863013</v>
      </c>
      <c r="J46" s="73">
        <f t="shared" ref="J46:L47" si="34">IFERROR(IF(G46&gt;0.01,1-EXP(-G46),G46),".")</f>
        <v>1</v>
      </c>
      <c r="K46" s="73">
        <f t="shared" si="34"/>
        <v>1</v>
      </c>
      <c r="L46" s="73">
        <f t="shared" si="34"/>
        <v>1</v>
      </c>
      <c r="M46" s="73">
        <f t="shared" ref="M46:M47" si="35">IFERROR(IF(SUM(G46:I46)&gt;0.01,1-EXP(-SUM(G46:I46)),SUM(G46:I46)),".")</f>
        <v>1</v>
      </c>
      <c r="N46" s="56">
        <f t="shared" ref="N46:AD46" si="36">IFERROR(N10/$B46,0)</f>
        <v>4.9753766233766233E-6</v>
      </c>
      <c r="O46" s="56">
        <f t="shared" si="36"/>
        <v>7.7529581529581501E-6</v>
      </c>
      <c r="P46" s="56">
        <f t="shared" si="36"/>
        <v>5.5366265416759942E-6</v>
      </c>
      <c r="Q46" s="56">
        <f t="shared" si="36"/>
        <v>5.0638919313618114E-6</v>
      </c>
      <c r="R46" s="56">
        <f t="shared" si="36"/>
        <v>1.3033370352742081E-5</v>
      </c>
      <c r="S46" s="64">
        <f>IFERROR(up_RadSpec!$F$10*S10,".")*$B46</f>
        <v>11165.988869863013</v>
      </c>
      <c r="T46" s="64">
        <f>IFERROR(up_RadSpec!$M$10*T10,".")*$B46</f>
        <v>7165.6519877903529</v>
      </c>
      <c r="U46" s="64">
        <f>IFERROR(up_RadSpec!$N$10*U10,".")*$B46</f>
        <v>10034.088371650027</v>
      </c>
      <c r="V46" s="64">
        <f>IFERROR(up_RadSpec!$O$10*V10,".")*$B46</f>
        <v>10970.810742609949</v>
      </c>
      <c r="W46" s="64">
        <f>IFERROR(up_RadSpec!$K$10*W10,".")*$B46</f>
        <v>4262.5198622021671</v>
      </c>
      <c r="X46" s="73">
        <f t="shared" ref="X46:AB47" si="37">IFERROR(IF(S46&gt;0.01,1-EXP(-S46),S46),".")</f>
        <v>1</v>
      </c>
      <c r="Y46" s="73">
        <f t="shared" si="37"/>
        <v>1</v>
      </c>
      <c r="Z46" s="73">
        <f t="shared" si="37"/>
        <v>1</v>
      </c>
      <c r="AA46" s="73">
        <f t="shared" si="37"/>
        <v>1</v>
      </c>
      <c r="AB46" s="73">
        <f t="shared" si="37"/>
        <v>1</v>
      </c>
      <c r="AC46" s="56">
        <f t="shared" si="36"/>
        <v>2.9090909090909089E-11</v>
      </c>
      <c r="AD46" s="56">
        <f t="shared" si="36"/>
        <v>1.5927272727272726E-7</v>
      </c>
      <c r="AE46" s="56">
        <f t="shared" ref="AE46:AE47" si="38">IFERROR(IF(AND(AC46&lt;&gt;0,AD46&lt;&gt;0),1/((1/AC46)+(1/AD46)),IF(AND(AC46&lt;&gt;0,AD46=0),1/((1/AC46)),IF(AND(AC46=0,AD46&lt;&gt;0),1/((1/AD46)),IF(AND(AC46=0,AD46=0),0)))),0)</f>
        <v>2.9085596653164224E-11</v>
      </c>
      <c r="AF46" s="64">
        <f>IFERROR(up_RadSpec!$G$10*AF10,".")*$B$46</f>
        <v>1909703125</v>
      </c>
      <c r="AG46" s="64">
        <f>IFERROR(up_RadSpec!$J$10*AG10,".")*$B$46</f>
        <v>348804.22374429216</v>
      </c>
      <c r="AH46" s="73">
        <f>IFERROR(IF(AF46&gt;0.01,1-EXP(-AF46),AF46),".")</f>
        <v>1</v>
      </c>
      <c r="AI46" s="73">
        <f>IFERROR(IF(AG46&gt;0.01,1-EXP(-AG46),AG46),".")</f>
        <v>1</v>
      </c>
      <c r="AJ46" s="73">
        <f>IFERROR(IF(SUM(AF46:AG46)&gt;0.01,1-EXP(-SUM(AF46:AG46)),SUM(AF46:AG46)),".")</f>
        <v>1</v>
      </c>
    </row>
    <row r="47" spans="1:36" x14ac:dyDescent="0.25">
      <c r="A47" s="55" t="s">
        <v>304</v>
      </c>
      <c r="B47" s="58">
        <v>0.94399</v>
      </c>
      <c r="C47" s="56">
        <f>IFERROR(C6/$B$47,0)</f>
        <v>3.8521209296323442E-9</v>
      </c>
      <c r="D47" s="56">
        <f>IFERROR(D6/$B$47,0)</f>
        <v>9.5605166251270878E-6</v>
      </c>
      <c r="E47" s="56">
        <f>IFERROR(E6/$B$47,0)</f>
        <v>4.496523191558974E-6</v>
      </c>
      <c r="F47" s="56">
        <f t="shared" si="20"/>
        <v>3.8472748694373336E-9</v>
      </c>
      <c r="G47" s="64">
        <f>IFERROR(up_RadSpec!$I$6*G6,".")*$B$47</f>
        <v>14421925.223750001</v>
      </c>
      <c r="H47" s="64">
        <f>IFERROR(up_RadSpec!$G$6*H6,".")*$B$47</f>
        <v>5810.8784470903529</v>
      </c>
      <c r="I47" s="64">
        <f>IFERROR(up_RadSpec!$F$6*I6,".")*$B$47</f>
        <v>12355.101404634081</v>
      </c>
      <c r="J47" s="73">
        <f t="shared" si="34"/>
        <v>1</v>
      </c>
      <c r="K47" s="73">
        <f t="shared" si="34"/>
        <v>1</v>
      </c>
      <c r="L47" s="73">
        <f t="shared" si="34"/>
        <v>1</v>
      </c>
      <c r="M47" s="73">
        <f t="shared" si="35"/>
        <v>1</v>
      </c>
      <c r="N47" s="56">
        <f t="shared" ref="N47:AD47" si="39">IFERROR(N6/$B$47,0)</f>
        <v>4.496523191558974E-6</v>
      </c>
      <c r="O47" s="56">
        <f t="shared" si="39"/>
        <v>8.3942617024007131E-6</v>
      </c>
      <c r="P47" s="56">
        <f t="shared" si="39"/>
        <v>5.9319032191504109E-6</v>
      </c>
      <c r="Q47" s="56">
        <f t="shared" si="39"/>
        <v>4.9054619971684757E-6</v>
      </c>
      <c r="R47" s="56">
        <f t="shared" si="39"/>
        <v>1.4100299060944834E-5</v>
      </c>
      <c r="S47" s="64">
        <f>IFERROR(up_RadSpec!$F$6*S6,".")*$B47</f>
        <v>12355.101404634081</v>
      </c>
      <c r="T47" s="64">
        <f>IFERROR(up_RadSpec!$M$6*T6,".")*$B47</f>
        <v>6618.2115794783449</v>
      </c>
      <c r="U47" s="64">
        <f>IFERROR(up_RadSpec!$N$6*U6,".")*$B47</f>
        <v>9365.4596084183577</v>
      </c>
      <c r="V47" s="64">
        <f>IFERROR(up_RadSpec!$O$6*V6,".")*$B47</f>
        <v>11325.131054336447</v>
      </c>
      <c r="W47" s="64">
        <f>IFERROR(up_RadSpec!$K$6*W6,".")*$B47</f>
        <v>3939.9873548694322</v>
      </c>
      <c r="X47" s="73">
        <f t="shared" si="37"/>
        <v>1</v>
      </c>
      <c r="Y47" s="73">
        <f t="shared" si="37"/>
        <v>1</v>
      </c>
      <c r="Z47" s="73">
        <f t="shared" si="37"/>
        <v>1</v>
      </c>
      <c r="AA47" s="73">
        <f t="shared" si="37"/>
        <v>1</v>
      </c>
      <c r="AB47" s="73">
        <f t="shared" si="37"/>
        <v>1</v>
      </c>
      <c r="AC47" s="56">
        <f t="shared" si="39"/>
        <v>3.0816967437058749E-11</v>
      </c>
      <c r="AD47" s="56">
        <f t="shared" si="39"/>
        <v>1.6872289671789665E-7</v>
      </c>
      <c r="AE47" s="56">
        <f t="shared" si="38"/>
        <v>3.0811339795087044E-11</v>
      </c>
      <c r="AF47" s="64">
        <f>IFERROR(up_RadSpec!$G$6*AF6,".")*$B$47</f>
        <v>1802740652.96875</v>
      </c>
      <c r="AG47" s="64">
        <f>IFERROR(up_RadSpec!$J$6*AG6,".")*$B$47</f>
        <v>329267.69917237438</v>
      </c>
      <c r="AH47" s="73">
        <f>IFERROR(IF(AF47&gt;0.01,1-EXP(-AF47),AF47),".")</f>
        <v>1</v>
      </c>
      <c r="AI47" s="73">
        <f>IFERROR(IF(AG47&gt;0.01,1-EXP(-AG47),AG47),".")</f>
        <v>1</v>
      </c>
      <c r="AJ47" s="73">
        <f>IFERROR(IF(SUM(AF47:AG47)&gt;0.01,1-EXP(-SUM(AF47:AG47)),SUM(AF47:AG47)),".")</f>
        <v>1</v>
      </c>
    </row>
    <row r="48" spans="1:36" x14ac:dyDescent="0.25">
      <c r="A48" s="52" t="s">
        <v>33</v>
      </c>
      <c r="B48" s="52" t="s">
        <v>289</v>
      </c>
      <c r="C48" s="53">
        <f>1/SUM(1/C49,1/C52,1/C54,1/C58,1/C59,1/C61)</f>
        <v>6.060808289575989E-10</v>
      </c>
      <c r="D48" s="53">
        <f>1/SUM(1/D49,1/D50,1/D51,1/D52,1/D54,1/D58,1/D59,1/D61)</f>
        <v>1.1281572432542275E-6</v>
      </c>
      <c r="E48" s="53">
        <f>1/SUM(1/E49,1/E50,1/E52,1/E54,1/E55,1/E56,1/E57,1/E58,1/E59,1/E60,1/E61,1/E62)</f>
        <v>5.9730603257587573E-7</v>
      </c>
      <c r="F48" s="54">
        <f>1/SUM(1/F49,1/F50,1/F51,1/F52,1/F54,1/F55,1/F56,1/F57,1/F58,1/F59,1/F60,1/F61,1/F62)</f>
        <v>4.0361373247342744E-10</v>
      </c>
      <c r="G48" s="71"/>
      <c r="H48" s="71"/>
      <c r="I48" s="71"/>
      <c r="J48" s="72">
        <f>IFERROR(IF(SUM(G49:G62)&gt;0.01,1-EXP(-SUM(G49:G62)),SUM(G49:G62)),".")</f>
        <v>1</v>
      </c>
      <c r="K48" s="72">
        <f>IFERROR(IF(SUM(H49:H62)&gt;0.01,1-EXP(-SUM(H49:H62)),SUM(H49:H62)),".")</f>
        <v>1</v>
      </c>
      <c r="L48" s="72">
        <f>IFERROR(IF(SUM(I49:I62)&gt;0.01,1-EXP(-SUM(I49:I62)),SUM(I49:I62)),".")</f>
        <v>1</v>
      </c>
      <c r="M48" s="72">
        <f>IFERROR(IF(SUM(G49:I62)&gt;0.01,1-EXP(-SUM(G49:I62)),SUM(G49:I62)),".")</f>
        <v>1</v>
      </c>
      <c r="N48" s="53">
        <f t="shared" ref="N48:R48" si="40">1/SUM(1/N49,1/N50,1/N52,1/N54,1/N55,1/N56,1/N57,1/N58,1/N59,1/N60,1/N61,1/N62)</f>
        <v>5.9730603257587573E-7</v>
      </c>
      <c r="O48" s="53">
        <f t="shared" si="40"/>
        <v>1.1243919358138257E-6</v>
      </c>
      <c r="P48" s="53">
        <f t="shared" si="40"/>
        <v>7.9968513615528212E-7</v>
      </c>
      <c r="Q48" s="53">
        <f t="shared" si="40"/>
        <v>6.7669381505905337E-7</v>
      </c>
      <c r="R48" s="53">
        <f t="shared" si="40"/>
        <v>1.9339257525101659E-6</v>
      </c>
      <c r="S48" s="71"/>
      <c r="T48" s="71"/>
      <c r="U48" s="71"/>
      <c r="V48" s="71"/>
      <c r="W48" s="71"/>
      <c r="X48" s="72">
        <f>IFERROR(IF(SUM(S49:S62)&gt;0.01,1-EXP(-SUM(S49:S62)),SUM(S49:S62)),".")</f>
        <v>1</v>
      </c>
      <c r="Y48" s="72">
        <f t="shared" ref="Y48:AB48" si="41">IFERROR(IF(SUM(T49:T62)&gt;0.01,1-EXP(-SUM(T49:T62)),SUM(T49:T62)),".")</f>
        <v>1</v>
      </c>
      <c r="Z48" s="72">
        <f t="shared" si="41"/>
        <v>1</v>
      </c>
      <c r="AA48" s="72">
        <f t="shared" si="41"/>
        <v>1</v>
      </c>
      <c r="AB48" s="72">
        <f t="shared" si="41"/>
        <v>1</v>
      </c>
      <c r="AC48" s="53">
        <f>1/SUM(1/AC49,1/AC50,1/AC51,1/AC52,1/AC54,1/AC58,1/AC59,1/AC61)</f>
        <v>3.6364546386409682E-12</v>
      </c>
      <c r="AD48" s="53">
        <f t="shared" ref="AD48:AE48" si="42">1/SUM(1/AD49,1/AD50,1/AD51,1/AD52,1/AD53,1/AD54,1/AD55,1/AD56,1/AD57,1/AD58,1/AD59,1/AD60,1/AD61,1/AD62)</f>
        <v>1.7696967026694004E-8</v>
      </c>
      <c r="AE48" s="54">
        <f t="shared" si="42"/>
        <v>3.2317324738301693E-12</v>
      </c>
      <c r="AF48" s="71"/>
      <c r="AG48" s="71"/>
      <c r="AH48" s="72">
        <f>IFERROR(IF(SUM(AF49:AF62)&gt;0.01,1-EXP(-SUM(AF49:AF62)),SUM(AF49:AF62)),".")</f>
        <v>1</v>
      </c>
      <c r="AI48" s="72">
        <f>IFERROR(IF(SUM(AG49:AG62)&gt;0.01,1-EXP(-SUM(AG49:AG62)),SUM(AG49:AG62)),".")</f>
        <v>1</v>
      </c>
      <c r="AJ48" s="72">
        <f>IFERROR(IF(SUM(AF49:AG62)&gt;0.01,1-EXP(-SUM(AF49:AG62)),SUM(AF49:AG62)),".")</f>
        <v>1</v>
      </c>
    </row>
    <row r="49" spans="1:36" x14ac:dyDescent="0.25">
      <c r="A49" s="55" t="s">
        <v>305</v>
      </c>
      <c r="B49" s="50">
        <v>1</v>
      </c>
      <c r="C49" s="56">
        <f>IFERROR(C23/$B49,0)</f>
        <v>3.6363636363636364E-9</v>
      </c>
      <c r="D49" s="56">
        <f>IFERROR(D23/$B49,0)</f>
        <v>9.0250320889537196E-6</v>
      </c>
      <c r="E49" s="56">
        <f>IFERROR(E23/$B49,0)</f>
        <v>3.500392353284914E-6</v>
      </c>
      <c r="F49" s="56">
        <f t="shared" si="20"/>
        <v>3.6311284049537353E-9</v>
      </c>
      <c r="G49" s="64">
        <f>IFERROR(up_RadSpec!$I$23*G23,".")*$B$49</f>
        <v>15277625</v>
      </c>
      <c r="H49" s="64">
        <f>IFERROR(up_RadSpec!$G$23*H23,".")*$B$49</f>
        <v>6155.6567835362166</v>
      </c>
      <c r="I49" s="64">
        <f>IFERROR(up_RadSpec!$F$23*I23,".")*$B$49</f>
        <v>15871.077980119819</v>
      </c>
      <c r="J49" s="73">
        <f t="shared" ref="J49:L62" si="43">IFERROR(IF(G49&gt;0.01,1-EXP(-G49),G49),".")</f>
        <v>1</v>
      </c>
      <c r="K49" s="73">
        <f t="shared" si="43"/>
        <v>1</v>
      </c>
      <c r="L49" s="73">
        <f t="shared" si="43"/>
        <v>1</v>
      </c>
      <c r="M49" s="73">
        <f t="shared" ref="M49:M62" si="44">IFERROR(IF(SUM(G49:I49)&gt;0.01,1-EXP(-SUM(G49:I49)),SUM(G49:I49)),".")</f>
        <v>1</v>
      </c>
      <c r="N49" s="56">
        <f t="shared" ref="N49:AD49" si="45">IFERROR(N23/$B49,0)</f>
        <v>3.500392353284914E-6</v>
      </c>
      <c r="O49" s="56">
        <f t="shared" si="45"/>
        <v>6.2307642417036039E-6</v>
      </c>
      <c r="P49" s="56">
        <f t="shared" si="45"/>
        <v>4.4059313285674297E-6</v>
      </c>
      <c r="Q49" s="56">
        <f t="shared" si="45"/>
        <v>3.6055144855144848E-6</v>
      </c>
      <c r="R49" s="56">
        <f t="shared" si="45"/>
        <v>9.8081956878073364E-6</v>
      </c>
      <c r="S49" s="64">
        <f>IFERROR(up_RadSpec!$F$23*S23,".")*$B$49</f>
        <v>15871.077980119819</v>
      </c>
      <c r="T49" s="64">
        <f>IFERROR(up_RadSpec!$M$23*T23,".")*$B$49</f>
        <v>8916.2417072629032</v>
      </c>
      <c r="U49" s="64">
        <f>IFERROR(up_RadSpec!$N$23*U23,".")*$B$49</f>
        <v>12609.138875994118</v>
      </c>
      <c r="V49" s="64">
        <f>IFERROR(up_RadSpec!$O$23*V23,".")*$B$49</f>
        <v>15408.341922684751</v>
      </c>
      <c r="W49" s="64">
        <f>IFERROR(up_RadSpec!$K$23*W23,".")*$B$49</f>
        <v>5664.1406603521327</v>
      </c>
      <c r="X49" s="73">
        <f t="shared" ref="X49:AB62" si="46">IFERROR(IF(S49&gt;0.01,1-EXP(-S49),S49),".")</f>
        <v>1</v>
      </c>
      <c r="Y49" s="73">
        <f t="shared" si="46"/>
        <v>1</v>
      </c>
      <c r="Z49" s="73">
        <f t="shared" si="46"/>
        <v>1</v>
      </c>
      <c r="AA49" s="73">
        <f t="shared" si="46"/>
        <v>1</v>
      </c>
      <c r="AB49" s="73">
        <f t="shared" si="46"/>
        <v>1</v>
      </c>
      <c r="AC49" s="56">
        <f t="shared" si="45"/>
        <v>2.9090909090909089E-11</v>
      </c>
      <c r="AD49" s="56">
        <f t="shared" si="45"/>
        <v>1.5927272727272726E-7</v>
      </c>
      <c r="AE49" s="56">
        <f t="shared" ref="AE49:AE62" si="47">IFERROR(IF(AND(AC49&lt;&gt;0,AD49&lt;&gt;0),1/((1/AC49)+(1/AD49)),IF(AND(AC49&lt;&gt;0,AD49=0),1/((1/AC49)),IF(AND(AC49=0,AD49&lt;&gt;0),1/((1/AD49)),IF(AND(AC49=0,AD49=0),0)))),0)</f>
        <v>2.9085596653164224E-11</v>
      </c>
      <c r="AF49" s="64">
        <f>IFERROR(up_RadSpec!$G$23*AF23,".")*$B$49</f>
        <v>1909703125</v>
      </c>
      <c r="AG49" s="64">
        <f>IFERROR(up_RadSpec!$J$23*AG23,".")*$B$49</f>
        <v>348804.22374429216</v>
      </c>
      <c r="AH49" s="73">
        <f t="shared" ref="AH49:AI62" si="48">IFERROR(IF(AF49&gt;0.01,1-EXP(-AF49),AF49),".")</f>
        <v>1</v>
      </c>
      <c r="AI49" s="73">
        <f t="shared" si="48"/>
        <v>1</v>
      </c>
      <c r="AJ49" s="73">
        <f t="shared" ref="AJ49:AJ62" si="49">IFERROR(IF(SUM(AF49:AG49)&gt;0.01,1-EXP(-SUM(AF49:AG49)),SUM(AF49:AG49)),".")</f>
        <v>1</v>
      </c>
    </row>
    <row r="50" spans="1:36" x14ac:dyDescent="0.25">
      <c r="A50" s="55" t="s">
        <v>306</v>
      </c>
      <c r="B50" s="50">
        <v>1</v>
      </c>
      <c r="C50" s="56">
        <f>IFERROR(C25/$B50,0)</f>
        <v>3.6363636363636364E-9</v>
      </c>
      <c r="D50" s="56">
        <f>IFERROR(D25/$B50,0)</f>
        <v>9.0250320889537196E-6</v>
      </c>
      <c r="E50" s="56">
        <f>IFERROR(E25/$B50,0)</f>
        <v>5.117196056955094E-6</v>
      </c>
      <c r="F50" s="56">
        <f t="shared" si="20"/>
        <v>3.6323189178157529E-9</v>
      </c>
      <c r="G50" s="64">
        <f>IFERROR(up_RadSpec!$I$25*G25,".")*$B$50</f>
        <v>15277625</v>
      </c>
      <c r="H50" s="64">
        <f>IFERROR(up_RadSpec!$G$25*H25,".")*$B$50</f>
        <v>6155.6567835362166</v>
      </c>
      <c r="I50" s="64">
        <f>IFERROR(up_RadSpec!$F$25*I25,".")*$B$50</f>
        <v>10856.531464041092</v>
      </c>
      <c r="J50" s="73">
        <f t="shared" si="43"/>
        <v>1</v>
      </c>
      <c r="K50" s="73">
        <f t="shared" si="43"/>
        <v>1</v>
      </c>
      <c r="L50" s="73">
        <f t="shared" si="43"/>
        <v>1</v>
      </c>
      <c r="M50" s="73">
        <f t="shared" si="44"/>
        <v>1</v>
      </c>
      <c r="N50" s="56">
        <f t="shared" ref="N50:AD50" si="50">IFERROR(N25/$B50,0)</f>
        <v>5.117196056955094E-6</v>
      </c>
      <c r="O50" s="56">
        <f t="shared" si="50"/>
        <v>9.1638362553616773E-6</v>
      </c>
      <c r="P50" s="56">
        <f t="shared" si="50"/>
        <v>6.5732694272020127E-6</v>
      </c>
      <c r="Q50" s="56">
        <f t="shared" si="50"/>
        <v>5.8697641341709141E-6</v>
      </c>
      <c r="R50" s="56">
        <f t="shared" si="50"/>
        <v>1.6429752066115701E-5</v>
      </c>
      <c r="S50" s="64">
        <f>IFERROR(up_RadSpec!$F$25*S25,".")*$B$50</f>
        <v>10856.531464041092</v>
      </c>
      <c r="T50" s="64">
        <f>IFERROR(up_RadSpec!$M$25*T25,".")*$B$50</f>
        <v>6062.4173601416405</v>
      </c>
      <c r="U50" s="64">
        <f>IFERROR(up_RadSpec!$N$25*U25,".")*$B$50</f>
        <v>8451.6541753329002</v>
      </c>
      <c r="V50" s="64">
        <f>IFERROR(up_RadSpec!$O$25*V25,".")*$B$50</f>
        <v>9464.6051749483049</v>
      </c>
      <c r="W50" s="64">
        <f>IFERROR(up_RadSpec!$K$25*W25,".")*$B$50</f>
        <v>3381.3656941649897</v>
      </c>
      <c r="X50" s="73">
        <f t="shared" si="46"/>
        <v>1</v>
      </c>
      <c r="Y50" s="73">
        <f t="shared" si="46"/>
        <v>1</v>
      </c>
      <c r="Z50" s="73">
        <f t="shared" si="46"/>
        <v>1</v>
      </c>
      <c r="AA50" s="73">
        <f t="shared" si="46"/>
        <v>1</v>
      </c>
      <c r="AB50" s="73">
        <f t="shared" si="46"/>
        <v>1</v>
      </c>
      <c r="AC50" s="56">
        <f t="shared" si="50"/>
        <v>2.9090909090909089E-11</v>
      </c>
      <c r="AD50" s="56">
        <f t="shared" si="50"/>
        <v>1.5927272727272726E-7</v>
      </c>
      <c r="AE50" s="56">
        <f t="shared" si="47"/>
        <v>2.9085596653164224E-11</v>
      </c>
      <c r="AF50" s="64">
        <f>IFERROR(up_RadSpec!$G$25*AF$25,".")*$B$50</f>
        <v>1909703125</v>
      </c>
      <c r="AG50" s="64">
        <f>IFERROR(up_RadSpec!$J$25*AG25,".")*$B$50</f>
        <v>348804.22374429216</v>
      </c>
      <c r="AH50" s="73">
        <f t="shared" si="48"/>
        <v>1</v>
      </c>
      <c r="AI50" s="73">
        <f t="shared" si="48"/>
        <v>1</v>
      </c>
      <c r="AJ50" s="73">
        <f t="shared" si="49"/>
        <v>1</v>
      </c>
    </row>
    <row r="51" spans="1:36" x14ac:dyDescent="0.25">
      <c r="A51" s="55" t="s">
        <v>307</v>
      </c>
      <c r="B51" s="50">
        <v>1</v>
      </c>
      <c r="C51" s="56">
        <f>IFERROR(C21/$B51,0)</f>
        <v>3.6363636363636364E-9</v>
      </c>
      <c r="D51" s="56">
        <f>IFERROR(D21/$B51,0)</f>
        <v>9.0250320889537196E-6</v>
      </c>
      <c r="E51" s="56">
        <f>IFERROR(E21/$B51,0)</f>
        <v>0</v>
      </c>
      <c r="F51" s="56">
        <f t="shared" si="20"/>
        <v>3.6348990637563577E-9</v>
      </c>
      <c r="G51" s="64">
        <f>IFERROR(up_RadSpec!$I$21*G21,".")*$B$51</f>
        <v>15277625</v>
      </c>
      <c r="H51" s="64">
        <f>IFERROR(up_RadSpec!$G$21*H21,".")*$B$51</f>
        <v>6155.6567835362166</v>
      </c>
      <c r="I51" s="64">
        <f>IFERROR(up_RadSpec!$F$21*I21,".")*$B$51</f>
        <v>0</v>
      </c>
      <c r="J51" s="73">
        <f t="shared" si="43"/>
        <v>1</v>
      </c>
      <c r="K51" s="73">
        <f t="shared" si="43"/>
        <v>1</v>
      </c>
      <c r="L51" s="73">
        <f t="shared" si="43"/>
        <v>0</v>
      </c>
      <c r="M51" s="73">
        <f t="shared" si="44"/>
        <v>1</v>
      </c>
      <c r="N51" s="56">
        <f t="shared" ref="N51:AD51" si="51">IFERROR(N21/$B51,0)</f>
        <v>0</v>
      </c>
      <c r="O51" s="56">
        <f t="shared" si="51"/>
        <v>0</v>
      </c>
      <c r="P51" s="56">
        <f t="shared" si="51"/>
        <v>0</v>
      </c>
      <c r="Q51" s="56">
        <f t="shared" si="51"/>
        <v>0</v>
      </c>
      <c r="R51" s="56">
        <f t="shared" si="51"/>
        <v>0</v>
      </c>
      <c r="S51" s="64">
        <f>IFERROR(up_RadSpec!$F$21*S21,".")*$B$51</f>
        <v>0</v>
      </c>
      <c r="T51" s="64">
        <f>IFERROR(up_RadSpec!$M$21*T21,".")*$B$51</f>
        <v>0</v>
      </c>
      <c r="U51" s="64">
        <f>IFERROR(up_RadSpec!$N$21*U21,".")*$B$51</f>
        <v>0</v>
      </c>
      <c r="V51" s="64">
        <f>IFERROR(up_RadSpec!$O$21*V21,".")*$B$51</f>
        <v>0</v>
      </c>
      <c r="W51" s="64">
        <f>IFERROR(up_RadSpec!$K$21*W21,".")*$B$51</f>
        <v>0</v>
      </c>
      <c r="X51" s="73">
        <f t="shared" si="46"/>
        <v>0</v>
      </c>
      <c r="Y51" s="73">
        <f t="shared" si="46"/>
        <v>0</v>
      </c>
      <c r="Z51" s="73">
        <f t="shared" si="46"/>
        <v>0</v>
      </c>
      <c r="AA51" s="73">
        <f t="shared" si="46"/>
        <v>0</v>
      </c>
      <c r="AB51" s="73">
        <f t="shared" si="46"/>
        <v>0</v>
      </c>
      <c r="AC51" s="56">
        <f t="shared" si="51"/>
        <v>2.9090909090909089E-11</v>
      </c>
      <c r="AD51" s="56">
        <f t="shared" si="51"/>
        <v>1.5927272727272726E-7</v>
      </c>
      <c r="AE51" s="56">
        <f t="shared" si="47"/>
        <v>2.9085596653164224E-11</v>
      </c>
      <c r="AF51" s="64">
        <f>IFERROR(up_RadSpec!$G$21*AF21,".")*$B$51</f>
        <v>1909703125</v>
      </c>
      <c r="AG51" s="64">
        <f>IFERROR(up_RadSpec!$J$21*AG21,".")*$B$51</f>
        <v>348804.22374429216</v>
      </c>
      <c r="AH51" s="73">
        <f t="shared" si="48"/>
        <v>1</v>
      </c>
      <c r="AI51" s="73">
        <f t="shared" si="48"/>
        <v>1</v>
      </c>
      <c r="AJ51" s="73">
        <f t="shared" si="49"/>
        <v>1</v>
      </c>
    </row>
    <row r="52" spans="1:36" x14ac:dyDescent="0.25">
      <c r="A52" s="55" t="s">
        <v>308</v>
      </c>
      <c r="B52" s="58">
        <v>0.99980000000000002</v>
      </c>
      <c r="C52" s="56">
        <f>IFERROR(C17/$B52,0)</f>
        <v>3.6370910545745514E-9</v>
      </c>
      <c r="D52" s="56">
        <f>IFERROR(D17/$B52,0)</f>
        <v>9.0268374564450091E-6</v>
      </c>
      <c r="E52" s="56">
        <f>IFERROR(E17/$B52,0)</f>
        <v>7.0342285694447E-6</v>
      </c>
      <c r="F52" s="56">
        <f t="shared" si="20"/>
        <v>3.6337480939615323E-9</v>
      </c>
      <c r="G52" s="64">
        <f>IFERROR(up_RadSpec!$I$17*G17,".")*$B$52</f>
        <v>15274569.475</v>
      </c>
      <c r="H52" s="64">
        <f>IFERROR(up_RadSpec!$G$17*H17,".")*$B$52</f>
        <v>6154.4256521795096</v>
      </c>
      <c r="I52" s="64">
        <f>IFERROR(up_RadSpec!$F$17*I17,".")*$B$52</f>
        <v>7897.8098950778967</v>
      </c>
      <c r="J52" s="73">
        <f t="shared" si="43"/>
        <v>1</v>
      </c>
      <c r="K52" s="73">
        <f t="shared" si="43"/>
        <v>1</v>
      </c>
      <c r="L52" s="73">
        <f t="shared" si="43"/>
        <v>1</v>
      </c>
      <c r="M52" s="73">
        <f t="shared" si="44"/>
        <v>1</v>
      </c>
      <c r="N52" s="56">
        <f t="shared" ref="N52:AD52" si="52">IFERROR(N17/$B52,0)</f>
        <v>7.0342285694447E-6</v>
      </c>
      <c r="O52" s="56">
        <f t="shared" si="52"/>
        <v>1.229378552079273E-5</v>
      </c>
      <c r="P52" s="56">
        <f t="shared" si="52"/>
        <v>9.2623153705958528E-6</v>
      </c>
      <c r="Q52" s="56">
        <f t="shared" si="52"/>
        <v>8.2363423450425837E-6</v>
      </c>
      <c r="R52" s="56">
        <f t="shared" si="52"/>
        <v>2.3556566311846341E-5</v>
      </c>
      <c r="S52" s="64">
        <f>IFERROR(up_RadSpec!$F$17*S17,".")*$B$52</f>
        <v>7897.8098950778967</v>
      </c>
      <c r="T52" s="64">
        <f>IFERROR(up_RadSpec!$M$17*T17,".")*$B$52</f>
        <v>4518.9498308750117</v>
      </c>
      <c r="U52" s="64">
        <f>IFERROR(up_RadSpec!$N$17*U17,".")*$B$52</f>
        <v>5997.9603130730047</v>
      </c>
      <c r="V52" s="64">
        <f>IFERROR(up_RadSpec!$O$17*V17,".")*$B$52</f>
        <v>6745.1057365820034</v>
      </c>
      <c r="W52" s="64">
        <f>IFERROR(up_RadSpec!$K$17*W17,".")*$B$52</f>
        <v>2358.3657849175574</v>
      </c>
      <c r="X52" s="73">
        <f t="shared" si="46"/>
        <v>1</v>
      </c>
      <c r="Y52" s="73">
        <f t="shared" si="46"/>
        <v>1</v>
      </c>
      <c r="Z52" s="73">
        <f t="shared" si="46"/>
        <v>1</v>
      </c>
      <c r="AA52" s="73">
        <f t="shared" si="46"/>
        <v>1</v>
      </c>
      <c r="AB52" s="73">
        <f t="shared" si="46"/>
        <v>1</v>
      </c>
      <c r="AC52" s="56">
        <f t="shared" si="52"/>
        <v>2.9096728436596409E-11</v>
      </c>
      <c r="AD52" s="56">
        <f t="shared" si="52"/>
        <v>1.5930458819036533E-7</v>
      </c>
      <c r="AE52" s="56">
        <f t="shared" si="47"/>
        <v>2.909141493615145E-11</v>
      </c>
      <c r="AF52" s="64">
        <f>IFERROR(up_RadSpec!$G$17*AF17,".")*$B$52</f>
        <v>1909321184.375</v>
      </c>
      <c r="AG52" s="64">
        <f>IFERROR(up_RadSpec!$J$17*AG17,".")*$B$52</f>
        <v>348734.46289954329</v>
      </c>
      <c r="AH52" s="73">
        <f t="shared" si="48"/>
        <v>1</v>
      </c>
      <c r="AI52" s="73">
        <f t="shared" si="48"/>
        <v>1</v>
      </c>
      <c r="AJ52" s="73">
        <f t="shared" si="49"/>
        <v>1</v>
      </c>
    </row>
    <row r="53" spans="1:36" x14ac:dyDescent="0.25">
      <c r="A53" s="55" t="s">
        <v>309</v>
      </c>
      <c r="B53" s="50">
        <v>2.0000000000000001E-4</v>
      </c>
      <c r="C53" s="56">
        <f>IFERROR(C5/$B53,0)</f>
        <v>1.8181818181818182E-5</v>
      </c>
      <c r="D53" s="56">
        <f>IFERROR(D5/$B53,0)</f>
        <v>4.5125160444768594E-2</v>
      </c>
      <c r="E53" s="56">
        <f>IFERROR(E5/$B53,0)</f>
        <v>0</v>
      </c>
      <c r="F53" s="56">
        <f t="shared" si="20"/>
        <v>1.8174495318781785E-5</v>
      </c>
      <c r="G53" s="64">
        <f>IFERROR(up_RadSpec!$I$5*G5,".")*$B$53</f>
        <v>3055.5250000000001</v>
      </c>
      <c r="H53" s="64">
        <f>IFERROR(up_RadSpec!$G$5*H5,".")*$B$53</f>
        <v>1.2311313567072433</v>
      </c>
      <c r="I53" s="64">
        <f>IFERROR(up_RadSpec!$F$5*I5,".")*$B$53</f>
        <v>0</v>
      </c>
      <c r="J53" s="73">
        <f t="shared" si="43"/>
        <v>1</v>
      </c>
      <c r="K53" s="73">
        <f t="shared" si="43"/>
        <v>0.70803792249532926</v>
      </c>
      <c r="L53" s="73">
        <f t="shared" si="43"/>
        <v>0</v>
      </c>
      <c r="M53" s="73">
        <f t="shared" si="44"/>
        <v>1</v>
      </c>
      <c r="N53" s="56">
        <f t="shared" ref="N53:AD53" si="53">IFERROR(N5/$B53,0)</f>
        <v>0</v>
      </c>
      <c r="O53" s="56">
        <f t="shared" si="53"/>
        <v>0</v>
      </c>
      <c r="P53" s="56">
        <f t="shared" si="53"/>
        <v>0</v>
      </c>
      <c r="Q53" s="56">
        <f t="shared" si="53"/>
        <v>0</v>
      </c>
      <c r="R53" s="56">
        <f t="shared" si="53"/>
        <v>0</v>
      </c>
      <c r="S53" s="64">
        <f>IFERROR(up_RadSpec!$F$5*S5,".")*$B$53</f>
        <v>0</v>
      </c>
      <c r="T53" s="64">
        <f>IFERROR(up_RadSpec!$M$5*T5,".")*$B$53</f>
        <v>0</v>
      </c>
      <c r="U53" s="64">
        <f>IFERROR(up_RadSpec!$N$5*U5,".")*$B$53</f>
        <v>0</v>
      </c>
      <c r="V53" s="64">
        <f>IFERROR(up_RadSpec!$O$5*V5,".")*$B$53</f>
        <v>0</v>
      </c>
      <c r="W53" s="64">
        <f>IFERROR(up_RadSpec!$K$5*W5,".")*$B$53</f>
        <v>0</v>
      </c>
      <c r="X53" s="73">
        <f t="shared" si="46"/>
        <v>0</v>
      </c>
      <c r="Y53" s="73">
        <f t="shared" si="46"/>
        <v>0</v>
      </c>
      <c r="Z53" s="73">
        <f t="shared" si="46"/>
        <v>0</v>
      </c>
      <c r="AA53" s="73">
        <f t="shared" si="46"/>
        <v>0</v>
      </c>
      <c r="AB53" s="73">
        <f t="shared" si="46"/>
        <v>0</v>
      </c>
      <c r="AC53" s="56">
        <f t="shared" si="53"/>
        <v>1.4545454545454543E-7</v>
      </c>
      <c r="AD53" s="56">
        <f t="shared" si="53"/>
        <v>7.9636363636363628E-4</v>
      </c>
      <c r="AE53" s="56">
        <f t="shared" si="47"/>
        <v>1.4542798326582108E-7</v>
      </c>
      <c r="AF53" s="64">
        <f>IFERROR(up_RadSpec!$G$5*AF5,".")*$B$53</f>
        <v>381940.625</v>
      </c>
      <c r="AG53" s="64">
        <f>IFERROR(up_RadSpec!$J$5*AG5,".")*$B$53</f>
        <v>69.760844748858432</v>
      </c>
      <c r="AH53" s="73">
        <f t="shared" si="48"/>
        <v>1</v>
      </c>
      <c r="AI53" s="73">
        <f t="shared" si="48"/>
        <v>1</v>
      </c>
      <c r="AJ53" s="73">
        <f t="shared" si="49"/>
        <v>1</v>
      </c>
    </row>
    <row r="54" spans="1:36" x14ac:dyDescent="0.25">
      <c r="A54" s="55" t="s">
        <v>310</v>
      </c>
      <c r="B54" s="50">
        <v>0.99999979999999999</v>
      </c>
      <c r="C54" s="56">
        <f>IFERROR(C9/$B54,0)</f>
        <v>3.6363643636365093E-9</v>
      </c>
      <c r="D54" s="56">
        <f>IFERROR(D9/$B54,0)</f>
        <v>9.0250338939604981E-6</v>
      </c>
      <c r="E54" s="56">
        <f>IFERROR(E9/$B54,0)</f>
        <v>2.6002186505370886E-6</v>
      </c>
      <c r="F54" s="56">
        <f t="shared" si="20"/>
        <v>3.6298255819786717E-9</v>
      </c>
      <c r="G54" s="64">
        <f>IFERROR(up_RadSpec!$I$9*G9,".")*$B$54</f>
        <v>15277621.944475001</v>
      </c>
      <c r="H54" s="64">
        <f>IFERROR(up_RadSpec!$G$9*H9,".")*$B$54</f>
        <v>6155.6555524048599</v>
      </c>
      <c r="I54" s="64">
        <f>IFERROR(up_RadSpec!$F$9*I9,".")*$B$54</f>
        <v>21365.510930599936</v>
      </c>
      <c r="J54" s="73">
        <f t="shared" si="43"/>
        <v>1</v>
      </c>
      <c r="K54" s="73">
        <f t="shared" si="43"/>
        <v>1</v>
      </c>
      <c r="L54" s="73">
        <f t="shared" si="43"/>
        <v>1</v>
      </c>
      <c r="M54" s="73">
        <f t="shared" si="44"/>
        <v>1</v>
      </c>
      <c r="N54" s="56">
        <f t="shared" ref="N54:AD54" si="54">IFERROR(N9/$B54,0)</f>
        <v>2.6002186505370886E-6</v>
      </c>
      <c r="O54" s="56">
        <f t="shared" si="54"/>
        <v>5.3256828833183967E-6</v>
      </c>
      <c r="P54" s="56">
        <f t="shared" si="54"/>
        <v>3.7472546918109186E-6</v>
      </c>
      <c r="Q54" s="56">
        <f t="shared" si="54"/>
        <v>3.0889262376199586E-6</v>
      </c>
      <c r="R54" s="56">
        <f t="shared" si="54"/>
        <v>9.4332728410522865E-6</v>
      </c>
      <c r="S54" s="64">
        <f>IFERROR(up_RadSpec!$F$9*S9,".")*$B$54</f>
        <v>21365.510930599936</v>
      </c>
      <c r="T54" s="64">
        <f>IFERROR(up_RadSpec!$M$9*T9,".")*$B$54</f>
        <v>10431.526100439543</v>
      </c>
      <c r="U54" s="64">
        <f>IFERROR(up_RadSpec!$N$9*U9,".")*$B$54</f>
        <v>14825.520165844979</v>
      </c>
      <c r="V54" s="64">
        <f>IFERROR(up_RadSpec!$O$9*V9,".")*$B$54</f>
        <v>17985.214189771512</v>
      </c>
      <c r="W54" s="64">
        <f>IFERROR(up_RadSpec!$K$9*W9,".")*$B$54</f>
        <v>5889.2603803668626</v>
      </c>
      <c r="X54" s="73">
        <f t="shared" si="46"/>
        <v>1</v>
      </c>
      <c r="Y54" s="73">
        <f t="shared" si="46"/>
        <v>1</v>
      </c>
      <c r="Z54" s="73">
        <f t="shared" si="46"/>
        <v>1</v>
      </c>
      <c r="AA54" s="73">
        <f t="shared" si="46"/>
        <v>1</v>
      </c>
      <c r="AB54" s="73">
        <f t="shared" si="46"/>
        <v>1</v>
      </c>
      <c r="AC54" s="56">
        <f t="shared" si="54"/>
        <v>2.909091490909207E-11</v>
      </c>
      <c r="AD54" s="56">
        <f t="shared" si="54"/>
        <v>1.5927275912727909E-7</v>
      </c>
      <c r="AE54" s="56">
        <f t="shared" si="47"/>
        <v>2.9085602470284717E-11</v>
      </c>
      <c r="AF54" s="64">
        <f>IFERROR(up_RadSpec!$G$9*AF9,".")*$B$54</f>
        <v>1909702743.059375</v>
      </c>
      <c r="AG54" s="64">
        <f>IFERROR(up_RadSpec!$J$9*AG9,".")*$B$54</f>
        <v>348804.15398344741</v>
      </c>
      <c r="AH54" s="73">
        <f t="shared" si="48"/>
        <v>1</v>
      </c>
      <c r="AI54" s="73">
        <f t="shared" si="48"/>
        <v>1</v>
      </c>
      <c r="AJ54" s="73">
        <f t="shared" si="49"/>
        <v>1</v>
      </c>
    </row>
    <row r="55" spans="1:36" x14ac:dyDescent="0.25">
      <c r="A55" s="55" t="s">
        <v>311</v>
      </c>
      <c r="B55" s="50">
        <v>1.9999999999999999E-7</v>
      </c>
      <c r="C55" s="56">
        <f>IFERROR(C24/$B55,0)</f>
        <v>1.8181818181818184E-2</v>
      </c>
      <c r="D55" s="56">
        <f>IFERROR(D24/$B55,0)</f>
        <v>45.125160444768603</v>
      </c>
      <c r="E55" s="56">
        <f>IFERROR(E24/$B55,0)</f>
        <v>22.943681137790271</v>
      </c>
      <c r="F55" s="56">
        <f t="shared" si="20"/>
        <v>1.8160110058053288E-2</v>
      </c>
      <c r="G55" s="64">
        <f>IFERROR(up_RadSpec!$I$24*G24,".")*$B$55</f>
        <v>3.0555249999999998</v>
      </c>
      <c r="H55" s="64">
        <f>IFERROR(up_RadSpec!$G$24*H24,".")*$B$55</f>
        <v>1.2311313567072433E-3</v>
      </c>
      <c r="I55" s="64">
        <f>IFERROR(up_RadSpec!$F$24*I24,".")*$B$55</f>
        <v>2.4213638459478059E-3</v>
      </c>
      <c r="J55" s="73">
        <f t="shared" si="43"/>
        <v>0.95290201216511283</v>
      </c>
      <c r="K55" s="73">
        <f t="shared" si="43"/>
        <v>1.2311313567072433E-3</v>
      </c>
      <c r="L55" s="73">
        <f t="shared" si="43"/>
        <v>2.4213638459478059E-3</v>
      </c>
      <c r="M55" s="73">
        <f t="shared" si="44"/>
        <v>0.95307372356131292</v>
      </c>
      <c r="N55" s="56">
        <f t="shared" ref="N55:AD55" si="55">IFERROR(N24/$B55,0)</f>
        <v>22.943681137790271</v>
      </c>
      <c r="O55" s="56">
        <f t="shared" si="55"/>
        <v>41.59723721131018</v>
      </c>
      <c r="P55" s="56">
        <f t="shared" si="55"/>
        <v>29.370337401551669</v>
      </c>
      <c r="Q55" s="56">
        <f t="shared" si="55"/>
        <v>24.526136013662963</v>
      </c>
      <c r="R55" s="56">
        <f t="shared" si="55"/>
        <v>69.134865134865109</v>
      </c>
      <c r="S55" s="64">
        <f>IFERROR(up_RadSpec!$F$24*S24,".")*$B$55</f>
        <v>2.4213638459478059E-3</v>
      </c>
      <c r="T55" s="64">
        <f>IFERROR(up_RadSpec!$M$24*T24,".")*$B$55</f>
        <v>1.3355454286010787E-3</v>
      </c>
      <c r="U55" s="64">
        <f>IFERROR(up_RadSpec!$N$24*U24,".")*$B$55</f>
        <v>1.8915342796526728E-3</v>
      </c>
      <c r="V55" s="64">
        <f>IFERROR(up_RadSpec!$O$24*V24,".")*$B$55</f>
        <v>2.2651346289954337E-3</v>
      </c>
      <c r="W55" s="64">
        <f>IFERROR(up_RadSpec!$K$24*W24,".")*$B$55</f>
        <v>8.0357428761343289E-4</v>
      </c>
      <c r="X55" s="73">
        <f t="shared" si="46"/>
        <v>2.4213638459478059E-3</v>
      </c>
      <c r="Y55" s="73">
        <f t="shared" si="46"/>
        <v>1.3355454286010787E-3</v>
      </c>
      <c r="Z55" s="73">
        <f t="shared" si="46"/>
        <v>1.8915342796526728E-3</v>
      </c>
      <c r="AA55" s="73">
        <f t="shared" si="46"/>
        <v>2.2651346289954337E-3</v>
      </c>
      <c r="AB55" s="73">
        <f t="shared" si="46"/>
        <v>8.0357428761343289E-4</v>
      </c>
      <c r="AC55" s="56">
        <f t="shared" si="55"/>
        <v>1.4545454545454546E-4</v>
      </c>
      <c r="AD55" s="56">
        <f t="shared" si="55"/>
        <v>0.79636363636363638</v>
      </c>
      <c r="AE55" s="56">
        <f t="shared" si="47"/>
        <v>1.4542798326582112E-4</v>
      </c>
      <c r="AF55" s="64">
        <f>IFERROR(up_RadSpec!$G$24*AF24,".")*$B$55</f>
        <v>381.94062499999995</v>
      </c>
      <c r="AG55" s="64">
        <f>IFERROR(up_RadSpec!$J$24*AG24,".")*$B$55</f>
        <v>6.9760844748858436E-2</v>
      </c>
      <c r="AH55" s="73">
        <f t="shared" si="48"/>
        <v>1</v>
      </c>
      <c r="AI55" s="73">
        <f t="shared" si="48"/>
        <v>6.7383166549522144E-2</v>
      </c>
      <c r="AJ55" s="73">
        <f t="shared" si="49"/>
        <v>1</v>
      </c>
    </row>
    <row r="56" spans="1:36" x14ac:dyDescent="0.25">
      <c r="A56" s="55" t="s">
        <v>312</v>
      </c>
      <c r="B56" s="50">
        <v>0.99979000004200003</v>
      </c>
      <c r="C56" s="56">
        <f>IFERROR(C20/$B56,0)</f>
        <v>3.6371274329718012E-9</v>
      </c>
      <c r="D56" s="56">
        <f>IFERROR(D20/$B56,0)</f>
        <v>9.0269277434007028E-6</v>
      </c>
      <c r="E56" s="56">
        <f>IFERROR(E20/$B56,0)</f>
        <v>3.5946960422736805E-6</v>
      </c>
      <c r="F56" s="56">
        <f t="shared" si="20"/>
        <v>3.6319891720506608E-9</v>
      </c>
      <c r="G56" s="64">
        <f>IFERROR(up_RadSpec!$I$20*G20,".")*$B$56</f>
        <v>15274416.699391661</v>
      </c>
      <c r="H56" s="64">
        <f>IFERROR(up_RadSpec!$G$20*H20,".")*$B$56</f>
        <v>6154.3640958702117</v>
      </c>
      <c r="I56" s="64">
        <f>IFERROR(up_RadSpec!$F$20*I20,".")*$B$56</f>
        <v>15454.714208565156</v>
      </c>
      <c r="J56" s="73">
        <f t="shared" si="43"/>
        <v>1</v>
      </c>
      <c r="K56" s="73">
        <f t="shared" si="43"/>
        <v>1</v>
      </c>
      <c r="L56" s="73">
        <f t="shared" si="43"/>
        <v>1</v>
      </c>
      <c r="M56" s="73">
        <f t="shared" si="44"/>
        <v>1</v>
      </c>
      <c r="N56" s="56">
        <f t="shared" ref="N56:AD56" si="56">IFERROR(N20/$B56,0)</f>
        <v>3.5946960422736805E-6</v>
      </c>
      <c r="O56" s="56">
        <f t="shared" si="56"/>
        <v>7.089081048046034E-6</v>
      </c>
      <c r="P56" s="56">
        <f t="shared" si="56"/>
        <v>4.9600825761736329E-6</v>
      </c>
      <c r="Q56" s="56">
        <f t="shared" si="56"/>
        <v>4.1648674918735938E-6</v>
      </c>
      <c r="R56" s="56">
        <f t="shared" si="56"/>
        <v>1.2079522776261757E-5</v>
      </c>
      <c r="S56" s="64">
        <f>IFERROR(up_RadSpec!$F$20*S20,".")*$B$56</f>
        <v>15454.714208565156</v>
      </c>
      <c r="T56" s="64">
        <f>IFERROR(up_RadSpec!$M$20*T20,".")*$B$56</f>
        <v>7836.6997955697861</v>
      </c>
      <c r="U56" s="64">
        <f>IFERROR(up_RadSpec!$N$20*U20,".")*$B$56</f>
        <v>11200.418369416926</v>
      </c>
      <c r="V56" s="64">
        <f>IFERROR(up_RadSpec!$O$20*V20,".")*$B$56</f>
        <v>13338.959788852297</v>
      </c>
      <c r="W56" s="64">
        <f>IFERROR(up_RadSpec!$K$20*W20,".")*$B$56</f>
        <v>4599.1055299945028</v>
      </c>
      <c r="X56" s="73">
        <f t="shared" si="46"/>
        <v>1</v>
      </c>
      <c r="Y56" s="73">
        <f t="shared" si="46"/>
        <v>1</v>
      </c>
      <c r="Z56" s="73">
        <f t="shared" si="46"/>
        <v>1</v>
      </c>
      <c r="AA56" s="73">
        <f t="shared" si="46"/>
        <v>1</v>
      </c>
      <c r="AB56" s="73">
        <f t="shared" si="46"/>
        <v>1</v>
      </c>
      <c r="AC56" s="56">
        <f t="shared" si="56"/>
        <v>2.9097019463774407E-11</v>
      </c>
      <c r="AD56" s="56">
        <f t="shared" si="56"/>
        <v>1.5930618156416487E-7</v>
      </c>
      <c r="AE56" s="56">
        <f t="shared" si="47"/>
        <v>2.9091705910183507E-11</v>
      </c>
      <c r="AF56" s="64">
        <f>IFERROR(up_RadSpec!$G$20*AF20,".")*$B$56</f>
        <v>1909302087.4239576</v>
      </c>
      <c r="AG56" s="64">
        <f>IFERROR(up_RadSpec!$J$20*AG20,".")*$B$56</f>
        <v>348730.97487195564</v>
      </c>
      <c r="AH56" s="73">
        <f t="shared" si="48"/>
        <v>1</v>
      </c>
      <c r="AI56" s="73">
        <f t="shared" si="48"/>
        <v>1</v>
      </c>
      <c r="AJ56" s="73">
        <f t="shared" si="49"/>
        <v>1</v>
      </c>
    </row>
    <row r="57" spans="1:36" x14ac:dyDescent="0.25">
      <c r="A57" s="55" t="s">
        <v>313</v>
      </c>
      <c r="B57" s="50">
        <v>2.0999995799999999E-4</v>
      </c>
      <c r="C57" s="56">
        <f>IFERROR(C29/$B57,0)</f>
        <v>1.7316020779221475E-5</v>
      </c>
      <c r="D57" s="56">
        <f>IFERROR(D29/$B57,0)</f>
        <v>4.2976351876002378E-2</v>
      </c>
      <c r="E57" s="56">
        <f>IFERROR(E29/$B57,0)</f>
        <v>1.3469593212689498E-2</v>
      </c>
      <c r="F57" s="56">
        <f t="shared" si="20"/>
        <v>1.7286832248250486E-5</v>
      </c>
      <c r="G57" s="64">
        <f>IFERROR(up_RadSpec!$I$29*G29,".")*$B$57</f>
        <v>3208.3006083397499</v>
      </c>
      <c r="H57" s="64">
        <f>IFERROR(up_RadSpec!$G$29*H29,".")*$B$57</f>
        <v>1.2926876660050206</v>
      </c>
      <c r="I57" s="64">
        <f>IFERROR(up_RadSpec!$F$29*I29,".")*$B$57</f>
        <v>4.1244749654104238</v>
      </c>
      <c r="J57" s="73">
        <f t="shared" si="43"/>
        <v>1</v>
      </c>
      <c r="K57" s="73">
        <f t="shared" si="43"/>
        <v>0.72546805951030835</v>
      </c>
      <c r="L57" s="73">
        <f t="shared" si="43"/>
        <v>0.98382801678987186</v>
      </c>
      <c r="M57" s="73">
        <f t="shared" si="44"/>
        <v>1</v>
      </c>
      <c r="N57" s="56">
        <f t="shared" ref="N57:AD57" si="57">IFERROR(N29/$B57,0)</f>
        <v>1.3469593212689498E-2</v>
      </c>
      <c r="O57" s="56">
        <f t="shared" si="57"/>
        <v>2.6878109727410501E-2</v>
      </c>
      <c r="P57" s="56">
        <f t="shared" si="57"/>
        <v>1.9147851056235173E-2</v>
      </c>
      <c r="Q57" s="56">
        <f t="shared" si="57"/>
        <v>1.6242320930781859E-2</v>
      </c>
      <c r="R57" s="56">
        <f t="shared" si="57"/>
        <v>4.8264472462811847E-2</v>
      </c>
      <c r="S57" s="64">
        <f>IFERROR(up_RadSpec!$F$29*S29,".")*$B$57</f>
        <v>4.1244749654104238</v>
      </c>
      <c r="T57" s="64">
        <f>IFERROR(up_RadSpec!$M$29*T29,".")*$B$57</f>
        <v>2.0669236253375578</v>
      </c>
      <c r="U57" s="64">
        <f>IFERROR(up_RadSpec!$N$29*U29,".")*$B$57</f>
        <v>2.9013699676710956</v>
      </c>
      <c r="V57" s="64">
        <f>IFERROR(up_RadSpec!$O$29*V29,".")*$B$57</f>
        <v>3.4203855616911345</v>
      </c>
      <c r="W57" s="64">
        <f>IFERROR(up_RadSpec!$K$29*W29,".")*$B$57</f>
        <v>1.1510537081453764</v>
      </c>
      <c r="X57" s="73">
        <f t="shared" si="46"/>
        <v>0.98382801678987186</v>
      </c>
      <c r="Y57" s="73">
        <f t="shared" si="46"/>
        <v>0.87342542582434091</v>
      </c>
      <c r="Z57" s="73">
        <f t="shared" si="46"/>
        <v>0.94505210836569664</v>
      </c>
      <c r="AA57" s="73">
        <f t="shared" si="46"/>
        <v>0.96730017529154932</v>
      </c>
      <c r="AB57" s="73">
        <f t="shared" si="46"/>
        <v>0.68369669764465357</v>
      </c>
      <c r="AC57" s="56">
        <f t="shared" si="57"/>
        <v>1.3852816623377178E-7</v>
      </c>
      <c r="AD57" s="56">
        <f t="shared" si="57"/>
        <v>7.5844171012990041E-4</v>
      </c>
      <c r="AE57" s="56">
        <f t="shared" si="47"/>
        <v>1.3850286890611771E-7</v>
      </c>
      <c r="AF57" s="64">
        <f>IFERROR(up_RadSpec!$G$29*AF29,".")*$B$57</f>
        <v>401037.57604246872</v>
      </c>
      <c r="AG57" s="64">
        <f>IFERROR(up_RadSpec!$J$29*AG29,".")*$B$57</f>
        <v>73.248872336523945</v>
      </c>
      <c r="AH57" s="73">
        <f t="shared" si="48"/>
        <v>1</v>
      </c>
      <c r="AI57" s="73">
        <f t="shared" si="48"/>
        <v>1</v>
      </c>
      <c r="AJ57" s="73">
        <f t="shared" si="49"/>
        <v>1</v>
      </c>
    </row>
    <row r="58" spans="1:36" x14ac:dyDescent="0.25">
      <c r="A58" s="55" t="s">
        <v>314</v>
      </c>
      <c r="B58" s="50">
        <v>1</v>
      </c>
      <c r="C58" s="56">
        <f>IFERROR(C16/$B58,0)</f>
        <v>3.6363636363636364E-9</v>
      </c>
      <c r="D58" s="56">
        <f>IFERROR(D16/$B58,0)</f>
        <v>9.0250320889537196E-6</v>
      </c>
      <c r="E58" s="56">
        <f>IFERROR(E16/$B58,0)</f>
        <v>7.6494620302510558E-2</v>
      </c>
      <c r="F58" s="56">
        <f t="shared" si="20"/>
        <v>3.6348988910319158E-9</v>
      </c>
      <c r="G58" s="64">
        <f>IFERROR(up_RadSpec!$I$16*G16,".")*$B$58</f>
        <v>15277625</v>
      </c>
      <c r="H58" s="64">
        <f>IFERROR(up_RadSpec!$G$16*H16,".")*$B$58</f>
        <v>6155.6567835362166</v>
      </c>
      <c r="I58" s="64">
        <f>IFERROR(up_RadSpec!$F$16*I16,".")*$B$58</f>
        <v>0.72626022301043658</v>
      </c>
      <c r="J58" s="73">
        <f t="shared" si="43"/>
        <v>1</v>
      </c>
      <c r="K58" s="73">
        <f t="shared" si="43"/>
        <v>1</v>
      </c>
      <c r="L58" s="73">
        <f t="shared" si="43"/>
        <v>0.5162854035795148</v>
      </c>
      <c r="M58" s="73">
        <f t="shared" si="44"/>
        <v>1</v>
      </c>
      <c r="N58" s="56">
        <f t="shared" ref="N58:AD58" si="58">IFERROR(N16/$B58,0)</f>
        <v>7.6494620302510558E-2</v>
      </c>
      <c r="O58" s="56">
        <f t="shared" si="58"/>
        <v>0.13623429416112345</v>
      </c>
      <c r="P58" s="56">
        <f t="shared" si="58"/>
        <v>8.1841380561977761E-2</v>
      </c>
      <c r="Q58" s="56">
        <f t="shared" si="58"/>
        <v>8.2264249380461771E-2</v>
      </c>
      <c r="R58" s="56">
        <f t="shared" si="58"/>
        <v>3.1854545454545455</v>
      </c>
      <c r="S58" s="64">
        <f>IFERROR(up_RadSpec!$F$16*S16,".")*$B$58</f>
        <v>0.72626022301043658</v>
      </c>
      <c r="T58" s="64">
        <f>IFERROR(up_RadSpec!$M$16*T16,".")*$B$58</f>
        <v>0.40779012613590104</v>
      </c>
      <c r="U58" s="64">
        <f>IFERROR(up_RadSpec!$N$16*U16,".")*$B$58</f>
        <v>0.67881308475641711</v>
      </c>
      <c r="V58" s="64">
        <f>IFERROR(up_RadSpec!$O$16*V16,".")*$B$58</f>
        <v>0.67532373319380989</v>
      </c>
      <c r="W58" s="64">
        <f>IFERROR(up_RadSpec!$K$16*W16,".")*$B$58</f>
        <v>1.7440211187214609E-2</v>
      </c>
      <c r="X58" s="73">
        <f t="shared" si="46"/>
        <v>0.5162854035795148</v>
      </c>
      <c r="Y58" s="73">
        <f t="shared" si="46"/>
        <v>0.33488154484455557</v>
      </c>
      <c r="Z58" s="73">
        <f t="shared" si="46"/>
        <v>0.49278133920943523</v>
      </c>
      <c r="AA58" s="73">
        <f t="shared" si="46"/>
        <v>0.49100838354891563</v>
      </c>
      <c r="AB58" s="73">
        <f t="shared" si="46"/>
        <v>1.7289010967995955E-2</v>
      </c>
      <c r="AC58" s="56">
        <f t="shared" si="58"/>
        <v>2.9090909090909089E-11</v>
      </c>
      <c r="AD58" s="56">
        <f t="shared" si="58"/>
        <v>1.5927272727272726E-7</v>
      </c>
      <c r="AE58" s="56">
        <f t="shared" si="47"/>
        <v>2.9085596653164224E-11</v>
      </c>
      <c r="AF58" s="64">
        <f>IFERROR(up_RadSpec!$G$16*AF16,".")*$B$58</f>
        <v>1909703125</v>
      </c>
      <c r="AG58" s="64">
        <f>IFERROR(up_RadSpec!$J$16*AG16,".")*$B$58</f>
        <v>348804.22374429216</v>
      </c>
      <c r="AH58" s="73">
        <f t="shared" si="48"/>
        <v>1</v>
      </c>
      <c r="AI58" s="73">
        <f t="shared" si="48"/>
        <v>1</v>
      </c>
      <c r="AJ58" s="73">
        <f t="shared" si="49"/>
        <v>1</v>
      </c>
    </row>
    <row r="59" spans="1:36" x14ac:dyDescent="0.25">
      <c r="A59" s="55" t="s">
        <v>315</v>
      </c>
      <c r="B59" s="50">
        <v>1</v>
      </c>
      <c r="C59" s="56">
        <f>IFERROR(C7/$B59,0)</f>
        <v>3.6363636363636364E-9</v>
      </c>
      <c r="D59" s="56">
        <f>IFERROR(D7/$B59,0)</f>
        <v>9.0250320889537196E-6</v>
      </c>
      <c r="E59" s="56">
        <f>IFERROR(E7/$B59,0)</f>
        <v>9.1843397478433964E-6</v>
      </c>
      <c r="F59" s="56">
        <f t="shared" si="20"/>
        <v>3.633461043767029E-9</v>
      </c>
      <c r="G59" s="64">
        <f>IFERROR(up_RadSpec!$I$7*G7,".")*$B$59</f>
        <v>15277625</v>
      </c>
      <c r="H59" s="64">
        <f>IFERROR(up_RadSpec!$G$7*H7,".")*$B$59</f>
        <v>6155.6567835362166</v>
      </c>
      <c r="I59" s="64">
        <f>IFERROR(up_RadSpec!$F$7*I7,".")*$B$59</f>
        <v>6048.8833737934237</v>
      </c>
      <c r="J59" s="73">
        <f t="shared" si="43"/>
        <v>1</v>
      </c>
      <c r="K59" s="73">
        <f t="shared" si="43"/>
        <v>1</v>
      </c>
      <c r="L59" s="73">
        <f t="shared" si="43"/>
        <v>1</v>
      </c>
      <c r="M59" s="73">
        <f t="shared" si="44"/>
        <v>1</v>
      </c>
      <c r="N59" s="56">
        <f t="shared" ref="N59:AD59" si="59">IFERROR(N7/$B59,0)</f>
        <v>9.1843397478433964E-6</v>
      </c>
      <c r="O59" s="56">
        <f t="shared" si="59"/>
        <v>1.4611153552330032E-5</v>
      </c>
      <c r="P59" s="56">
        <f t="shared" si="59"/>
        <v>1.0704545454545454E-5</v>
      </c>
      <c r="Q59" s="56">
        <f t="shared" si="59"/>
        <v>9.8471359678034877E-6</v>
      </c>
      <c r="R59" s="56">
        <f t="shared" si="59"/>
        <v>2.5004236405305914E-5</v>
      </c>
      <c r="S59" s="64">
        <f>IFERROR(up_RadSpec!$F$7*S7,".")*$B$59</f>
        <v>6048.8833737934237</v>
      </c>
      <c r="T59" s="64">
        <f>IFERROR(up_RadSpec!$M$7*T7,".")*$B$59</f>
        <v>3802.2323015789998</v>
      </c>
      <c r="U59" s="64">
        <f>IFERROR(up_RadSpec!$N$7*U7,".")*$B$59</f>
        <v>5189.8513800424607</v>
      </c>
      <c r="V59" s="64">
        <f>IFERROR(up_RadSpec!$O$7*V7,".")*$B$59</f>
        <v>5641.7419421895274</v>
      </c>
      <c r="W59" s="64">
        <f>IFERROR(up_RadSpec!$K$7*W7,".")*$B$59</f>
        <v>2221.8234982057352</v>
      </c>
      <c r="X59" s="73">
        <f t="shared" si="46"/>
        <v>1</v>
      </c>
      <c r="Y59" s="73">
        <f t="shared" si="46"/>
        <v>1</v>
      </c>
      <c r="Z59" s="73">
        <f t="shared" si="46"/>
        <v>1</v>
      </c>
      <c r="AA59" s="73">
        <f t="shared" si="46"/>
        <v>1</v>
      </c>
      <c r="AB59" s="73">
        <f t="shared" si="46"/>
        <v>1</v>
      </c>
      <c r="AC59" s="56">
        <f t="shared" si="59"/>
        <v>2.9090909090909089E-11</v>
      </c>
      <c r="AD59" s="56">
        <f t="shared" si="59"/>
        <v>1.5927272727272726E-7</v>
      </c>
      <c r="AE59" s="56">
        <f t="shared" si="47"/>
        <v>2.9085596653164224E-11</v>
      </c>
      <c r="AF59" s="64">
        <f>IFERROR(up_RadSpec!$G$7*AF7,".")*$B$59</f>
        <v>1909703125</v>
      </c>
      <c r="AG59" s="64">
        <f>IFERROR(up_RadSpec!$J$7*AG7,".")*$B$59</f>
        <v>348804.22374429216</v>
      </c>
      <c r="AH59" s="73">
        <f t="shared" si="48"/>
        <v>1</v>
      </c>
      <c r="AI59" s="73">
        <f t="shared" si="48"/>
        <v>1</v>
      </c>
      <c r="AJ59" s="73">
        <f t="shared" si="49"/>
        <v>1</v>
      </c>
    </row>
    <row r="60" spans="1:36" x14ac:dyDescent="0.25">
      <c r="A60" s="55" t="s">
        <v>316</v>
      </c>
      <c r="B60" s="59">
        <v>1.9000000000000001E-8</v>
      </c>
      <c r="C60" s="56">
        <f>IFERROR(C12/$B60,0)</f>
        <v>0.19138755980861244</v>
      </c>
      <c r="D60" s="56">
        <f>IFERROR(D12/$B60,0)</f>
        <v>475.00168889230099</v>
      </c>
      <c r="E60" s="56">
        <f>IFERROR(E12/$B60,0)</f>
        <v>375.16872799494445</v>
      </c>
      <c r="F60" s="56">
        <f t="shared" si="20"/>
        <v>0.19121297145883548</v>
      </c>
      <c r="G60" s="64">
        <f>IFERROR(up_RadSpec!$I$12*G12,".")*$B$60</f>
        <v>0.29027487500000004</v>
      </c>
      <c r="H60" s="64">
        <f>IFERROR(up_RadSpec!$G$12*H12,".")*$B$60</f>
        <v>1.1695747888718812E-4</v>
      </c>
      <c r="I60" s="64">
        <f>IFERROR(up_RadSpec!$F$12*I12,".")*$B$60</f>
        <v>1.4808003933832305E-4</v>
      </c>
      <c r="J60" s="73">
        <f t="shared" si="43"/>
        <v>0.25194208310416244</v>
      </c>
      <c r="K60" s="73">
        <f t="shared" si="43"/>
        <v>1.1695747888718812E-4</v>
      </c>
      <c r="L60" s="73">
        <f t="shared" si="43"/>
        <v>1.4808003933832305E-4</v>
      </c>
      <c r="M60" s="73">
        <f t="shared" si="44"/>
        <v>0.2521403202466449</v>
      </c>
      <c r="N60" s="56">
        <f t="shared" ref="N60:AD60" si="60">IFERROR(N12/$B60,0)</f>
        <v>375.16872799494445</v>
      </c>
      <c r="O60" s="56">
        <f t="shared" si="60"/>
        <v>673.07676010623607</v>
      </c>
      <c r="P60" s="56">
        <f t="shared" si="60"/>
        <v>488.039636348236</v>
      </c>
      <c r="Q60" s="56">
        <f t="shared" si="60"/>
        <v>431.00706650788999</v>
      </c>
      <c r="R60" s="56">
        <f t="shared" si="60"/>
        <v>1161.8982521238161</v>
      </c>
      <c r="S60" s="64">
        <f>IFERROR(up_RadSpec!$F$12*S12,".")*$B$60</f>
        <v>1.4808003933832305E-4</v>
      </c>
      <c r="T60" s="64">
        <f>IFERROR(up_RadSpec!$M$12*T12,".")*$B$60</f>
        <v>8.2538877127820274E-5</v>
      </c>
      <c r="U60" s="64">
        <f>IFERROR(up_RadSpec!$N$12*U12,".")*$B$60</f>
        <v>1.1383296737062408E-4</v>
      </c>
      <c r="V60" s="64">
        <f>IFERROR(up_RadSpec!$O$12*V12,".")*$B$60</f>
        <v>1.2889579850770963E-4</v>
      </c>
      <c r="W60" s="64">
        <f>IFERROR(up_RadSpec!$K$12*W12,".")*$B$60</f>
        <v>4.7813997394739049E-5</v>
      </c>
      <c r="X60" s="73">
        <f t="shared" si="46"/>
        <v>1.4808003933832305E-4</v>
      </c>
      <c r="Y60" s="73">
        <f t="shared" si="46"/>
        <v>8.2538877127820274E-5</v>
      </c>
      <c r="Z60" s="73">
        <f t="shared" si="46"/>
        <v>1.1383296737062408E-4</v>
      </c>
      <c r="AA60" s="73">
        <f t="shared" si="46"/>
        <v>1.2889579850770963E-4</v>
      </c>
      <c r="AB60" s="73">
        <f t="shared" si="46"/>
        <v>4.7813997394739049E-5</v>
      </c>
      <c r="AC60" s="56">
        <f t="shared" si="60"/>
        <v>1.5311004784688993E-3</v>
      </c>
      <c r="AD60" s="56">
        <f t="shared" si="60"/>
        <v>8.3827751196172233</v>
      </c>
      <c r="AE60" s="56">
        <f t="shared" si="47"/>
        <v>1.5308208764823273E-3</v>
      </c>
      <c r="AF60" s="64">
        <f>IFERROR(up_RadSpec!$G$12*AF12,".")*$B$60</f>
        <v>36.284359375000001</v>
      </c>
      <c r="AG60" s="64">
        <f>IFERROR(up_RadSpec!$J$12*AG12,".")*$B$60</f>
        <v>6.6272802511415513E-3</v>
      </c>
      <c r="AH60" s="73">
        <f t="shared" si="48"/>
        <v>0.99999999999999978</v>
      </c>
      <c r="AI60" s="73">
        <f t="shared" si="48"/>
        <v>6.6272802511415513E-3</v>
      </c>
      <c r="AJ60" s="73">
        <f t="shared" si="49"/>
        <v>0.99999999999999978</v>
      </c>
    </row>
    <row r="61" spans="1:36" x14ac:dyDescent="0.25">
      <c r="A61" s="55" t="s">
        <v>317</v>
      </c>
      <c r="B61" s="50">
        <v>1</v>
      </c>
      <c r="C61" s="56">
        <f>IFERROR(C18/$B61,0)</f>
        <v>3.6363636363636364E-9</v>
      </c>
      <c r="D61" s="56">
        <f>IFERROR(D18/$B61,0)</f>
        <v>9.0250320889537196E-6</v>
      </c>
      <c r="E61" s="56">
        <f>IFERROR(E18/$B61,0)</f>
        <v>3.5819104981705612E-6</v>
      </c>
      <c r="F61" s="56">
        <f t="shared" si="20"/>
        <v>3.6312141316916604E-9</v>
      </c>
      <c r="G61" s="64">
        <f>IFERROR(up_RadSpec!$I$18*G18,".")*$B$61</f>
        <v>15277625</v>
      </c>
      <c r="H61" s="64">
        <f>IFERROR(up_RadSpec!$G$18*H18,".")*$B$61</f>
        <v>6155.6567835362166</v>
      </c>
      <c r="I61" s="64">
        <f>IFERROR(up_RadSpec!$F$18*I18,".")*$B$61</f>
        <v>15509.879442374222</v>
      </c>
      <c r="J61" s="73">
        <f t="shared" si="43"/>
        <v>1</v>
      </c>
      <c r="K61" s="73">
        <f t="shared" si="43"/>
        <v>1</v>
      </c>
      <c r="L61" s="73">
        <f t="shared" si="43"/>
        <v>1</v>
      </c>
      <c r="M61" s="73">
        <f t="shared" si="44"/>
        <v>1</v>
      </c>
      <c r="N61" s="56">
        <f t="shared" ref="N61:AD61" si="61">IFERROR(N18/$B61,0)</f>
        <v>3.5819104981705612E-6</v>
      </c>
      <c r="O61" s="56">
        <f t="shared" si="61"/>
        <v>7.087561164048418E-6</v>
      </c>
      <c r="P61" s="56">
        <f t="shared" si="61"/>
        <v>4.9633877043552491E-6</v>
      </c>
      <c r="Q61" s="56">
        <f t="shared" si="61"/>
        <v>4.1122563526890516E-6</v>
      </c>
      <c r="R61" s="56">
        <f t="shared" si="61"/>
        <v>1.2047552447552445E-5</v>
      </c>
      <c r="S61" s="64">
        <f>IFERROR(up_RadSpec!$F$18*S18,".")*$B$61</f>
        <v>15509.879442374222</v>
      </c>
      <c r="T61" s="64">
        <f>IFERROR(up_RadSpec!$M$18*T18,".")*$B$61</f>
        <v>7838.3803277497173</v>
      </c>
      <c r="U61" s="64">
        <f>IFERROR(up_RadSpec!$N$18*U18,".")*$B$61</f>
        <v>11192.959992073931</v>
      </c>
      <c r="V61" s="64">
        <f>IFERROR(up_RadSpec!$O$18*V18,".")*$B$61</f>
        <v>13509.614974190979</v>
      </c>
      <c r="W61" s="64">
        <f>IFERROR(up_RadSpec!$K$18*W18,".")*$B$61</f>
        <v>4611.3100766194566</v>
      </c>
      <c r="X61" s="73">
        <f t="shared" si="46"/>
        <v>1</v>
      </c>
      <c r="Y61" s="73">
        <f t="shared" si="46"/>
        <v>1</v>
      </c>
      <c r="Z61" s="73">
        <f t="shared" si="46"/>
        <v>1</v>
      </c>
      <c r="AA61" s="73">
        <f t="shared" si="46"/>
        <v>1</v>
      </c>
      <c r="AB61" s="73">
        <f t="shared" si="46"/>
        <v>1</v>
      </c>
      <c r="AC61" s="56">
        <f t="shared" si="61"/>
        <v>2.9090909090909089E-11</v>
      </c>
      <c r="AD61" s="56">
        <f t="shared" si="61"/>
        <v>1.5927272727272726E-7</v>
      </c>
      <c r="AE61" s="56">
        <f t="shared" si="47"/>
        <v>2.9085596653164224E-11</v>
      </c>
      <c r="AF61" s="64">
        <f>IFERROR(up_RadSpec!$G$18*AF18,".")*$B$61</f>
        <v>1909703125</v>
      </c>
      <c r="AG61" s="64">
        <f>IFERROR(up_RadSpec!$J$18*AG18,".")*$B$61</f>
        <v>348804.22374429216</v>
      </c>
      <c r="AH61" s="73">
        <f t="shared" si="48"/>
        <v>1</v>
      </c>
      <c r="AI61" s="73">
        <f t="shared" si="48"/>
        <v>1</v>
      </c>
      <c r="AJ61" s="73">
        <f t="shared" si="49"/>
        <v>1</v>
      </c>
    </row>
    <row r="62" spans="1:36" x14ac:dyDescent="0.25">
      <c r="A62" s="55" t="s">
        <v>318</v>
      </c>
      <c r="B62" s="50">
        <v>1.339E-6</v>
      </c>
      <c r="C62" s="56">
        <f>IFERROR(C27/$B62,0)</f>
        <v>2.7157308710706769E-3</v>
      </c>
      <c r="D62" s="56">
        <f>IFERROR(D27/$B62,0)</f>
        <v>6.7401285205031511</v>
      </c>
      <c r="E62" s="56">
        <f>IFERROR(E27/$B62,0)</f>
        <v>4.3901003530817375</v>
      </c>
      <c r="F62" s="56">
        <f t="shared" ref="F62" si="62">IFERROR(SUM(C62:E62),0)</f>
        <v>11.132944604455959</v>
      </c>
      <c r="G62" s="64">
        <f>IFERROR(up_RadSpec!$I$27*G27,".")*$B$62</f>
        <v>20.456739875</v>
      </c>
      <c r="H62" s="64">
        <f>IFERROR(up_RadSpec!$G$27*H27,".")*$B$62</f>
        <v>8.2424244331549944E-3</v>
      </c>
      <c r="I62" s="64">
        <f>IFERROR(up_RadSpec!$F$27*I27,".")*$B$62</f>
        <v>1.2654608216644023E-2</v>
      </c>
      <c r="J62" s="73">
        <f t="shared" si="43"/>
        <v>0.99999999869457856</v>
      </c>
      <c r="K62" s="73">
        <f t="shared" si="43"/>
        <v>8.2424244331549944E-3</v>
      </c>
      <c r="L62" s="73">
        <f t="shared" si="43"/>
        <v>1.2574875345876424E-2</v>
      </c>
      <c r="M62" s="73">
        <f t="shared" si="44"/>
        <v>0.99999999872157486</v>
      </c>
      <c r="N62" s="56">
        <f t="shared" ref="N62:AD62" si="63">IFERROR(N27/$B62,0)</f>
        <v>4.3901003530817375</v>
      </c>
      <c r="O62" s="56">
        <f t="shared" si="63"/>
        <v>13.021786593580162</v>
      </c>
      <c r="P62" s="56">
        <f t="shared" si="63"/>
        <v>7.9833343734491127</v>
      </c>
      <c r="Q62" s="56">
        <f t="shared" si="63"/>
        <v>5.8075673411227244</v>
      </c>
      <c r="R62" s="56">
        <f t="shared" si="63"/>
        <v>40.731919794291827</v>
      </c>
      <c r="S62" s="64">
        <f>IFERROR(up_RadSpec!$F$27*S27,".")*$B$62</f>
        <v>1.2654608216644023E-2</v>
      </c>
      <c r="T62" s="64">
        <f>IFERROR(up_RadSpec!$M$27*T27,".")*$B$62</f>
        <v>4.2663116616723723E-3</v>
      </c>
      <c r="U62" s="64">
        <f>IFERROR(up_RadSpec!$N$27*U27,".")*$B$62</f>
        <v>6.9588717447141143E-3</v>
      </c>
      <c r="V62" s="64">
        <f>IFERROR(up_RadSpec!$O$27*V27,".")*$B$62</f>
        <v>9.5659674243674022E-3</v>
      </c>
      <c r="W62" s="64">
        <f>IFERROR(up_RadSpec!$K$27*W27,".")*$B$62</f>
        <v>1.3639180348132148E-3</v>
      </c>
      <c r="X62" s="73">
        <f t="shared" si="46"/>
        <v>1.2574875345876424E-2</v>
      </c>
      <c r="Y62" s="73">
        <f t="shared" si="46"/>
        <v>4.2663116616723723E-3</v>
      </c>
      <c r="Z62" s="73">
        <f t="shared" si="46"/>
        <v>6.9588717447141143E-3</v>
      </c>
      <c r="AA62" s="73">
        <f t="shared" si="46"/>
        <v>9.5659674243674022E-3</v>
      </c>
      <c r="AB62" s="73">
        <f t="shared" si="46"/>
        <v>1.3639180348132148E-3</v>
      </c>
      <c r="AC62" s="56">
        <f t="shared" si="63"/>
        <v>2.1725846968565415E-5</v>
      </c>
      <c r="AD62" s="56">
        <f t="shared" si="63"/>
        <v>0.11894901215289563</v>
      </c>
      <c r="AE62" s="56">
        <f t="shared" si="47"/>
        <v>2.1721879501989711E-5</v>
      </c>
      <c r="AF62" s="64">
        <f>IFERROR(up_RadSpec!$G$27*AF27,".")*$B$62</f>
        <v>2557.0924843749999</v>
      </c>
      <c r="AG62" s="64">
        <f>IFERROR(up_RadSpec!$J$27*AG27,".")*$B$62</f>
        <v>0.4670488555936072</v>
      </c>
      <c r="AH62" s="73">
        <f t="shared" si="48"/>
        <v>1</v>
      </c>
      <c r="AI62" s="73">
        <f t="shared" si="48"/>
        <v>0.37315053543843246</v>
      </c>
      <c r="AJ62" s="73">
        <f t="shared" si="49"/>
        <v>1</v>
      </c>
    </row>
    <row r="63" spans="1:36" x14ac:dyDescent="0.25">
      <c r="A63" s="52" t="s">
        <v>35</v>
      </c>
      <c r="B63" s="52" t="s">
        <v>289</v>
      </c>
      <c r="C63" s="53">
        <f>1/SUM(1/C66,1/C68,1/C72,1/C73,1/C75)</f>
        <v>7.2730184843873871E-10</v>
      </c>
      <c r="D63" s="53">
        <f>1/SUM(1/D64,1/D65,1/D66,1/D68,1/D72,1/D73,1/D75)</f>
        <v>1.289327173179113E-6</v>
      </c>
      <c r="E63" s="53">
        <f>1/SUM(1/E64,1/E66,1/E68,1/E69,1/E70,1/E71,1/E72,1/E73,1/E74,1/E75,1/E76)</f>
        <v>7.2020093032882845E-7</v>
      </c>
      <c r="F63" s="54">
        <f>1/SUM(1/F64,1/F65,1/F66,1/F68,1/F69,1/F70,1/F71,1/F72,1/F73,1/F74,1/F75,1/F76)</f>
        <v>4.5408718227261119E-10</v>
      </c>
      <c r="G63" s="71"/>
      <c r="H63" s="71"/>
      <c r="I63" s="71"/>
      <c r="J63" s="72">
        <f>IFERROR(IF(SUM(G64:G76)&gt;0.01,1-EXP(-SUM(G64:G76)),SUM(G64:G76)),".")</f>
        <v>1</v>
      </c>
      <c r="K63" s="72">
        <f>IFERROR(IF(SUM(H64:H76)&gt;0.01,1-EXP(-SUM(H64:H76)),SUM(H64:H76)),".")</f>
        <v>1</v>
      </c>
      <c r="L63" s="72">
        <f>IFERROR(IF(SUM(I64:I76)&gt;0.01,1-EXP(-SUM(I64:I76)),SUM(I64:I76)),".")</f>
        <v>1</v>
      </c>
      <c r="M63" s="72">
        <f>IFERROR(IF(SUM(G64:I76)&gt;0.01,1-EXP(-SUM(G64:I76)),SUM(G64:I76)),".")</f>
        <v>1</v>
      </c>
      <c r="N63" s="53">
        <f t="shared" ref="N63:R63" si="64">1/SUM(1/N64,1/N66,1/N68,1/N69,1/N70,1/N71,1/N72,1/N73,1/N74,1/N75,1/N76)</f>
        <v>7.2020093032882845E-7</v>
      </c>
      <c r="O63" s="53">
        <f t="shared" si="64"/>
        <v>1.3719761599145529E-6</v>
      </c>
      <c r="P63" s="53">
        <f t="shared" si="64"/>
        <v>9.7701532463028106E-7</v>
      </c>
      <c r="Q63" s="53">
        <f t="shared" si="64"/>
        <v>8.330415641576592E-7</v>
      </c>
      <c r="R63" s="53">
        <f t="shared" si="64"/>
        <v>2.4088991591820396E-6</v>
      </c>
      <c r="S63" s="71"/>
      <c r="T63" s="71"/>
      <c r="U63" s="71"/>
      <c r="V63" s="71"/>
      <c r="W63" s="71"/>
      <c r="X63" s="72">
        <f>IFERROR(IF(SUM(S64:S76)&gt;0.01,1-EXP(-SUM(S64:S76)),SUM(S64:S76)),".")</f>
        <v>1</v>
      </c>
      <c r="Y63" s="72">
        <f t="shared" ref="Y63:AB63" si="65">IFERROR(IF(SUM(T64:T76)&gt;0.01,1-EXP(-SUM(T64:T76)),SUM(T64:T76)),".")</f>
        <v>1</v>
      </c>
      <c r="Z63" s="72">
        <f t="shared" si="65"/>
        <v>1</v>
      </c>
      <c r="AA63" s="72">
        <f t="shared" si="65"/>
        <v>1</v>
      </c>
      <c r="AB63" s="72">
        <f t="shared" si="65"/>
        <v>1</v>
      </c>
      <c r="AC63" s="53">
        <f>1/SUM(1/AC64,1/AC65,1/AC66,1/AC68,1/AC72,1/AC73,1/AC75)</f>
        <v>4.1559630163864246E-12</v>
      </c>
      <c r="AD63" s="53">
        <f t="shared" ref="AD63:AE63" si="66">1/SUM(1/AD64,1/AD65,1/AD66,1/AD67,1/AD68,1/AD69,1/AD70,1/AD71,1/AD72,1/AD73,1/AD74,1/AD75,1/AD76)</f>
        <v>1.99090875295233E-8</v>
      </c>
      <c r="AE63" s="54">
        <f t="shared" si="66"/>
        <v>3.6356989644856286E-12</v>
      </c>
      <c r="AF63" s="71"/>
      <c r="AG63" s="71"/>
      <c r="AH63" s="72">
        <f>IFERROR(IF(SUM(AF64:AF76)&gt;0.01,1-EXP(-SUM(AF64:AF76)),SUM(AF64:AF76)),".")</f>
        <v>1</v>
      </c>
      <c r="AI63" s="72">
        <f>IFERROR(IF(SUM(AG64:AG76)&gt;0.01,1-EXP(-SUM(AG64:AG76)),SUM(AG64:AG76)),".")</f>
        <v>1</v>
      </c>
      <c r="AJ63" s="72">
        <f>IFERROR(IF(SUM(AF64:AG76)&gt;0.01,1-EXP(-SUM(AF64:AG76)),SUM(AF64:AG76)),".")</f>
        <v>1</v>
      </c>
    </row>
    <row r="64" spans="1:36" x14ac:dyDescent="0.25">
      <c r="A64" s="55" t="s">
        <v>306</v>
      </c>
      <c r="B64" s="60">
        <v>1</v>
      </c>
      <c r="C64" s="56">
        <f>IFERROR(C25/$B50,0)</f>
        <v>3.6363636363636364E-9</v>
      </c>
      <c r="D64" s="56">
        <f>IFERROR(D25/$B50,0)</f>
        <v>9.0250320889537196E-6</v>
      </c>
      <c r="E64" s="56">
        <f>IFERROR(E25/$B50,0)</f>
        <v>5.117196056955094E-6</v>
      </c>
      <c r="F64" s="56">
        <f t="shared" ref="F64:F76" si="67">IF(AND(C64&lt;&gt;0,D64&lt;&gt;0,E64&lt;&gt;0),1/((1/C64)+(1/D64)+(1/E64)),IF(AND(C64&lt;&gt;0,D64&lt;&gt;0,E64=0), 1/((1/C64)+(1/D64)),IF(AND(C64&lt;&gt;0,D64=0,E64&lt;&gt;0),1/((1/C64)+(1/E64)),IF(AND(C64=0,D64&lt;&gt;0,E64&lt;&gt;0),1/((1/D64)+(1/E64)),IF(AND(C64&lt;&gt;0,D64=0,E64=0),1/((1/C64)),IF(AND(C64=0,D64&lt;&gt;0,E64=0),1/((1/D64)),IF(AND(C64=0,D64=0,E64&lt;&gt;0),1/((1/E64)),IF(AND(C64=0,D64=0,E64=0),0))))))))</f>
        <v>3.6323189178157529E-9</v>
      </c>
      <c r="G64" s="64">
        <f>IFERROR(up_RadSpec!$I$25*G25,".")*$B$64</f>
        <v>15277625</v>
      </c>
      <c r="H64" s="64">
        <f>IFERROR(up_RadSpec!$G$25*H25,".")*$B$64</f>
        <v>6155.6567835362166</v>
      </c>
      <c r="I64" s="64">
        <f>IFERROR(up_RadSpec!$F$25*I25,".")*$B$64</f>
        <v>10856.531464041092</v>
      </c>
      <c r="J64" s="73">
        <f t="shared" ref="J64:L76" si="68">IFERROR(IF(G64&gt;0.01,1-EXP(-G64),G64),".")</f>
        <v>1</v>
      </c>
      <c r="K64" s="73">
        <f t="shared" si="68"/>
        <v>1</v>
      </c>
      <c r="L64" s="73">
        <f t="shared" si="68"/>
        <v>1</v>
      </c>
      <c r="M64" s="73">
        <f t="shared" ref="M64:M76" si="69">IFERROR(IF(SUM(G64:I64)&gt;0.01,1-EXP(-SUM(G64:I64)),SUM(G64:I64)),".")</f>
        <v>1</v>
      </c>
      <c r="N64" s="56">
        <f t="shared" ref="N64:AD64" si="70">IFERROR(N25/$B50,0)</f>
        <v>5.117196056955094E-6</v>
      </c>
      <c r="O64" s="56">
        <f t="shared" si="70"/>
        <v>9.1638362553616773E-6</v>
      </c>
      <c r="P64" s="56">
        <f t="shared" si="70"/>
        <v>6.5732694272020127E-6</v>
      </c>
      <c r="Q64" s="56">
        <f t="shared" si="70"/>
        <v>5.8697641341709141E-6</v>
      </c>
      <c r="R64" s="56">
        <f t="shared" si="70"/>
        <v>1.6429752066115701E-5</v>
      </c>
      <c r="S64" s="64">
        <f>IFERROR(up_RadSpec!$F$25*S25,".")*$B$64</f>
        <v>10856.531464041092</v>
      </c>
      <c r="T64" s="64">
        <f>IFERROR(up_RadSpec!$M$25*T25,".")*$B$64</f>
        <v>6062.4173601416405</v>
      </c>
      <c r="U64" s="64">
        <f>IFERROR(up_RadSpec!$N$25*U25,".")*$B$64</f>
        <v>8451.6541753329002</v>
      </c>
      <c r="V64" s="64">
        <f>IFERROR(up_RadSpec!$O$25*V25,".")*$B$64</f>
        <v>9464.6051749483049</v>
      </c>
      <c r="W64" s="64">
        <f>IFERROR(up_RadSpec!$K$25*W25,".")*$B$64</f>
        <v>3381.3656941649897</v>
      </c>
      <c r="X64" s="73">
        <f t="shared" ref="X64:AB76" si="71">IFERROR(IF(S64&gt;0.01,1-EXP(-S64),S64),".")</f>
        <v>1</v>
      </c>
      <c r="Y64" s="73">
        <f t="shared" si="71"/>
        <v>1</v>
      </c>
      <c r="Z64" s="73">
        <f t="shared" si="71"/>
        <v>1</v>
      </c>
      <c r="AA64" s="73">
        <f t="shared" si="71"/>
        <v>1</v>
      </c>
      <c r="AB64" s="73">
        <f t="shared" si="71"/>
        <v>1</v>
      </c>
      <c r="AC64" s="56">
        <f t="shared" si="70"/>
        <v>2.9090909090909089E-11</v>
      </c>
      <c r="AD64" s="56">
        <f t="shared" si="70"/>
        <v>1.5927272727272726E-7</v>
      </c>
      <c r="AE64" s="56">
        <f t="shared" ref="AE64:AE76" si="72">IFERROR(IF(AND(AC64&lt;&gt;0,AD64&lt;&gt;0),1/((1/AC64)+(1/AD64)),IF(AND(AC64&lt;&gt;0,AD64=0),1/((1/AC64)),IF(AND(AC64=0,AD64&lt;&gt;0),1/((1/AD64)),IF(AND(AC64=0,AD64=0),0)))),0)</f>
        <v>2.9085596653164224E-11</v>
      </c>
      <c r="AF64" s="64">
        <f>IFERROR(up_RadSpec!$G$25*AF25,".")*$B$64</f>
        <v>1909703125</v>
      </c>
      <c r="AG64" s="64">
        <f>IFERROR(up_RadSpec!$J$25*AG25,".")*$B$64</f>
        <v>348804.22374429216</v>
      </c>
      <c r="AH64" s="73">
        <f t="shared" ref="AH64:AI76" si="73">IFERROR(IF(AF64&gt;0.01,1-EXP(-AF64),AF64),".")</f>
        <v>1</v>
      </c>
      <c r="AI64" s="73">
        <f t="shared" si="73"/>
        <v>1</v>
      </c>
      <c r="AJ64" s="73">
        <f t="shared" ref="AJ64:AJ76" si="74">IFERROR(IF(SUM(AF64:AG64)&gt;0.01,1-EXP(-SUM(AF64:AG64)),SUM(AF64:AG64)),".")</f>
        <v>1</v>
      </c>
    </row>
    <row r="65" spans="1:36" x14ac:dyDescent="0.25">
      <c r="A65" s="55" t="s">
        <v>307</v>
      </c>
      <c r="B65" s="60">
        <v>1</v>
      </c>
      <c r="C65" s="56">
        <f>IFERROR(C21/$B51,0)</f>
        <v>3.6363636363636364E-9</v>
      </c>
      <c r="D65" s="56">
        <f>IFERROR(D21/$B51,0)</f>
        <v>9.0250320889537196E-6</v>
      </c>
      <c r="E65" s="56">
        <f>IFERROR(E21/$B51,0)</f>
        <v>0</v>
      </c>
      <c r="F65" s="56">
        <f t="shared" si="67"/>
        <v>3.6348990637563577E-9</v>
      </c>
      <c r="G65" s="64">
        <f>IFERROR(up_RadSpec!$I$21*G21,".")*$B$65</f>
        <v>15277625</v>
      </c>
      <c r="H65" s="64">
        <f>IFERROR(up_RadSpec!$G$21*H21,".")*$B$65</f>
        <v>6155.6567835362166</v>
      </c>
      <c r="I65" s="64">
        <f>IFERROR(up_RadSpec!$F$21*I21,".")*$B$65</f>
        <v>0</v>
      </c>
      <c r="J65" s="73">
        <f t="shared" si="68"/>
        <v>1</v>
      </c>
      <c r="K65" s="73">
        <f t="shared" si="68"/>
        <v>1</v>
      </c>
      <c r="L65" s="73">
        <f t="shared" si="68"/>
        <v>0</v>
      </c>
      <c r="M65" s="73">
        <f t="shared" si="69"/>
        <v>1</v>
      </c>
      <c r="N65" s="56">
        <f t="shared" ref="N65:AD65" si="75">IFERROR(N21/$B51,0)</f>
        <v>0</v>
      </c>
      <c r="O65" s="56">
        <f t="shared" si="75"/>
        <v>0</v>
      </c>
      <c r="P65" s="56">
        <f t="shared" si="75"/>
        <v>0</v>
      </c>
      <c r="Q65" s="56">
        <f t="shared" si="75"/>
        <v>0</v>
      </c>
      <c r="R65" s="56">
        <f t="shared" si="75"/>
        <v>0</v>
      </c>
      <c r="S65" s="64">
        <f>IFERROR(up_RadSpec!$F$21*S21,".")*$B$65</f>
        <v>0</v>
      </c>
      <c r="T65" s="64">
        <f>IFERROR(up_RadSpec!$M$21*T21,".")*$B$65</f>
        <v>0</v>
      </c>
      <c r="U65" s="64">
        <f>IFERROR(up_RadSpec!$N$21*U21,".")*$B$65</f>
        <v>0</v>
      </c>
      <c r="V65" s="64">
        <f>IFERROR(up_RadSpec!$O$21*V21,".")*$B$65</f>
        <v>0</v>
      </c>
      <c r="W65" s="64">
        <f>IFERROR(up_RadSpec!$K$21*W21,".")*$B$65</f>
        <v>0</v>
      </c>
      <c r="X65" s="73">
        <f t="shared" si="71"/>
        <v>0</v>
      </c>
      <c r="Y65" s="73">
        <f t="shared" si="71"/>
        <v>0</v>
      </c>
      <c r="Z65" s="73">
        <f t="shared" si="71"/>
        <v>0</v>
      </c>
      <c r="AA65" s="73">
        <f t="shared" si="71"/>
        <v>0</v>
      </c>
      <c r="AB65" s="73">
        <f t="shared" si="71"/>
        <v>0</v>
      </c>
      <c r="AC65" s="56">
        <f t="shared" si="75"/>
        <v>2.9090909090909089E-11</v>
      </c>
      <c r="AD65" s="56">
        <f t="shared" si="75"/>
        <v>1.5927272727272726E-7</v>
      </c>
      <c r="AE65" s="56">
        <f t="shared" si="72"/>
        <v>2.9085596653164224E-11</v>
      </c>
      <c r="AF65" s="64">
        <f>IFERROR(up_RadSpec!$G$21*AF21,".")*$B$65</f>
        <v>1909703125</v>
      </c>
      <c r="AG65" s="64">
        <f>IFERROR(up_RadSpec!$J$21*AG21,".")*$B$65</f>
        <v>348804.22374429216</v>
      </c>
      <c r="AH65" s="73">
        <f t="shared" si="73"/>
        <v>1</v>
      </c>
      <c r="AI65" s="73">
        <f t="shared" si="73"/>
        <v>1</v>
      </c>
      <c r="AJ65" s="73">
        <f t="shared" si="74"/>
        <v>1</v>
      </c>
    </row>
    <row r="66" spans="1:36" x14ac:dyDescent="0.25">
      <c r="A66" s="55" t="s">
        <v>308</v>
      </c>
      <c r="B66" s="61">
        <v>0.99980000000000002</v>
      </c>
      <c r="C66" s="56">
        <f>IFERROR(C17/$B52,0)</f>
        <v>3.6370910545745514E-9</v>
      </c>
      <c r="D66" s="56">
        <f>IFERROR(D17/$B52,0)</f>
        <v>9.0268374564450091E-6</v>
      </c>
      <c r="E66" s="56">
        <f>IFERROR(E17/$B52,0)</f>
        <v>7.0342285694447E-6</v>
      </c>
      <c r="F66" s="56">
        <f t="shared" si="67"/>
        <v>3.6337480939615323E-9</v>
      </c>
      <c r="G66" s="64">
        <f>IFERROR(up_RadSpec!$I$17*G17,".")*$B$66</f>
        <v>15274569.475</v>
      </c>
      <c r="H66" s="64">
        <f>IFERROR(up_RadSpec!$G$17*H17,".")*$B$66</f>
        <v>6154.4256521795096</v>
      </c>
      <c r="I66" s="64">
        <f>IFERROR(up_RadSpec!$F$17*I17,".")*$B$66</f>
        <v>7897.8098950778967</v>
      </c>
      <c r="J66" s="73">
        <f t="shared" si="68"/>
        <v>1</v>
      </c>
      <c r="K66" s="73">
        <f t="shared" si="68"/>
        <v>1</v>
      </c>
      <c r="L66" s="73">
        <f t="shared" si="68"/>
        <v>1</v>
      </c>
      <c r="M66" s="73">
        <f t="shared" si="69"/>
        <v>1</v>
      </c>
      <c r="N66" s="56">
        <f t="shared" ref="N66:AD66" si="76">IFERROR(N17/$B52,0)</f>
        <v>7.0342285694447E-6</v>
      </c>
      <c r="O66" s="56">
        <f t="shared" si="76"/>
        <v>1.229378552079273E-5</v>
      </c>
      <c r="P66" s="56">
        <f t="shared" si="76"/>
        <v>9.2623153705958528E-6</v>
      </c>
      <c r="Q66" s="56">
        <f t="shared" si="76"/>
        <v>8.2363423450425837E-6</v>
      </c>
      <c r="R66" s="56">
        <f t="shared" si="76"/>
        <v>2.3556566311846341E-5</v>
      </c>
      <c r="S66" s="64">
        <f>IFERROR(up_RadSpec!$F$17*S17,".")*$B$66</f>
        <v>7897.8098950778967</v>
      </c>
      <c r="T66" s="64">
        <f>IFERROR(up_RadSpec!$M$17*T17,".")*$B$66</f>
        <v>4518.9498308750117</v>
      </c>
      <c r="U66" s="64">
        <f>IFERROR(up_RadSpec!$N$17*U17,".")*$B$66</f>
        <v>5997.9603130730047</v>
      </c>
      <c r="V66" s="64">
        <f>IFERROR(up_RadSpec!$O$17*V17,".")*$B$66</f>
        <v>6745.1057365820034</v>
      </c>
      <c r="W66" s="64">
        <f>IFERROR(up_RadSpec!$K$17*W17,".")*$B$66</f>
        <v>2358.3657849175574</v>
      </c>
      <c r="X66" s="73">
        <f t="shared" si="71"/>
        <v>1</v>
      </c>
      <c r="Y66" s="73">
        <f t="shared" si="71"/>
        <v>1</v>
      </c>
      <c r="Z66" s="73">
        <f t="shared" si="71"/>
        <v>1</v>
      </c>
      <c r="AA66" s="73">
        <f t="shared" si="71"/>
        <v>1</v>
      </c>
      <c r="AB66" s="73">
        <f t="shared" si="71"/>
        <v>1</v>
      </c>
      <c r="AC66" s="56">
        <f t="shared" si="76"/>
        <v>2.9096728436596409E-11</v>
      </c>
      <c r="AD66" s="56">
        <f t="shared" si="76"/>
        <v>1.5930458819036533E-7</v>
      </c>
      <c r="AE66" s="56">
        <f t="shared" si="72"/>
        <v>2.909141493615145E-11</v>
      </c>
      <c r="AF66" s="64">
        <f>IFERROR(up_RadSpec!$G$17*AF17,".")*$B$66</f>
        <v>1909321184.375</v>
      </c>
      <c r="AG66" s="64">
        <f>IFERROR(up_RadSpec!$J$17*AG17,".")*$B$66</f>
        <v>348734.46289954329</v>
      </c>
      <c r="AH66" s="73">
        <f t="shared" si="73"/>
        <v>1</v>
      </c>
      <c r="AI66" s="73">
        <f t="shared" si="73"/>
        <v>1</v>
      </c>
      <c r="AJ66" s="73">
        <f t="shared" si="74"/>
        <v>1</v>
      </c>
    </row>
    <row r="67" spans="1:36" x14ac:dyDescent="0.25">
      <c r="A67" s="55" t="s">
        <v>309</v>
      </c>
      <c r="B67" s="60">
        <v>2.0000000000000001E-4</v>
      </c>
      <c r="C67" s="56">
        <f>IFERROR(C5/$B53,0)</f>
        <v>1.8181818181818182E-5</v>
      </c>
      <c r="D67" s="56">
        <f>IFERROR(D5/$B53,0)</f>
        <v>4.5125160444768594E-2</v>
      </c>
      <c r="E67" s="56">
        <f>IFERROR(E5/$B53,0)</f>
        <v>0</v>
      </c>
      <c r="F67" s="56">
        <f t="shared" si="67"/>
        <v>1.8174495318781785E-5</v>
      </c>
      <c r="G67" s="64">
        <f>IFERROR(up_RadSpec!$I$5*G5,".")*$B$67</f>
        <v>3055.5250000000001</v>
      </c>
      <c r="H67" s="64">
        <f>IFERROR(up_RadSpec!$G$5*H5,".")*$B$67</f>
        <v>1.2311313567072433</v>
      </c>
      <c r="I67" s="64">
        <f>IFERROR(up_RadSpec!$F$5*I5,".")*$B$67</f>
        <v>0</v>
      </c>
      <c r="J67" s="73">
        <f t="shared" si="68"/>
        <v>1</v>
      </c>
      <c r="K67" s="73">
        <f t="shared" si="68"/>
        <v>0.70803792249532926</v>
      </c>
      <c r="L67" s="73">
        <f t="shared" si="68"/>
        <v>0</v>
      </c>
      <c r="M67" s="73">
        <f t="shared" si="69"/>
        <v>1</v>
      </c>
      <c r="N67" s="56">
        <f t="shared" ref="N67:AD67" si="77">IFERROR(N5/$B53,0)</f>
        <v>0</v>
      </c>
      <c r="O67" s="56">
        <f t="shared" si="77"/>
        <v>0</v>
      </c>
      <c r="P67" s="56">
        <f t="shared" si="77"/>
        <v>0</v>
      </c>
      <c r="Q67" s="56">
        <f t="shared" si="77"/>
        <v>0</v>
      </c>
      <c r="R67" s="56">
        <f t="shared" si="77"/>
        <v>0</v>
      </c>
      <c r="S67" s="64">
        <f>IFERROR(up_RadSpec!$F$5*S5,".")*$B$67</f>
        <v>0</v>
      </c>
      <c r="T67" s="64">
        <f>IFERROR(up_RadSpec!$M$5*T5,".")*$B$67</f>
        <v>0</v>
      </c>
      <c r="U67" s="64">
        <f>IFERROR(up_RadSpec!$N$5*U5,".")*$B$67</f>
        <v>0</v>
      </c>
      <c r="V67" s="64">
        <f>IFERROR(up_RadSpec!$O$5*V5,".")*$B$67</f>
        <v>0</v>
      </c>
      <c r="W67" s="64">
        <f>IFERROR(up_RadSpec!$K$5*W5,".")*$B$67</f>
        <v>0</v>
      </c>
      <c r="X67" s="73">
        <f t="shared" si="71"/>
        <v>0</v>
      </c>
      <c r="Y67" s="73">
        <f t="shared" si="71"/>
        <v>0</v>
      </c>
      <c r="Z67" s="73">
        <f t="shared" si="71"/>
        <v>0</v>
      </c>
      <c r="AA67" s="73">
        <f t="shared" si="71"/>
        <v>0</v>
      </c>
      <c r="AB67" s="73">
        <f t="shared" si="71"/>
        <v>0</v>
      </c>
      <c r="AC67" s="56">
        <f t="shared" si="77"/>
        <v>1.4545454545454543E-7</v>
      </c>
      <c r="AD67" s="56">
        <f t="shared" si="77"/>
        <v>7.9636363636363628E-4</v>
      </c>
      <c r="AE67" s="56">
        <f t="shared" si="72"/>
        <v>1.4542798326582108E-7</v>
      </c>
      <c r="AF67" s="64">
        <f>IFERROR(up_RadSpec!$G$5*AF5,".")*$B$67</f>
        <v>381940.625</v>
      </c>
      <c r="AG67" s="64">
        <f>IFERROR(up_RadSpec!$J$5*AG5,".")*$B$67</f>
        <v>69.760844748858432</v>
      </c>
      <c r="AH67" s="73">
        <f t="shared" si="73"/>
        <v>1</v>
      </c>
      <c r="AI67" s="73">
        <f t="shared" si="73"/>
        <v>1</v>
      </c>
      <c r="AJ67" s="73">
        <f t="shared" si="74"/>
        <v>1</v>
      </c>
    </row>
    <row r="68" spans="1:36" x14ac:dyDescent="0.25">
      <c r="A68" s="55" t="s">
        <v>310</v>
      </c>
      <c r="B68" s="60">
        <v>0.99999979999999999</v>
      </c>
      <c r="C68" s="56">
        <f>IFERROR(C9/$B54,0)</f>
        <v>3.6363643636365093E-9</v>
      </c>
      <c r="D68" s="56">
        <f>IFERROR(D9/$B54,0)</f>
        <v>9.0250338939604981E-6</v>
      </c>
      <c r="E68" s="56">
        <f>IFERROR(E9/$B54,0)</f>
        <v>2.6002186505370886E-6</v>
      </c>
      <c r="F68" s="56">
        <f t="shared" si="67"/>
        <v>3.6298255819786717E-9</v>
      </c>
      <c r="G68" s="64">
        <f>IFERROR(up_RadSpec!$I$9*G9,".")*$B$68</f>
        <v>15277621.944475001</v>
      </c>
      <c r="H68" s="64">
        <f>IFERROR(up_RadSpec!$G$9*H9,".")*$B$68</f>
        <v>6155.6555524048599</v>
      </c>
      <c r="I68" s="64">
        <f>IFERROR(up_RadSpec!$F$9*I9,".")*$B$68</f>
        <v>21365.510930599936</v>
      </c>
      <c r="J68" s="73">
        <f t="shared" si="68"/>
        <v>1</v>
      </c>
      <c r="K68" s="73">
        <f t="shared" si="68"/>
        <v>1</v>
      </c>
      <c r="L68" s="73">
        <f t="shared" si="68"/>
        <v>1</v>
      </c>
      <c r="M68" s="73">
        <f t="shared" si="69"/>
        <v>1</v>
      </c>
      <c r="N68" s="56">
        <f t="shared" ref="N68:AD68" si="78">IFERROR(N9/$B54,0)</f>
        <v>2.6002186505370886E-6</v>
      </c>
      <c r="O68" s="56">
        <f t="shared" si="78"/>
        <v>5.3256828833183967E-6</v>
      </c>
      <c r="P68" s="56">
        <f t="shared" si="78"/>
        <v>3.7472546918109186E-6</v>
      </c>
      <c r="Q68" s="56">
        <f t="shared" si="78"/>
        <v>3.0889262376199586E-6</v>
      </c>
      <c r="R68" s="56">
        <f t="shared" si="78"/>
        <v>9.4332728410522865E-6</v>
      </c>
      <c r="S68" s="64">
        <f>IFERROR(up_RadSpec!$F$9*S9,".")*$B$68</f>
        <v>21365.510930599936</v>
      </c>
      <c r="T68" s="64">
        <f>IFERROR(up_RadSpec!$M$9*T9,".")*$B$68</f>
        <v>10431.526100439543</v>
      </c>
      <c r="U68" s="64">
        <f>IFERROR(up_RadSpec!$N$9*U9,".")*$B$68</f>
        <v>14825.520165844979</v>
      </c>
      <c r="V68" s="64">
        <f>IFERROR(up_RadSpec!$O$9*V9,".")*$B$68</f>
        <v>17985.214189771512</v>
      </c>
      <c r="W68" s="64">
        <f>IFERROR(up_RadSpec!$K$9*W9,".")*$B$68</f>
        <v>5889.2603803668626</v>
      </c>
      <c r="X68" s="73">
        <f t="shared" si="71"/>
        <v>1</v>
      </c>
      <c r="Y68" s="73">
        <f t="shared" si="71"/>
        <v>1</v>
      </c>
      <c r="Z68" s="73">
        <f t="shared" si="71"/>
        <v>1</v>
      </c>
      <c r="AA68" s="73">
        <f t="shared" si="71"/>
        <v>1</v>
      </c>
      <c r="AB68" s="73">
        <f t="shared" si="71"/>
        <v>1</v>
      </c>
      <c r="AC68" s="56">
        <f t="shared" si="78"/>
        <v>2.909091490909207E-11</v>
      </c>
      <c r="AD68" s="56">
        <f t="shared" si="78"/>
        <v>1.5927275912727909E-7</v>
      </c>
      <c r="AE68" s="56">
        <f t="shared" si="72"/>
        <v>2.9085602470284717E-11</v>
      </c>
      <c r="AF68" s="64">
        <f>IFERROR(up_RadSpec!$G$9*AF9,".")*$B$68</f>
        <v>1909702743.059375</v>
      </c>
      <c r="AG68" s="64">
        <f>IFERROR(up_RadSpec!$J$9*AG9,".")*$B$68</f>
        <v>348804.15398344741</v>
      </c>
      <c r="AH68" s="73">
        <f t="shared" si="73"/>
        <v>1</v>
      </c>
      <c r="AI68" s="73">
        <f t="shared" si="73"/>
        <v>1</v>
      </c>
      <c r="AJ68" s="73">
        <f t="shared" si="74"/>
        <v>1</v>
      </c>
    </row>
    <row r="69" spans="1:36" x14ac:dyDescent="0.25">
      <c r="A69" s="55" t="s">
        <v>311</v>
      </c>
      <c r="B69" s="60">
        <v>1.9999999999999999E-7</v>
      </c>
      <c r="C69" s="56">
        <f>IFERROR(C24/$B55,0)</f>
        <v>1.8181818181818184E-2</v>
      </c>
      <c r="D69" s="56">
        <f>IFERROR(D24/$B55,0)</f>
        <v>45.125160444768603</v>
      </c>
      <c r="E69" s="56">
        <f>IFERROR(E24/$B55,0)</f>
        <v>22.943681137790271</v>
      </c>
      <c r="F69" s="56">
        <f t="shared" si="67"/>
        <v>1.8160110058053288E-2</v>
      </c>
      <c r="G69" s="64">
        <f>IFERROR(up_RadSpec!$I$24*G24,".")*$B$69</f>
        <v>3.0555249999999998</v>
      </c>
      <c r="H69" s="64">
        <f>IFERROR(up_RadSpec!$G$24*H24,".")*$B$69</f>
        <v>1.2311313567072433E-3</v>
      </c>
      <c r="I69" s="64">
        <f>IFERROR(up_RadSpec!$F$24*I24,".")*$B$69</f>
        <v>2.4213638459478059E-3</v>
      </c>
      <c r="J69" s="73">
        <f t="shared" si="68"/>
        <v>0.95290201216511283</v>
      </c>
      <c r="K69" s="73">
        <f t="shared" si="68"/>
        <v>1.2311313567072433E-3</v>
      </c>
      <c r="L69" s="73">
        <f t="shared" si="68"/>
        <v>2.4213638459478059E-3</v>
      </c>
      <c r="M69" s="73">
        <f t="shared" si="69"/>
        <v>0.95307372356131292</v>
      </c>
      <c r="N69" s="56">
        <f t="shared" ref="N69:AD69" si="79">IFERROR(N24/$B55,0)</f>
        <v>22.943681137790271</v>
      </c>
      <c r="O69" s="56">
        <f t="shared" si="79"/>
        <v>41.59723721131018</v>
      </c>
      <c r="P69" s="56">
        <f t="shared" si="79"/>
        <v>29.370337401551669</v>
      </c>
      <c r="Q69" s="56">
        <f t="shared" si="79"/>
        <v>24.526136013662963</v>
      </c>
      <c r="R69" s="56">
        <f t="shared" si="79"/>
        <v>69.134865134865109</v>
      </c>
      <c r="S69" s="64">
        <f>IFERROR(up_RadSpec!$F$24*S24,".")*$B$69</f>
        <v>2.4213638459478059E-3</v>
      </c>
      <c r="T69" s="64">
        <f>IFERROR(up_RadSpec!$M$24*T24,".")*$B$69</f>
        <v>1.3355454286010787E-3</v>
      </c>
      <c r="U69" s="64">
        <f>IFERROR(up_RadSpec!$N$24*U24,".")*$B$69</f>
        <v>1.8915342796526728E-3</v>
      </c>
      <c r="V69" s="64">
        <f>IFERROR(up_RadSpec!$O$24*V24,".")*$B$69</f>
        <v>2.2651346289954337E-3</v>
      </c>
      <c r="W69" s="64">
        <f>IFERROR(up_RadSpec!$K$24*W24,".")*$B$69</f>
        <v>8.0357428761343289E-4</v>
      </c>
      <c r="X69" s="73">
        <f t="shared" si="71"/>
        <v>2.4213638459478059E-3</v>
      </c>
      <c r="Y69" s="73">
        <f t="shared" si="71"/>
        <v>1.3355454286010787E-3</v>
      </c>
      <c r="Z69" s="73">
        <f t="shared" si="71"/>
        <v>1.8915342796526728E-3</v>
      </c>
      <c r="AA69" s="73">
        <f t="shared" si="71"/>
        <v>2.2651346289954337E-3</v>
      </c>
      <c r="AB69" s="73">
        <f t="shared" si="71"/>
        <v>8.0357428761343289E-4</v>
      </c>
      <c r="AC69" s="56">
        <f t="shared" si="79"/>
        <v>1.4545454545454546E-4</v>
      </c>
      <c r="AD69" s="56">
        <f t="shared" si="79"/>
        <v>0.79636363636363638</v>
      </c>
      <c r="AE69" s="56">
        <f t="shared" si="72"/>
        <v>1.4542798326582112E-4</v>
      </c>
      <c r="AF69" s="64">
        <f>IFERROR(up_RadSpec!$G$24*AF24,".")*$B$69</f>
        <v>381.94062499999995</v>
      </c>
      <c r="AG69" s="64">
        <f>IFERROR(up_RadSpec!$J$24*AG24,".")*$B$69</f>
        <v>6.9760844748858436E-2</v>
      </c>
      <c r="AH69" s="73">
        <f t="shared" si="73"/>
        <v>1</v>
      </c>
      <c r="AI69" s="73">
        <f t="shared" si="73"/>
        <v>6.7383166549522144E-2</v>
      </c>
      <c r="AJ69" s="73">
        <f t="shared" si="74"/>
        <v>1</v>
      </c>
    </row>
    <row r="70" spans="1:36" x14ac:dyDescent="0.25">
      <c r="A70" s="55" t="s">
        <v>312</v>
      </c>
      <c r="B70" s="60">
        <v>0.99979000004200003</v>
      </c>
      <c r="C70" s="56">
        <f>IFERROR(C20/$B56,0)</f>
        <v>3.6371274329718012E-9</v>
      </c>
      <c r="D70" s="56">
        <f>IFERROR(D20/$B56,0)</f>
        <v>9.0269277434007028E-6</v>
      </c>
      <c r="E70" s="56">
        <f>IFERROR(E20/$B56,0)</f>
        <v>3.5946960422736805E-6</v>
      </c>
      <c r="F70" s="56">
        <f t="shared" si="67"/>
        <v>3.6319891720506608E-9</v>
      </c>
      <c r="G70" s="64">
        <f>IFERROR(up_RadSpec!$I$20*G20,".")*$B$70</f>
        <v>15274416.699391661</v>
      </c>
      <c r="H70" s="64">
        <f>IFERROR(up_RadSpec!$G$20*H20,".")*$B$70</f>
        <v>6154.3640958702117</v>
      </c>
      <c r="I70" s="64">
        <f>IFERROR(up_RadSpec!$F$20*I20,".")*$B$70</f>
        <v>15454.714208565156</v>
      </c>
      <c r="J70" s="73">
        <f t="shared" si="68"/>
        <v>1</v>
      </c>
      <c r="K70" s="73">
        <f t="shared" si="68"/>
        <v>1</v>
      </c>
      <c r="L70" s="73">
        <f t="shared" si="68"/>
        <v>1</v>
      </c>
      <c r="M70" s="73">
        <f t="shared" si="69"/>
        <v>1</v>
      </c>
      <c r="N70" s="56">
        <f t="shared" ref="N70:AD70" si="80">IFERROR(N20/$B56,0)</f>
        <v>3.5946960422736805E-6</v>
      </c>
      <c r="O70" s="56">
        <f t="shared" si="80"/>
        <v>7.089081048046034E-6</v>
      </c>
      <c r="P70" s="56">
        <f t="shared" si="80"/>
        <v>4.9600825761736329E-6</v>
      </c>
      <c r="Q70" s="56">
        <f t="shared" si="80"/>
        <v>4.1648674918735938E-6</v>
      </c>
      <c r="R70" s="56">
        <f t="shared" si="80"/>
        <v>1.2079522776261757E-5</v>
      </c>
      <c r="S70" s="64">
        <f>IFERROR(up_RadSpec!$F$20*S20,".")*$B$70</f>
        <v>15454.714208565156</v>
      </c>
      <c r="T70" s="64">
        <f>IFERROR(up_RadSpec!$M$20*T20,".")*$B$70</f>
        <v>7836.6997955697861</v>
      </c>
      <c r="U70" s="64">
        <f>IFERROR(up_RadSpec!$N$20*U20,".")*$B$70</f>
        <v>11200.418369416926</v>
      </c>
      <c r="V70" s="64">
        <f>IFERROR(up_RadSpec!$O$20*V20,".")*$B$70</f>
        <v>13338.959788852297</v>
      </c>
      <c r="W70" s="64">
        <f>IFERROR(up_RadSpec!$K$20*W20,".")*$B$70</f>
        <v>4599.1055299945028</v>
      </c>
      <c r="X70" s="73">
        <f t="shared" si="71"/>
        <v>1</v>
      </c>
      <c r="Y70" s="73">
        <f t="shared" si="71"/>
        <v>1</v>
      </c>
      <c r="Z70" s="73">
        <f t="shared" si="71"/>
        <v>1</v>
      </c>
      <c r="AA70" s="73">
        <f t="shared" si="71"/>
        <v>1</v>
      </c>
      <c r="AB70" s="73">
        <f t="shared" si="71"/>
        <v>1</v>
      </c>
      <c r="AC70" s="56">
        <f t="shared" si="80"/>
        <v>2.9097019463774407E-11</v>
      </c>
      <c r="AD70" s="56">
        <f t="shared" si="80"/>
        <v>1.5930618156416487E-7</v>
      </c>
      <c r="AE70" s="56">
        <f t="shared" si="72"/>
        <v>2.9091705910183507E-11</v>
      </c>
      <c r="AF70" s="64">
        <f>IFERROR(up_RadSpec!$G$20*AF20,".")*$B$70</f>
        <v>1909302087.4239576</v>
      </c>
      <c r="AG70" s="64">
        <f>IFERROR(up_RadSpec!$J$20*AG20,".")*$B$70</f>
        <v>348730.97487195564</v>
      </c>
      <c r="AH70" s="73">
        <f t="shared" si="73"/>
        <v>1</v>
      </c>
      <c r="AI70" s="73">
        <f t="shared" si="73"/>
        <v>1</v>
      </c>
      <c r="AJ70" s="73">
        <f t="shared" si="74"/>
        <v>1</v>
      </c>
    </row>
    <row r="71" spans="1:36" x14ac:dyDescent="0.25">
      <c r="A71" s="55" t="s">
        <v>313</v>
      </c>
      <c r="B71" s="60">
        <v>2.0999995799999999E-4</v>
      </c>
      <c r="C71" s="56">
        <f>IFERROR(C29/$B57,0)</f>
        <v>1.7316020779221475E-5</v>
      </c>
      <c r="D71" s="56">
        <f>IFERROR(D29/$B57,0)</f>
        <v>4.2976351876002378E-2</v>
      </c>
      <c r="E71" s="56">
        <f>IFERROR(E29/$B57,0)</f>
        <v>1.3469593212689498E-2</v>
      </c>
      <c r="F71" s="56">
        <f t="shared" si="67"/>
        <v>1.7286832248250486E-5</v>
      </c>
      <c r="G71" s="64">
        <f>IFERROR(up_RadSpec!$I$29*G29,".")*$B$71</f>
        <v>3208.3006083397499</v>
      </c>
      <c r="H71" s="64">
        <f>IFERROR(up_RadSpec!$G$29*H29,".")*$B$71</f>
        <v>1.2926876660050206</v>
      </c>
      <c r="I71" s="64">
        <f>IFERROR(up_RadSpec!$F$29*I29,".")*$B$71</f>
        <v>4.1244749654104238</v>
      </c>
      <c r="J71" s="73">
        <f t="shared" si="68"/>
        <v>1</v>
      </c>
      <c r="K71" s="73">
        <f t="shared" si="68"/>
        <v>0.72546805951030835</v>
      </c>
      <c r="L71" s="73">
        <f t="shared" si="68"/>
        <v>0.98382801678987186</v>
      </c>
      <c r="M71" s="73">
        <f t="shared" si="69"/>
        <v>1</v>
      </c>
      <c r="N71" s="56">
        <f t="shared" ref="N71:AD71" si="81">IFERROR(N29/$B57,0)</f>
        <v>1.3469593212689498E-2</v>
      </c>
      <c r="O71" s="56">
        <f t="shared" si="81"/>
        <v>2.6878109727410501E-2</v>
      </c>
      <c r="P71" s="56">
        <f t="shared" si="81"/>
        <v>1.9147851056235173E-2</v>
      </c>
      <c r="Q71" s="56">
        <f t="shared" si="81"/>
        <v>1.6242320930781859E-2</v>
      </c>
      <c r="R71" s="56">
        <f t="shared" si="81"/>
        <v>4.8264472462811847E-2</v>
      </c>
      <c r="S71" s="64">
        <f>IFERROR(up_RadSpec!$F$29*S29,".")*$B$71</f>
        <v>4.1244749654104238</v>
      </c>
      <c r="T71" s="64">
        <f>IFERROR(up_RadSpec!$M$29*T29,".")*$B$71</f>
        <v>2.0669236253375578</v>
      </c>
      <c r="U71" s="64">
        <f>IFERROR(up_RadSpec!$N$29*U29,".")*$B$71</f>
        <v>2.9013699676710956</v>
      </c>
      <c r="V71" s="64">
        <f>IFERROR(up_RadSpec!$O$29*V29,".")*$B$71</f>
        <v>3.4203855616911345</v>
      </c>
      <c r="W71" s="64">
        <f>IFERROR(up_RadSpec!$K$29*W29,".")*$B$71</f>
        <v>1.1510537081453764</v>
      </c>
      <c r="X71" s="73">
        <f t="shared" si="71"/>
        <v>0.98382801678987186</v>
      </c>
      <c r="Y71" s="73">
        <f t="shared" si="71"/>
        <v>0.87342542582434091</v>
      </c>
      <c r="Z71" s="73">
        <f t="shared" si="71"/>
        <v>0.94505210836569664</v>
      </c>
      <c r="AA71" s="73">
        <f t="shared" si="71"/>
        <v>0.96730017529154932</v>
      </c>
      <c r="AB71" s="73">
        <f t="shared" si="71"/>
        <v>0.68369669764465357</v>
      </c>
      <c r="AC71" s="56">
        <f t="shared" si="81"/>
        <v>1.3852816623377178E-7</v>
      </c>
      <c r="AD71" s="56">
        <f t="shared" si="81"/>
        <v>7.5844171012990041E-4</v>
      </c>
      <c r="AE71" s="56">
        <f t="shared" si="72"/>
        <v>1.3850286890611771E-7</v>
      </c>
      <c r="AF71" s="64">
        <f>IFERROR(up_RadSpec!$G$29*AF29,".")*$B$71</f>
        <v>401037.57604246872</v>
      </c>
      <c r="AG71" s="64">
        <f>IFERROR(up_RadSpec!$J$29*AG29,".")*$B$71</f>
        <v>73.248872336523945</v>
      </c>
      <c r="AH71" s="73">
        <f t="shared" si="73"/>
        <v>1</v>
      </c>
      <c r="AI71" s="73">
        <f t="shared" si="73"/>
        <v>1</v>
      </c>
      <c r="AJ71" s="73">
        <f t="shared" si="74"/>
        <v>1</v>
      </c>
    </row>
    <row r="72" spans="1:36" x14ac:dyDescent="0.25">
      <c r="A72" s="55" t="s">
        <v>314</v>
      </c>
      <c r="B72" s="60">
        <v>1</v>
      </c>
      <c r="C72" s="56">
        <f>IFERROR(C16/$B58,0)</f>
        <v>3.6363636363636364E-9</v>
      </c>
      <c r="D72" s="56">
        <f>IFERROR(D16/$B58,0)</f>
        <v>9.0250320889537196E-6</v>
      </c>
      <c r="E72" s="56">
        <f>IFERROR(E16/$B58,0)</f>
        <v>7.6494620302510558E-2</v>
      </c>
      <c r="F72" s="56">
        <f t="shared" si="67"/>
        <v>3.6348988910319158E-9</v>
      </c>
      <c r="G72" s="64">
        <f>IFERROR(up_RadSpec!$I$16*G16,".")*$B$72</f>
        <v>15277625</v>
      </c>
      <c r="H72" s="64">
        <f>IFERROR(up_RadSpec!$G$16*H16,".")*$B$72</f>
        <v>6155.6567835362166</v>
      </c>
      <c r="I72" s="64">
        <f>IFERROR(up_RadSpec!$F$16*I16,".")*$B$72</f>
        <v>0.72626022301043658</v>
      </c>
      <c r="J72" s="73">
        <f t="shared" si="68"/>
        <v>1</v>
      </c>
      <c r="K72" s="73">
        <f t="shared" si="68"/>
        <v>1</v>
      </c>
      <c r="L72" s="73">
        <f t="shared" si="68"/>
        <v>0.5162854035795148</v>
      </c>
      <c r="M72" s="73">
        <f t="shared" si="69"/>
        <v>1</v>
      </c>
      <c r="N72" s="56">
        <f t="shared" ref="N72:AD72" si="82">IFERROR(N16/$B58,0)</f>
        <v>7.6494620302510558E-2</v>
      </c>
      <c r="O72" s="56">
        <f t="shared" si="82"/>
        <v>0.13623429416112345</v>
      </c>
      <c r="P72" s="56">
        <f t="shared" si="82"/>
        <v>8.1841380561977761E-2</v>
      </c>
      <c r="Q72" s="56">
        <f t="shared" si="82"/>
        <v>8.2264249380461771E-2</v>
      </c>
      <c r="R72" s="56">
        <f t="shared" si="82"/>
        <v>3.1854545454545455</v>
      </c>
      <c r="S72" s="64">
        <f>IFERROR(up_RadSpec!$F$16*S16,".")*$B$72</f>
        <v>0.72626022301043658</v>
      </c>
      <c r="T72" s="64">
        <f>IFERROR(up_RadSpec!$M$16*T16,".")*$B$72</f>
        <v>0.40779012613590104</v>
      </c>
      <c r="U72" s="64">
        <f>IFERROR(up_RadSpec!$N$16*U16,".")*$B$72</f>
        <v>0.67881308475641711</v>
      </c>
      <c r="V72" s="64">
        <f>IFERROR(up_RadSpec!$O$16*V16,".")*$B$72</f>
        <v>0.67532373319380989</v>
      </c>
      <c r="W72" s="64">
        <f>IFERROR(up_RadSpec!$K$16*W16,".")*$B$72</f>
        <v>1.7440211187214609E-2</v>
      </c>
      <c r="X72" s="73">
        <f t="shared" si="71"/>
        <v>0.5162854035795148</v>
      </c>
      <c r="Y72" s="73">
        <f t="shared" si="71"/>
        <v>0.33488154484455557</v>
      </c>
      <c r="Z72" s="73">
        <f t="shared" si="71"/>
        <v>0.49278133920943523</v>
      </c>
      <c r="AA72" s="73">
        <f t="shared" si="71"/>
        <v>0.49100838354891563</v>
      </c>
      <c r="AB72" s="73">
        <f t="shared" si="71"/>
        <v>1.7289010967995955E-2</v>
      </c>
      <c r="AC72" s="56">
        <f t="shared" si="82"/>
        <v>2.9090909090909089E-11</v>
      </c>
      <c r="AD72" s="56">
        <f t="shared" si="82"/>
        <v>1.5927272727272726E-7</v>
      </c>
      <c r="AE72" s="56">
        <f t="shared" si="72"/>
        <v>2.9085596653164224E-11</v>
      </c>
      <c r="AF72" s="64">
        <f>IFERROR(up_RadSpec!$G$16*AF16,".")*$B$72</f>
        <v>1909703125</v>
      </c>
      <c r="AG72" s="64">
        <f>IFERROR(up_RadSpec!$J$16*AG16,".")*$B$72</f>
        <v>348804.22374429216</v>
      </c>
      <c r="AH72" s="73">
        <f t="shared" si="73"/>
        <v>1</v>
      </c>
      <c r="AI72" s="73">
        <f t="shared" si="73"/>
        <v>1</v>
      </c>
      <c r="AJ72" s="73">
        <f t="shared" si="74"/>
        <v>1</v>
      </c>
    </row>
    <row r="73" spans="1:36" x14ac:dyDescent="0.25">
      <c r="A73" s="55" t="s">
        <v>315</v>
      </c>
      <c r="B73" s="60">
        <v>1</v>
      </c>
      <c r="C73" s="56">
        <f>IFERROR(C7/$B59,0)</f>
        <v>3.6363636363636364E-9</v>
      </c>
      <c r="D73" s="56">
        <f>IFERROR(D7/$B59,0)</f>
        <v>9.0250320889537196E-6</v>
      </c>
      <c r="E73" s="56">
        <f>IFERROR(E7/$B59,0)</f>
        <v>9.1843397478433964E-6</v>
      </c>
      <c r="F73" s="56">
        <f t="shared" si="67"/>
        <v>3.633461043767029E-9</v>
      </c>
      <c r="G73" s="64">
        <f>IFERROR(up_RadSpec!$I$7*G7,".")*$B$73</f>
        <v>15277625</v>
      </c>
      <c r="H73" s="64">
        <f>IFERROR(up_RadSpec!$G$7*H7,".")*$B$73</f>
        <v>6155.6567835362166</v>
      </c>
      <c r="I73" s="64">
        <f>IFERROR(up_RadSpec!$F$7*I7,".")*$B$73</f>
        <v>6048.8833737934237</v>
      </c>
      <c r="J73" s="73">
        <f t="shared" si="68"/>
        <v>1</v>
      </c>
      <c r="K73" s="73">
        <f t="shared" si="68"/>
        <v>1</v>
      </c>
      <c r="L73" s="73">
        <f t="shared" si="68"/>
        <v>1</v>
      </c>
      <c r="M73" s="73">
        <f t="shared" si="69"/>
        <v>1</v>
      </c>
      <c r="N73" s="56">
        <f t="shared" ref="N73:AD73" si="83">IFERROR(N7/$B59,0)</f>
        <v>9.1843397478433964E-6</v>
      </c>
      <c r="O73" s="56">
        <f t="shared" si="83"/>
        <v>1.4611153552330032E-5</v>
      </c>
      <c r="P73" s="56">
        <f t="shared" si="83"/>
        <v>1.0704545454545454E-5</v>
      </c>
      <c r="Q73" s="56">
        <f t="shared" si="83"/>
        <v>9.8471359678034877E-6</v>
      </c>
      <c r="R73" s="56">
        <f t="shared" si="83"/>
        <v>2.5004236405305914E-5</v>
      </c>
      <c r="S73" s="64">
        <f>IFERROR(up_RadSpec!$F$7*S7,".")*$B$73</f>
        <v>6048.8833737934237</v>
      </c>
      <c r="T73" s="64">
        <f>IFERROR(up_RadSpec!$M$7*T7,".")*$B$73</f>
        <v>3802.2323015789998</v>
      </c>
      <c r="U73" s="64">
        <f>IFERROR(up_RadSpec!$N$7*U7,".")*$B$73</f>
        <v>5189.8513800424607</v>
      </c>
      <c r="V73" s="64">
        <f>IFERROR(up_RadSpec!$O$7*V7,".")*$B$73</f>
        <v>5641.7419421895274</v>
      </c>
      <c r="W73" s="64">
        <f>IFERROR(up_RadSpec!$K$7*W7,".")*$B$73</f>
        <v>2221.8234982057352</v>
      </c>
      <c r="X73" s="73">
        <f t="shared" si="71"/>
        <v>1</v>
      </c>
      <c r="Y73" s="73">
        <f t="shared" si="71"/>
        <v>1</v>
      </c>
      <c r="Z73" s="73">
        <f t="shared" si="71"/>
        <v>1</v>
      </c>
      <c r="AA73" s="73">
        <f t="shared" si="71"/>
        <v>1</v>
      </c>
      <c r="AB73" s="73">
        <f t="shared" si="71"/>
        <v>1</v>
      </c>
      <c r="AC73" s="56">
        <f t="shared" si="83"/>
        <v>2.9090909090909089E-11</v>
      </c>
      <c r="AD73" s="56">
        <f t="shared" si="83"/>
        <v>1.5927272727272726E-7</v>
      </c>
      <c r="AE73" s="56">
        <f t="shared" si="72"/>
        <v>2.9085596653164224E-11</v>
      </c>
      <c r="AF73" s="64">
        <f>IFERROR(up_RadSpec!$G$7*AF7,".")*$B$73</f>
        <v>1909703125</v>
      </c>
      <c r="AG73" s="64">
        <f>IFERROR(up_RadSpec!$J$7*AG7,".")*$B$73</f>
        <v>348804.22374429216</v>
      </c>
      <c r="AH73" s="73">
        <f t="shared" si="73"/>
        <v>1</v>
      </c>
      <c r="AI73" s="73">
        <f t="shared" si="73"/>
        <v>1</v>
      </c>
      <c r="AJ73" s="73">
        <f t="shared" si="74"/>
        <v>1</v>
      </c>
    </row>
    <row r="74" spans="1:36" x14ac:dyDescent="0.25">
      <c r="A74" s="55" t="s">
        <v>316</v>
      </c>
      <c r="B74" s="62">
        <v>1.9000000000000001E-8</v>
      </c>
      <c r="C74" s="56">
        <f>IFERROR(C12/$B60,0)</f>
        <v>0.19138755980861244</v>
      </c>
      <c r="D74" s="56">
        <f>IFERROR(D12/$B60,0)</f>
        <v>475.00168889230099</v>
      </c>
      <c r="E74" s="56">
        <f>IFERROR(E12/$B60,0)</f>
        <v>375.16872799494445</v>
      </c>
      <c r="F74" s="56">
        <f t="shared" si="67"/>
        <v>0.19121297145883548</v>
      </c>
      <c r="G74" s="64">
        <f>IFERROR(up_RadSpec!$I$12*G12,".")*$B$74</f>
        <v>0.29027487500000004</v>
      </c>
      <c r="H74" s="64">
        <f>IFERROR(up_RadSpec!$G$12*H12,".")*$B$74</f>
        <v>1.1695747888718812E-4</v>
      </c>
      <c r="I74" s="64">
        <f>IFERROR(up_RadSpec!$F$12*I12,".")*$B$74</f>
        <v>1.4808003933832305E-4</v>
      </c>
      <c r="J74" s="73">
        <f t="shared" si="68"/>
        <v>0.25194208310416244</v>
      </c>
      <c r="K74" s="73">
        <f t="shared" si="68"/>
        <v>1.1695747888718812E-4</v>
      </c>
      <c r="L74" s="73">
        <f t="shared" si="68"/>
        <v>1.4808003933832305E-4</v>
      </c>
      <c r="M74" s="73">
        <f t="shared" si="69"/>
        <v>0.2521403202466449</v>
      </c>
      <c r="N74" s="56">
        <f t="shared" ref="N74:AD74" si="84">IFERROR(N12/$B60,0)</f>
        <v>375.16872799494445</v>
      </c>
      <c r="O74" s="56">
        <f t="shared" si="84"/>
        <v>673.07676010623607</v>
      </c>
      <c r="P74" s="56">
        <f t="shared" si="84"/>
        <v>488.039636348236</v>
      </c>
      <c r="Q74" s="56">
        <f t="shared" si="84"/>
        <v>431.00706650788999</v>
      </c>
      <c r="R74" s="56">
        <f t="shared" si="84"/>
        <v>1161.8982521238161</v>
      </c>
      <c r="S74" s="64">
        <f>IFERROR(up_RadSpec!$F$12*S12,".")*$B$74</f>
        <v>1.4808003933832305E-4</v>
      </c>
      <c r="T74" s="64">
        <f>IFERROR(up_RadSpec!$M$12*T12,".")*$B$74</f>
        <v>8.2538877127820274E-5</v>
      </c>
      <c r="U74" s="64">
        <f>IFERROR(up_RadSpec!$N$12*U12,".")*$B$74</f>
        <v>1.1383296737062408E-4</v>
      </c>
      <c r="V74" s="64">
        <f>IFERROR(up_RadSpec!$O$12*V12,".")*$B$74</f>
        <v>1.2889579850770963E-4</v>
      </c>
      <c r="W74" s="64">
        <f>IFERROR(up_RadSpec!$K$12*W12,".")*$B$74</f>
        <v>4.7813997394739049E-5</v>
      </c>
      <c r="X74" s="73">
        <f t="shared" si="71"/>
        <v>1.4808003933832305E-4</v>
      </c>
      <c r="Y74" s="73">
        <f t="shared" si="71"/>
        <v>8.2538877127820274E-5</v>
      </c>
      <c r="Z74" s="73">
        <f t="shared" si="71"/>
        <v>1.1383296737062408E-4</v>
      </c>
      <c r="AA74" s="73">
        <f t="shared" si="71"/>
        <v>1.2889579850770963E-4</v>
      </c>
      <c r="AB74" s="73">
        <f t="shared" si="71"/>
        <v>4.7813997394739049E-5</v>
      </c>
      <c r="AC74" s="56">
        <f t="shared" si="84"/>
        <v>1.5311004784688993E-3</v>
      </c>
      <c r="AD74" s="56">
        <f t="shared" si="84"/>
        <v>8.3827751196172233</v>
      </c>
      <c r="AE74" s="56">
        <f t="shared" si="72"/>
        <v>1.5308208764823273E-3</v>
      </c>
      <c r="AF74" s="64">
        <f>IFERROR(up_RadSpec!$G$12*AF12,".")*$B$74</f>
        <v>36.284359375000001</v>
      </c>
      <c r="AG74" s="64">
        <f>IFERROR(up_RadSpec!$J$12*AG12,".")*$B$74</f>
        <v>6.6272802511415513E-3</v>
      </c>
      <c r="AH74" s="73">
        <f t="shared" si="73"/>
        <v>0.99999999999999978</v>
      </c>
      <c r="AI74" s="73">
        <f t="shared" si="73"/>
        <v>6.6272802511415513E-3</v>
      </c>
      <c r="AJ74" s="73">
        <f t="shared" si="74"/>
        <v>0.99999999999999978</v>
      </c>
    </row>
    <row r="75" spans="1:36" x14ac:dyDescent="0.25">
      <c r="A75" s="55" t="s">
        <v>317</v>
      </c>
      <c r="B75" s="60">
        <v>1</v>
      </c>
      <c r="C75" s="56">
        <f>IFERROR(C18/$B61,0)</f>
        <v>3.6363636363636364E-9</v>
      </c>
      <c r="D75" s="56">
        <f>IFERROR(D18/$B61,0)</f>
        <v>9.0250320889537196E-6</v>
      </c>
      <c r="E75" s="56">
        <f>IFERROR(E18/$B61,0)</f>
        <v>3.5819104981705612E-6</v>
      </c>
      <c r="F75" s="56">
        <f t="shared" si="67"/>
        <v>3.6312141316916604E-9</v>
      </c>
      <c r="G75" s="64">
        <f>IFERROR(up_RadSpec!$I$18*G18,".")*$B$75</f>
        <v>15277625</v>
      </c>
      <c r="H75" s="64">
        <f>IFERROR(up_RadSpec!$G$18*H18,".")*$B$75</f>
        <v>6155.6567835362166</v>
      </c>
      <c r="I75" s="64">
        <f>IFERROR(up_RadSpec!$F$18*I18,".")*$B$75</f>
        <v>15509.879442374222</v>
      </c>
      <c r="J75" s="73">
        <f t="shared" si="68"/>
        <v>1</v>
      </c>
      <c r="K75" s="73">
        <f t="shared" si="68"/>
        <v>1</v>
      </c>
      <c r="L75" s="73">
        <f t="shared" si="68"/>
        <v>1</v>
      </c>
      <c r="M75" s="73">
        <f t="shared" si="69"/>
        <v>1</v>
      </c>
      <c r="N75" s="56">
        <f t="shared" ref="N75:AD75" si="85">IFERROR(N18/$B61,0)</f>
        <v>3.5819104981705612E-6</v>
      </c>
      <c r="O75" s="56">
        <f t="shared" si="85"/>
        <v>7.087561164048418E-6</v>
      </c>
      <c r="P75" s="56">
        <f t="shared" si="85"/>
        <v>4.9633877043552491E-6</v>
      </c>
      <c r="Q75" s="56">
        <f t="shared" si="85"/>
        <v>4.1122563526890516E-6</v>
      </c>
      <c r="R75" s="56">
        <f t="shared" si="85"/>
        <v>1.2047552447552445E-5</v>
      </c>
      <c r="S75" s="64">
        <f>IFERROR(up_RadSpec!$F$18*S18,".")*$B$75</f>
        <v>15509.879442374222</v>
      </c>
      <c r="T75" s="64">
        <f>IFERROR(up_RadSpec!$M$18*T18,".")*$B$75</f>
        <v>7838.3803277497173</v>
      </c>
      <c r="U75" s="64">
        <f>IFERROR(up_RadSpec!$N$18*U18,".")*$B$75</f>
        <v>11192.959992073931</v>
      </c>
      <c r="V75" s="64">
        <f>IFERROR(up_RadSpec!$O$18*V18,".")*$B$75</f>
        <v>13509.614974190979</v>
      </c>
      <c r="W75" s="64">
        <f>IFERROR(up_RadSpec!$K$18*W18,".")*$B$75</f>
        <v>4611.3100766194566</v>
      </c>
      <c r="X75" s="73">
        <f t="shared" si="71"/>
        <v>1</v>
      </c>
      <c r="Y75" s="73">
        <f t="shared" si="71"/>
        <v>1</v>
      </c>
      <c r="Z75" s="73">
        <f t="shared" si="71"/>
        <v>1</v>
      </c>
      <c r="AA75" s="73">
        <f t="shared" si="71"/>
        <v>1</v>
      </c>
      <c r="AB75" s="73">
        <f t="shared" si="71"/>
        <v>1</v>
      </c>
      <c r="AC75" s="56">
        <f t="shared" si="85"/>
        <v>2.9090909090909089E-11</v>
      </c>
      <c r="AD75" s="56">
        <f t="shared" si="85"/>
        <v>1.5927272727272726E-7</v>
      </c>
      <c r="AE75" s="56">
        <f t="shared" si="72"/>
        <v>2.9085596653164224E-11</v>
      </c>
      <c r="AF75" s="64">
        <f>IFERROR(up_RadSpec!$G$18*AF18,".")*$B$75</f>
        <v>1909703125</v>
      </c>
      <c r="AG75" s="64">
        <f>IFERROR(up_RadSpec!$J$18*AG18,".")*$B$75</f>
        <v>348804.22374429216</v>
      </c>
      <c r="AH75" s="73">
        <f t="shared" si="73"/>
        <v>1</v>
      </c>
      <c r="AI75" s="73">
        <f t="shared" si="73"/>
        <v>1</v>
      </c>
      <c r="AJ75" s="73">
        <f t="shared" si="74"/>
        <v>1</v>
      </c>
    </row>
    <row r="76" spans="1:36" x14ac:dyDescent="0.25">
      <c r="A76" s="55" t="s">
        <v>318</v>
      </c>
      <c r="B76" s="60">
        <v>1.339E-6</v>
      </c>
      <c r="C76" s="56">
        <f>IFERROR(C27/$B62,0)</f>
        <v>2.7157308710706769E-3</v>
      </c>
      <c r="D76" s="56">
        <f>IFERROR(D27/$B62,0)</f>
        <v>6.7401285205031511</v>
      </c>
      <c r="E76" s="56">
        <f>IFERROR(E27/$B62,0)</f>
        <v>4.3901003530817375</v>
      </c>
      <c r="F76" s="56">
        <f t="shared" si="67"/>
        <v>2.7129595202094047E-3</v>
      </c>
      <c r="G76" s="64">
        <f>IFERROR(up_RadSpec!$I$27*G27,".")*$B$76</f>
        <v>20.456739875</v>
      </c>
      <c r="H76" s="64">
        <f>IFERROR(up_RadSpec!$G$27*H27,".")*$B$76</f>
        <v>8.2424244331549944E-3</v>
      </c>
      <c r="I76" s="64">
        <f>IFERROR(up_RadSpec!$F$27*I27,".")*$B$76</f>
        <v>1.2654608216644023E-2</v>
      </c>
      <c r="J76" s="73">
        <f t="shared" si="68"/>
        <v>0.99999999869457856</v>
      </c>
      <c r="K76" s="73">
        <f t="shared" si="68"/>
        <v>8.2424244331549944E-3</v>
      </c>
      <c r="L76" s="73">
        <f t="shared" si="68"/>
        <v>1.2574875345876424E-2</v>
      </c>
      <c r="M76" s="73">
        <f t="shared" si="69"/>
        <v>0.99999999872157486</v>
      </c>
      <c r="N76" s="56">
        <f t="shared" ref="N76:AD76" si="86">IFERROR(N27/$B62,0)</f>
        <v>4.3901003530817375</v>
      </c>
      <c r="O76" s="56">
        <f t="shared" si="86"/>
        <v>13.021786593580162</v>
      </c>
      <c r="P76" s="56">
        <f t="shared" si="86"/>
        <v>7.9833343734491127</v>
      </c>
      <c r="Q76" s="56">
        <f t="shared" si="86"/>
        <v>5.8075673411227244</v>
      </c>
      <c r="R76" s="56">
        <f t="shared" si="86"/>
        <v>40.731919794291827</v>
      </c>
      <c r="S76" s="64">
        <f>IFERROR(up_RadSpec!$F$27*S27,".")*$B$76</f>
        <v>1.2654608216644023E-2</v>
      </c>
      <c r="T76" s="64">
        <f>IFERROR(up_RadSpec!$M$27*T27,".")*$B$76</f>
        <v>4.2663116616723723E-3</v>
      </c>
      <c r="U76" s="64">
        <f>IFERROR(up_RadSpec!$N$27*U27,".")*$B$76</f>
        <v>6.9588717447141143E-3</v>
      </c>
      <c r="V76" s="64">
        <f>IFERROR(up_RadSpec!$O$27*V27,".")*$B$76</f>
        <v>9.5659674243674022E-3</v>
      </c>
      <c r="W76" s="64">
        <f>IFERROR(up_RadSpec!$K$27*W27,".")*$B$76</f>
        <v>1.3639180348132148E-3</v>
      </c>
      <c r="X76" s="73">
        <f t="shared" si="71"/>
        <v>1.2574875345876424E-2</v>
      </c>
      <c r="Y76" s="73">
        <f t="shared" si="71"/>
        <v>4.2663116616723723E-3</v>
      </c>
      <c r="Z76" s="73">
        <f t="shared" si="71"/>
        <v>6.9588717447141143E-3</v>
      </c>
      <c r="AA76" s="73">
        <f t="shared" si="71"/>
        <v>9.5659674243674022E-3</v>
      </c>
      <c r="AB76" s="73">
        <f t="shared" si="71"/>
        <v>1.3639180348132148E-3</v>
      </c>
      <c r="AC76" s="56">
        <f t="shared" si="86"/>
        <v>2.1725846968565415E-5</v>
      </c>
      <c r="AD76" s="56">
        <f t="shared" si="86"/>
        <v>0.11894901215289563</v>
      </c>
      <c r="AE76" s="56">
        <f t="shared" si="72"/>
        <v>2.1721879501989711E-5</v>
      </c>
      <c r="AF76" s="64">
        <f>IFERROR(up_RadSpec!$G$27*AF27,".")*$B$76</f>
        <v>2557.0924843749999</v>
      </c>
      <c r="AG76" s="64">
        <f>IFERROR(up_RadSpec!$J$27*AG27,".")*$B$76</f>
        <v>0.4670488555936072</v>
      </c>
      <c r="AH76" s="73">
        <f t="shared" si="73"/>
        <v>1</v>
      </c>
      <c r="AI76" s="73">
        <f t="shared" si="73"/>
        <v>0.37315053543843246</v>
      </c>
      <c r="AJ76" s="73">
        <f t="shared" si="74"/>
        <v>1</v>
      </c>
    </row>
  </sheetData>
  <sheetProtection algorithmName="SHA-512" hashValue="t9IS9xQCoiD3XWfp/unxAGcdDJTEqmKGdiu3T40ZmqqZjz3TtA0MsfVQTVD3uf48M7WYCsGw1JpEU7RxOTVkhA==" saltValue="CfBOHdKsbwNF/bTogCYweg==" spinCount="100000" sheet="1" objects="1" scenarios="1" formatColumns="0" formatRows="0" autoFilter="0"/>
  <autoFilter ref="A1:AJ76" xr:uid="{00000000-0009-0000-0000-00000D000000}"/>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9">
    <tabColor theme="9" tint="-0.499984740745262"/>
  </sheetPr>
  <dimension ref="A1:AU76"/>
  <sheetViews>
    <sheetView zoomScale="90" zoomScaleNormal="90" workbookViewId="0">
      <pane xSplit="2" ySplit="1" topLeftCell="C2" activePane="bottomRight" state="frozen"/>
      <selection pane="topRight" activeCell="C1" sqref="C1"/>
      <selection pane="bottomLeft" activeCell="A2" sqref="A2"/>
      <selection pane="bottomRight" activeCell="C2" sqref="C2"/>
    </sheetView>
  </sheetViews>
  <sheetFormatPr defaultColWidth="9.140625" defaultRowHeight="15" x14ac:dyDescent="0.25"/>
  <cols>
    <col min="1" max="1" width="15.42578125" style="3" customWidth="1"/>
    <col min="2" max="2" width="13.28515625" style="3" bestFit="1" customWidth="1"/>
    <col min="3" max="3" width="14.42578125" style="2" bestFit="1" customWidth="1"/>
    <col min="4" max="4" width="14.5703125" style="2" bestFit="1" customWidth="1"/>
    <col min="5" max="5" width="14.28515625" style="2" bestFit="1" customWidth="1"/>
    <col min="6" max="8" width="14.140625" style="2" bestFit="1" customWidth="1"/>
    <col min="9" max="9" width="14" style="2" bestFit="1" customWidth="1"/>
    <col min="10" max="11" width="14.5703125" style="2" bestFit="1" customWidth="1"/>
    <col min="12" max="12" width="14.42578125" style="2" bestFit="1" customWidth="1"/>
    <col min="13" max="13" width="14.28515625" style="2" bestFit="1" customWidth="1"/>
    <col min="14" max="14" width="18.28515625" style="2" bestFit="1" customWidth="1"/>
    <col min="15" max="15" width="18.42578125" style="2" bestFit="1" customWidth="1"/>
    <col min="16" max="16" width="18.140625" style="2" bestFit="1" customWidth="1"/>
    <col min="17" max="17" width="17.85546875" style="2" bestFit="1" customWidth="1"/>
    <col min="18" max="20" width="17.7109375" style="2" bestFit="1" customWidth="1"/>
    <col min="21" max="23" width="18.28515625" style="2" bestFit="1" customWidth="1"/>
    <col min="24" max="24" width="18.140625" style="2" bestFit="1" customWidth="1"/>
    <col min="25" max="25" width="13.5703125" style="2" bestFit="1" customWidth="1"/>
    <col min="26" max="27" width="15.42578125" style="2" bestFit="1" customWidth="1"/>
    <col min="28" max="28" width="16.42578125" style="2" bestFit="1" customWidth="1"/>
    <col min="29" max="29" width="13.85546875" style="2" bestFit="1" customWidth="1"/>
    <col min="30" max="30" width="13.140625" style="2" bestFit="1" customWidth="1"/>
    <col min="31" max="32" width="14.85546875" style="2" bestFit="1" customWidth="1"/>
    <col min="33" max="33" width="16" style="2" bestFit="1" customWidth="1"/>
    <col min="34" max="35" width="13.5703125" style="2" bestFit="1" customWidth="1"/>
    <col min="36" max="37" width="15.42578125" style="2" bestFit="1" customWidth="1"/>
    <col min="38" max="38" width="16.42578125" style="2" bestFit="1" customWidth="1"/>
    <col min="39" max="39" width="14.140625" style="2" bestFit="1" customWidth="1"/>
    <col min="40" max="40" width="13.85546875" style="2" bestFit="1" customWidth="1"/>
    <col min="41" max="41" width="14.140625" style="2" bestFit="1" customWidth="1"/>
    <col min="42" max="42" width="13.28515625" style="2" bestFit="1" customWidth="1"/>
    <col min="43" max="43" width="13.42578125" style="2" bestFit="1" customWidth="1"/>
    <col min="44" max="44" width="13.85546875" style="2" bestFit="1" customWidth="1"/>
    <col min="45" max="45" width="14" style="2" bestFit="1" customWidth="1"/>
    <col min="46" max="46" width="14.28515625" style="2" bestFit="1" customWidth="1"/>
    <col min="47" max="47" width="13.7109375" style="2" bestFit="1" customWidth="1"/>
    <col min="48" max="16384" width="9.140625" style="2"/>
  </cols>
  <sheetData>
    <row r="1" spans="1:47" x14ac:dyDescent="0.25">
      <c r="A1" s="47" t="s">
        <v>51</v>
      </c>
      <c r="B1" s="47" t="s">
        <v>274</v>
      </c>
      <c r="C1" s="48" t="s">
        <v>364</v>
      </c>
      <c r="D1" s="48" t="s">
        <v>365</v>
      </c>
      <c r="E1" s="48" t="s">
        <v>366</v>
      </c>
      <c r="F1" s="48" t="s">
        <v>367</v>
      </c>
      <c r="G1" s="65" t="s">
        <v>376</v>
      </c>
      <c r="H1" s="65" t="s">
        <v>377</v>
      </c>
      <c r="I1" s="65" t="s">
        <v>378</v>
      </c>
      <c r="J1" s="66" t="s">
        <v>379</v>
      </c>
      <c r="K1" s="66" t="s">
        <v>380</v>
      </c>
      <c r="L1" s="66" t="s">
        <v>381</v>
      </c>
      <c r="M1" s="66" t="s">
        <v>382</v>
      </c>
      <c r="N1" s="48" t="s">
        <v>383</v>
      </c>
      <c r="O1" s="48" t="s">
        <v>384</v>
      </c>
      <c r="P1" s="48" t="s">
        <v>385</v>
      </c>
      <c r="Q1" s="48" t="s">
        <v>386</v>
      </c>
      <c r="R1" s="65" t="s">
        <v>387</v>
      </c>
      <c r="S1" s="65" t="s">
        <v>388</v>
      </c>
      <c r="T1" s="65" t="s">
        <v>389</v>
      </c>
      <c r="U1" s="66" t="s">
        <v>390</v>
      </c>
      <c r="V1" s="66" t="s">
        <v>391</v>
      </c>
      <c r="W1" s="66" t="s">
        <v>392</v>
      </c>
      <c r="X1" s="66" t="s">
        <v>393</v>
      </c>
      <c r="Y1" s="48" t="s">
        <v>368</v>
      </c>
      <c r="Z1" s="50" t="s">
        <v>369</v>
      </c>
      <c r="AA1" s="50" t="s">
        <v>370</v>
      </c>
      <c r="AB1" s="50" t="s">
        <v>371</v>
      </c>
      <c r="AC1" s="50" t="s">
        <v>372</v>
      </c>
      <c r="AD1" s="67" t="s">
        <v>394</v>
      </c>
      <c r="AE1" s="67" t="s">
        <v>395</v>
      </c>
      <c r="AF1" s="67" t="s">
        <v>396</v>
      </c>
      <c r="AG1" s="67" t="s">
        <v>397</v>
      </c>
      <c r="AH1" s="67" t="s">
        <v>398</v>
      </c>
      <c r="AI1" s="68" t="s">
        <v>399</v>
      </c>
      <c r="AJ1" s="68" t="s">
        <v>400</v>
      </c>
      <c r="AK1" s="68" t="s">
        <v>401</v>
      </c>
      <c r="AL1" s="68" t="s">
        <v>402</v>
      </c>
      <c r="AM1" s="68" t="s">
        <v>403</v>
      </c>
      <c r="AN1" s="50" t="s">
        <v>373</v>
      </c>
      <c r="AO1" s="50" t="s">
        <v>374</v>
      </c>
      <c r="AP1" s="50" t="s">
        <v>375</v>
      </c>
      <c r="AQ1" s="67" t="s">
        <v>404</v>
      </c>
      <c r="AR1" s="67" t="s">
        <v>405</v>
      </c>
      <c r="AS1" s="68" t="s">
        <v>406</v>
      </c>
      <c r="AT1" s="68" t="s">
        <v>407</v>
      </c>
      <c r="AU1" s="68" t="s">
        <v>408</v>
      </c>
    </row>
    <row r="2" spans="1:47" x14ac:dyDescent="0.25">
      <c r="A2" s="49" t="s">
        <v>12</v>
      </c>
      <c r="B2" s="50" t="s">
        <v>289</v>
      </c>
      <c r="C2" s="48">
        <f>IFERROR((s_TR/(up_RadSpec!I2*s_EF_cw*s_ED_con*s_IRS_cw*(1/1000)))*1,".")</f>
        <v>4.848484848484848E-8</v>
      </c>
      <c r="D2" s="48">
        <f>IFERROR(IF(A2="H-3",(s_TR/(up_RadSpec!G2*s_EF_cw*s_ED_con*s_ET_cw_o*(1/24)*s_IRA_cw*(1/17)*1000))*1,(s_TR/(up_RadSpec!G2*s_EF_cw*s_ED_con*s_ET_cw_o*(1/24)*s_IRA_cw*(1/s_PEFsc)*1000))*1),".")</f>
        <v>2.1694802535592706E-7</v>
      </c>
      <c r="E2" s="48">
        <f>IFERROR((s_TR/(up_RadSpec!F2*s_EF_cw*(1/365)*s_ED_con*up_RadSpec!Q2*s_ET_cw_o*(1/24)*up_RadSpec!V2))*1,".")</f>
        <v>2.4800240601503755E-4</v>
      </c>
      <c r="F2" s="48">
        <f t="shared" ref="F2:F30" si="0">(IF(AND(ISNUMBER(C2),ISNUMBER(D2),ISNUMBER(E2)),1/((1/C2)+(1/D2)+(1/E2)),IF(AND(ISNUMBER(C2),ISNUMBER(D2),NOT(ISNUMBER(E2))), 1/((1/C2)+(1/D2)),IF(AND(ISNUMBER(C2),NOT(ISNUMBER(D2)),ISNUMBER(E2)),1/((1/C2)+(1/E2)),IF(AND(NOT(ISNUMBER(C2)),ISNUMBER(D2),ISNUMBER(E2)),1/((1/D2)+(1/E2)),IF(AND(ISNUMBER(C2),NOT(ISNUMBER(D2)),NOT(ISNUMBER(E2))),1/((1/C2)),IF(AND(NOT(ISNUMBER(C2)),NOT(ISNUMBER(D2)),ISNUMBER(E2)),1/((1/E2)),IF(AND(NOT(ISNUMBER(C2)),ISNUMBER(D2),NOT(ISNUMBER(E2))),1/((1/D2)),IF(AND(NOT(ISNUMBER(C2)),NOT(ISNUMBER(D2)),NOT(ISNUMBER(E2))),".")))))))))</f>
        <v>3.9622114122593566E-8</v>
      </c>
      <c r="G2" s="69">
        <f t="shared" ref="G2:G30" si="1">s_C*s_EF_cw*s_ED_con*s_IRS_cw*(1/1000)*1</f>
        <v>229164.375</v>
      </c>
      <c r="H2" s="69">
        <f t="shared" ref="H2:H30" si="2">s_C*s_EF_cw*s_ED_con*(s_ET_cw_i+s_ET_cw_o)*(1/24)*s_IRA_cw*(1/s_PEFsc)*1000*1</f>
        <v>51215.031719100385</v>
      </c>
      <c r="I2" s="69">
        <f>s_C*s_EF_cw*(1/365)*s_ED_con*(s_ET_cw_i+s_ET_cw_o)*(1/24)*up_RadSpec!V2*up_RadSpec!Q2*1</f>
        <v>44.801984700609246</v>
      </c>
      <c r="J2" s="11"/>
      <c r="K2" s="11"/>
      <c r="L2" s="11"/>
      <c r="M2" s="11"/>
      <c r="N2" s="48">
        <f>IFERROR((s_TR/(up_RadSpec!I2*s_EF_cw*s_ED_con*s_IRS_cw*(1/1000)))*1,".")</f>
        <v>4.848484848484848E-8</v>
      </c>
      <c r="O2" s="48">
        <f>IFERROR(IF(A2="H-3",(s_TR/(up_RadSpec!G2*s_EF_cw*s_ED_con*s_ET_cw_o*(1/24)*s_IRA_cw*(1/17)*1000))*1,(s_TR/(up_RadSpec!G2*s_EF_cw*s_ED_con*s_ET_cw_o*(1/24)*s_IRA_cw*(1/s_PEF__sc)*1000))*1),".")</f>
        <v>1.3644722035813288E-6</v>
      </c>
      <c r="P2" s="48">
        <f>IFERROR((s_TR/(up_RadSpec!F2*s_EF_cw*(1/365)*s_ED_con*up_RadSpec!Q2*s_ET_cw_o*(1/24)*up_RadSpec!V2))*1,".")</f>
        <v>2.4800240601503755E-4</v>
      </c>
      <c r="Q2" s="48">
        <f t="shared" ref="Q2" si="3">(IF(AND(ISNUMBER(N2),ISNUMBER(O2),ISNUMBER(P2)),1/((1/N2)+(1/O2)+(1/P2)),IF(AND(ISNUMBER(N2),ISNUMBER(O2),NOT(ISNUMBER(P2))), 1/((1/N2)+(1/O2)),IF(AND(ISNUMBER(N2),NOT(ISNUMBER(O2)),ISNUMBER(P2)),1/((1/N2)+(1/P2)),IF(AND(NOT(ISNUMBER(N2)),ISNUMBER(O2),ISNUMBER(P2)),1/((1/O2)+(1/P2)),IF(AND(ISNUMBER(N2),NOT(ISNUMBER(O2)),NOT(ISNUMBER(P2))),1/((1/N2)),IF(AND(NOT(ISNUMBER(N2)),NOT(ISNUMBER(O2)),ISNUMBER(P2)),1/((1/P2)),IF(AND(NOT(ISNUMBER(N2)),ISNUMBER(O2),NOT(ISNUMBER(P2))),1/((1/O2)),IF(AND(NOT(ISNUMBER(N2)),NOT(ISNUMBER(O2)),NOT(ISNUMBER(P2))),".")))))))))</f>
        <v>4.6812279595269777E-8</v>
      </c>
      <c r="R2" s="69">
        <f t="shared" ref="R2:R30" si="4">s_C*s_EF_cw*s_ED_con*s_IRS_cw*(1/1000)*1</f>
        <v>229164.375</v>
      </c>
      <c r="S2" s="69">
        <f t="shared" ref="S2:S30" si="5">s_C*s_EF_cw*s_ED_con*(s_ET_cw_i+s_ET_cw_o)*(1/24)*s_IRA_cw*(1/s_PEF__sc)*1000*1</f>
        <v>8143.0753743733067</v>
      </c>
      <c r="T2" s="69">
        <f>s_C*s_EF_cw*(1/365)*s_ED_con*(s_ET_cw_i+s_ET_cw_o)*(1/24)*up_RadSpec!V2*up_RadSpec!Q2*1</f>
        <v>44.801984700609246</v>
      </c>
      <c r="U2" s="11"/>
      <c r="V2" s="11"/>
      <c r="W2" s="11"/>
      <c r="X2" s="48"/>
      <c r="Y2" s="48">
        <f>IFERROR((s_TR/(up_RadSpec!F2*s_EF_cw*(1/365)*s_ED_con*up_RadSpec!Q2*s_ET_cw_o*(1/24)*up_RadSpec!V2))*1,".")</f>
        <v>2.4800240601503755E-4</v>
      </c>
      <c r="Z2" s="48">
        <f>IFERROR((s_TR/(up_RadSpec!M2*s_EF_cw*(1/365)*s_ED_con*up_RadSpec!R2*s_ET_cw_o*(1/24)*up_RadSpec!W2))*1,".")</f>
        <v>5.0144502617801027E-4</v>
      </c>
      <c r="AA2" s="48">
        <f>IFERROR((s_TR/(up_RadSpec!N2*s_EF_cw*(1/365)*s_ED_con*up_RadSpec!S2*s_ET_cw_o*(1/24)*up_RadSpec!X2))*1,".")</f>
        <v>3.4057570093457928E-4</v>
      </c>
      <c r="AB2" s="48">
        <f>IFERROR((s_TR/(up_RadSpec!O2*s_EF_cw*(1/365)*s_ED_con*up_RadSpec!T2*s_ET_cw_o*(1/24)*up_RadSpec!Y2))*1,".")</f>
        <v>2.8309368191721128E-4</v>
      </c>
      <c r="AC2" s="48">
        <f>IFERROR((s_TR/(up_RadSpec!K2*s_EF_cw*(1/365)*s_ED_con*up_RadSpec!P2*s_ET_cw_o*(1/24)*up_RadSpec!U2))*1,".")</f>
        <v>3.9680945347119649E-3</v>
      </c>
      <c r="AD2" s="69">
        <f>s_C*s_EF_cw*(1/365)*s_ED_con*(s_ET_cw_i+s_ET_cw_o)*(1/24)*up_RadSpec!V2*up_RadSpec!Q2*1</f>
        <v>44.801984700609246</v>
      </c>
      <c r="AE2" s="69">
        <f>s_C*s_EF_cw*(1/365)*s_ED_con*(s_ET_cw_i+s_ET_cw_o)*(1/24)*up_RadSpec!W2*up_RadSpec!R2*1</f>
        <v>22.157962328767127</v>
      </c>
      <c r="AF2" s="69">
        <f>s_C*s_EF_cw*(1/365)*s_ED_con*(s_ET_cw_i+s_ET_cw_o)*(1/24)*up_RadSpec!X2*up_RadSpec!S2*1</f>
        <v>32.62417127678259</v>
      </c>
      <c r="AG2" s="69">
        <f>s_C*s_EF_cw*(1/365)*s_ED_con*(s_ET_cw_i+s_ET_cw_o)*(1/24)*up_RadSpec!Y2*up_RadSpec!T2*1</f>
        <v>39.24849161151301</v>
      </c>
      <c r="AH2" s="69">
        <f>s_C*s_EF_cw*(1/365)*s_ED_con*(s_ET_cw_i+s_ET_cw_o)*(1/24)*up_RadSpec!U2*up_RadSpec!P2*1</f>
        <v>2.8000844997022032</v>
      </c>
      <c r="AI2" s="11"/>
      <c r="AJ2" s="11"/>
      <c r="AK2" s="11"/>
      <c r="AL2" s="11"/>
      <c r="AM2" s="11"/>
      <c r="AN2" s="48">
        <f>IFERROR(s_TR/(up_RadSpec!G2*s_EF_cw*s_ED_con*s_ET_cw_o*(1/24)*s_IRA_cw),".")</f>
        <v>4.2666666666666664E-10</v>
      </c>
      <c r="AO2" s="48">
        <f>IFERROR(s_TR/(up_RadSpec!J2*s_EF_cw*(1/365)*s_ED_con*s_ET_cw_o*(1/24)*s_GSF_a),".")</f>
        <v>2.3359999999999997E-6</v>
      </c>
      <c r="AP2" s="48">
        <f t="shared" ref="AP2" si="6">IFERROR(IF(AND(ISNUMBER(AN2),ISNUMBER(AO2)),1/((1/AN2)+(1/AO2)),IF(AND(ISNUMBER(AN2),NOT(ISNUMBER(AO2))),1/((1/AN2)),IF(AND(NOT(ISNUMBER(AN2)),ISNUMBER(AO2)),1/((1/AO2)),IF(AND(NOT(ISNUMBER(AN2)),NOT(ISNUMBER(AO2))),".")))),".")</f>
        <v>4.2658875091307519E-10</v>
      </c>
      <c r="AQ2" s="69">
        <f t="shared" ref="AQ2:AQ30" si="7">s_C*s_EF_cw*s_ED_con*(s_ET_cw_i+s_ET_cw_o)*(1/24)*s_IRA_cw*1</f>
        <v>26041406.25</v>
      </c>
      <c r="AR2" s="69">
        <f t="shared" ref="AR2:AR30" si="8">s_C*s_EF_cw*(1/365)*s_ED_con*(s_ET_cw_i+s_ET_cw_o)*(1/24)*s_GSF_a*1</f>
        <v>4756.4212328767117</v>
      </c>
      <c r="AS2" s="11"/>
      <c r="AT2" s="11"/>
      <c r="AU2" s="11"/>
    </row>
    <row r="3" spans="1:47" x14ac:dyDescent="0.25">
      <c r="A3" s="51" t="s">
        <v>13</v>
      </c>
      <c r="B3" s="50" t="s">
        <v>275</v>
      </c>
      <c r="C3" s="48">
        <f>IFERROR((s_TR/(up_RadSpec!I3*s_EF_cw*s_ED_con*s_IRS_cw*(1/1000)))*1,".")</f>
        <v>4.848484848484848E-8</v>
      </c>
      <c r="D3" s="48">
        <f>IFERROR(IF(A3="H-3",(s_TR/(up_RadSpec!G3*s_EF_cw*s_ED_con*s_ET_cw_o*(1/24)*s_IRA_cw*(1/17)*1000))*1,(s_TR/(up_RadSpec!G3*s_EF_cw*s_ED_con*s_ET_cw_o*(1/24)*s_IRA_cw*(1/s_PEFsc)*1000))*1),".")</f>
        <v>2.1694802535592706E-7</v>
      </c>
      <c r="E3" s="48">
        <f>IFERROR((s_TR/(up_RadSpec!F3*s_EF_cw*(1/365)*s_ED_con*up_RadSpec!Q3*s_ET_cw_o*(1/24)*up_RadSpec!V3))*1,".")</f>
        <v>3.2537142857142869E-2</v>
      </c>
      <c r="F3" s="48">
        <f t="shared" si="0"/>
        <v>3.9628397097519102E-8</v>
      </c>
      <c r="G3" s="69">
        <f t="shared" si="1"/>
        <v>229164.375</v>
      </c>
      <c r="H3" s="69">
        <f t="shared" si="2"/>
        <v>51215.031719100385</v>
      </c>
      <c r="I3" s="69">
        <f>s_C*s_EF_cw*(1/365)*s_ED_con*(s_ET_cw_i+s_ET_cw_o)*(1/24)*up_RadSpec!V3*up_RadSpec!Q3*1</f>
        <v>0.34148665261678945</v>
      </c>
      <c r="J3" s="4"/>
      <c r="K3" s="4"/>
      <c r="L3" s="4"/>
      <c r="M3" s="4"/>
      <c r="N3" s="48">
        <f>IFERROR((s_TR/(up_RadSpec!I3*s_EF_cw*s_ED_con*s_IRS_cw*(1/1000)))*1,".")</f>
        <v>4.848484848484848E-8</v>
      </c>
      <c r="O3" s="48">
        <f>IFERROR(IF(A3="H-3",(s_TR/(up_RadSpec!G3*s_EF_cw*s_ED_con*s_ET_cw_o*(1/24)*s_IRA_cw*(1/17)*1000))*1,(s_TR/(up_RadSpec!G3*s_EF_cw*s_ED_con*s_ET_cw_o*(1/24)*s_IRA_cw*(1/s_PEF__sc)*1000))*1),".")</f>
        <v>1.3644722035813288E-6</v>
      </c>
      <c r="P3" s="48">
        <f>IFERROR((s_TR/(up_RadSpec!F3*s_EF_cw*(1/365)*s_ED_con*up_RadSpec!Q3*s_ET_cw_o*(1/24)*up_RadSpec!V3))*1,".")</f>
        <v>3.2537142857142869E-2</v>
      </c>
      <c r="Q3" s="48">
        <f>(IF(AND(ISNUMBER(N3),ISNUMBER(O3),ISNUMBER(P3)),1/((1/N3)+(1/O3)+(1/P3)),IF(AND(ISNUMBER(N3),ISNUMBER(O3),NOT(ISNUMBER(P3))), 1/((1/N3)+(1/O3)),IF(AND(ISNUMBER(N3),NOT(ISNUMBER(O3)),ISNUMBER(P3)),1/((1/N3)+(1/P3)),IF(AND(NOT(ISNUMBER(N3)),ISNUMBER(O3),ISNUMBER(P3)),1/((1/O3)+(1/P3)),IF(AND(ISNUMBER(N3),NOT(ISNUMBER(O3)),NOT(ISNUMBER(P3))),1/((1/N3)),IF(AND(NOT(ISNUMBER(N3)),NOT(ISNUMBER(O3)),ISNUMBER(P3)),1/((1/P3)),IF(AND(NOT(ISNUMBER(N3)),ISNUMBER(O3),NOT(ISNUMBER(P3))),1/((1/O3)),IF(AND(NOT(ISNUMBER(N3)),NOT(ISNUMBER(O3)),NOT(ISNUMBER(P3))),".")))))))))</f>
        <v>4.6821050050083942E-8</v>
      </c>
      <c r="R3" s="69">
        <f t="shared" si="4"/>
        <v>229164.375</v>
      </c>
      <c r="S3" s="69">
        <f t="shared" si="5"/>
        <v>8143.0753743733067</v>
      </c>
      <c r="T3" s="69">
        <f>s_C*s_EF_cw*(1/365)*s_ED_con*(s_ET_cw_i+s_ET_cw_o)*(1/24)*up_RadSpec!V3*up_RadSpec!Q3*1</f>
        <v>0.34148665261678945</v>
      </c>
      <c r="U3" s="11"/>
      <c r="V3" s="11"/>
      <c r="W3" s="11"/>
      <c r="X3" s="11"/>
      <c r="Y3" s="48">
        <f>IFERROR((s_TR/(up_RadSpec!F3*s_EF_cw*(1/365)*s_ED_con*up_RadSpec!Q3*s_ET_cw_o*(1/24)*up_RadSpec!V3))*1,".")</f>
        <v>3.2537142857142869E-2</v>
      </c>
      <c r="Z3" s="48">
        <f>IFERROR((s_TR/(up_RadSpec!M3*s_EF_cw*(1/365)*s_ED_con*up_RadSpec!R3*s_ET_cw_o*(1/24)*up_RadSpec!W3))*1,".")</f>
        <v>4.5622390194075588E-2</v>
      </c>
      <c r="AA3" s="48">
        <f>IFERROR((s_TR/(up_RadSpec!N3*s_EF_cw*(1/365)*s_ED_con*up_RadSpec!S3*s_ET_cw_o*(1/24)*up_RadSpec!X3))*1,".")</f>
        <v>3.4588287292817675E-2</v>
      </c>
      <c r="AB3" s="48">
        <f>IFERROR((s_TR/(up_RadSpec!O3*s_EF_cw*(1/365)*s_ED_con*up_RadSpec!T3*s_ET_cw_o*(1/24)*up_RadSpec!Y3))*1,".")</f>
        <v>3.5654202520643184E-2</v>
      </c>
      <c r="AC3" s="48">
        <f>IFERROR((s_TR/(up_RadSpec!K3*s_EF_cw*(1/365)*s_ED_con*up_RadSpec!P3*s_ET_cw_o*(1/24)*up_RadSpec!U3))*1,".")</f>
        <v>7.0734671963921428E-2</v>
      </c>
      <c r="AD3" s="69">
        <f>s_C*s_EF_cw*(1/365)*s_ED_con*(s_ET_cw_i+s_ET_cw_o)*(1/24)*up_RadSpec!V3*up_RadSpec!Q3*1</f>
        <v>0.34148665261678945</v>
      </c>
      <c r="AE3" s="69">
        <f>s_C*s_EF_cw*(1/365)*s_ED_con*(s_ET_cw_i+s_ET_cw_o)*(1/24)*up_RadSpec!W3*up_RadSpec!R3*1</f>
        <v>0.24354269806413698</v>
      </c>
      <c r="AF3" s="69">
        <f>s_C*s_EF_cw*(1/365)*s_ED_con*(s_ET_cw_i+s_ET_cw_o)*(1/24)*up_RadSpec!X3*up_RadSpec!S3*1</f>
        <v>0.32123591162338982</v>
      </c>
      <c r="AG3" s="69">
        <f>s_C*s_EF_cw*(1/365)*s_ED_con*(s_ET_cw_i+s_ET_cw_o)*(1/24)*up_RadSpec!Y3*up_RadSpec!T3*1</f>
        <v>0.31163226813352274</v>
      </c>
      <c r="AH3" s="69">
        <f>s_C*s_EF_cw*(1/365)*s_ED_con*(s_ET_cw_i+s_ET_cw_o)*(1/24)*up_RadSpec!U3*up_RadSpec!P3*1</f>
        <v>0.1570799678786553</v>
      </c>
      <c r="AI3" s="11"/>
      <c r="AJ3" s="11"/>
      <c r="AK3" s="11"/>
      <c r="AL3" s="11"/>
      <c r="AM3" s="11"/>
      <c r="AN3" s="48">
        <f>IFERROR(s_TR/(up_RadSpec!G3*s_EF_cw*s_ED_con*s_ET_cw_o*(1/24)*s_IRA_cw),".")</f>
        <v>4.2666666666666664E-10</v>
      </c>
      <c r="AO3" s="48">
        <f>IFERROR(s_TR/(up_RadSpec!J3*s_EF_cw*(1/365)*s_ED_con*s_ET_cw_o*(1/24)*s_GSF_a),".")</f>
        <v>2.3359999999999997E-6</v>
      </c>
      <c r="AP3" s="48">
        <f>IFERROR(IF(AND(ISNUMBER(AN3),ISNUMBER(AO3)),1/((1/AN3)+(1/AO3)),IF(AND(ISNUMBER(AN3),NOT(ISNUMBER(AO3))),1/((1/AN3)),IF(AND(NOT(ISNUMBER(AN3)),ISNUMBER(AO3)),1/((1/AO3)),IF(AND(NOT(ISNUMBER(AN3)),NOT(ISNUMBER(AO3))),".")))),".")</f>
        <v>4.2658875091307519E-10</v>
      </c>
      <c r="AQ3" s="69">
        <f t="shared" si="7"/>
        <v>26041406.25</v>
      </c>
      <c r="AR3" s="69">
        <f t="shared" si="8"/>
        <v>4756.4212328767117</v>
      </c>
      <c r="AS3" s="10"/>
      <c r="AT3" s="10"/>
      <c r="AU3" s="10"/>
    </row>
    <row r="4" spans="1:47" x14ac:dyDescent="0.25">
      <c r="A4" s="49" t="s">
        <v>14</v>
      </c>
      <c r="B4" s="50" t="s">
        <v>289</v>
      </c>
      <c r="C4" s="48">
        <f>IFERROR((s_TR/(up_RadSpec!I4*s_EF_cw*s_ED_con*s_IRS_cw*(1/1000)))*1,".")</f>
        <v>4.848484848484848E-8</v>
      </c>
      <c r="D4" s="48">
        <f>IFERROR(IF(A4="H-3",(s_TR/(up_RadSpec!G4*s_EF_cw*s_ED_con*s_ET_cw_o*(1/24)*s_IRA_cw*(1/17)*1000))*1,(s_TR/(up_RadSpec!G4*s_EF_cw*s_ED_con*s_ET_cw_o*(1/24)*s_IRA_cw*(1/s_PEFsc)*1000))*1),".")</f>
        <v>2.1694802535592706E-7</v>
      </c>
      <c r="E4" s="48">
        <f>IFERROR((s_TR/(up_RadSpec!F4*s_EF_cw*(1/365)*s_ED_con*up_RadSpec!Q4*s_ET_cw_o*(1/24)*up_RadSpec!V4))*1,".")</f>
        <v>1.2112592592592593E-4</v>
      </c>
      <c r="F4" s="48">
        <f t="shared" si="0"/>
        <v>3.9615484470576238E-8</v>
      </c>
      <c r="G4" s="69">
        <f t="shared" si="1"/>
        <v>229164.375</v>
      </c>
      <c r="H4" s="69">
        <f t="shared" si="2"/>
        <v>51215.031719100385</v>
      </c>
      <c r="I4" s="69">
        <f>s_C*s_EF_cw*(1/365)*s_ED_con*(s_ET_cw_i+s_ET_cw_o)*(1/24)*up_RadSpec!V4*up_RadSpec!Q4*1</f>
        <v>91.730980919765145</v>
      </c>
      <c r="J4" s="4"/>
      <c r="K4" s="4"/>
      <c r="L4" s="4"/>
      <c r="M4" s="4"/>
      <c r="N4" s="48">
        <f>IFERROR((s_TR/(up_RadSpec!I4*s_EF_cw*s_ED_con*s_IRS_cw*(1/1000)))*1,".")</f>
        <v>4.848484848484848E-8</v>
      </c>
      <c r="O4" s="48">
        <f>IFERROR(IF(A4="H-3",(s_TR/(up_RadSpec!G4*s_EF_cw*s_ED_con*s_ET_cw_o*(1/24)*s_IRA_cw*(1/17)*1000))*1,(s_TR/(up_RadSpec!G4*s_EF_cw*s_ED_con*s_ET_cw_o*(1/24)*s_IRA_cw*(1/s_PEF__sc)*1000))*1),".")</f>
        <v>1.3644722035813288E-6</v>
      </c>
      <c r="P4" s="48">
        <f>IFERROR((s_TR/(up_RadSpec!F4*s_EF_cw*(1/365)*s_ED_con*up_RadSpec!Q4*s_ET_cw_o*(1/24)*up_RadSpec!V4))*1,".")</f>
        <v>1.2112592592592593E-4</v>
      </c>
      <c r="Q4" s="48">
        <f t="shared" ref="Q4:Q30" si="9">(IF(AND(ISNUMBER(N4),ISNUMBER(O4),ISNUMBER(P4)),1/((1/N4)+(1/O4)+(1/P4)),IF(AND(ISNUMBER(N4),ISNUMBER(O4),NOT(ISNUMBER(P4))), 1/((1/N4)+(1/O4)),IF(AND(ISNUMBER(N4),NOT(ISNUMBER(O4)),ISNUMBER(P4)),1/((1/N4)+(1/P4)),IF(AND(NOT(ISNUMBER(N4)),ISNUMBER(O4),ISNUMBER(P4)),1/((1/O4)+(1/P4)),IF(AND(ISNUMBER(N4),NOT(ISNUMBER(O4)),NOT(ISNUMBER(P4))),1/((1/N4)),IF(AND(NOT(ISNUMBER(N4)),NOT(ISNUMBER(O4)),ISNUMBER(P4)),1/((1/P4)),IF(AND(NOT(ISNUMBER(N4)),ISNUMBER(O4),NOT(ISNUMBER(P4))),1/((1/O4)),IF(AND(NOT(ISNUMBER(N4)),NOT(ISNUMBER(O4)),NOT(ISNUMBER(P4))),".")))))))))</f>
        <v>4.6803025758421658E-8</v>
      </c>
      <c r="R4" s="69">
        <f t="shared" si="4"/>
        <v>229164.375</v>
      </c>
      <c r="S4" s="69">
        <f t="shared" si="5"/>
        <v>8143.0753743733067</v>
      </c>
      <c r="T4" s="69">
        <f>s_C*s_EF_cw*(1/365)*s_ED_con*(s_ET_cw_i+s_ET_cw_o)*(1/24)*up_RadSpec!V4*up_RadSpec!Q4*1</f>
        <v>91.730980919765145</v>
      </c>
      <c r="U4" s="11"/>
      <c r="V4" s="11"/>
      <c r="W4" s="11"/>
      <c r="X4" s="11"/>
      <c r="Y4" s="48">
        <f>IFERROR((s_TR/(up_RadSpec!F4*s_EF_cw*(1/365)*s_ED_con*up_RadSpec!Q4*s_ET_cw_o*(1/24)*up_RadSpec!V4))*1,".")</f>
        <v>1.2112592592592593E-4</v>
      </c>
      <c r="Z4" s="48">
        <f>IFERROR((s_TR/(up_RadSpec!M4*s_EF_cw*(1/365)*s_ED_con*up_RadSpec!R4*s_ET_cw_o*(1/24)*up_RadSpec!W4))*1,".")</f>
        <v>1.9766153846153848E-4</v>
      </c>
      <c r="AA4" s="48">
        <f>IFERROR((s_TR/(up_RadSpec!N4*s_EF_cw*(1/365)*s_ED_con*up_RadSpec!S4*s_ET_cw_o*(1/24)*up_RadSpec!X4))*1,".")</f>
        <v>1.4219130434782603E-4</v>
      </c>
      <c r="AB4" s="48">
        <f>IFERROR((s_TR/(up_RadSpec!O4*s_EF_cw*(1/365)*s_ED_con*up_RadSpec!T4*s_ET_cw_o*(1/24)*up_RadSpec!Y4))*1,".")</f>
        <v>1.2377701096541674E-4</v>
      </c>
      <c r="AC4" s="48">
        <f>IFERROR((s_TR/(up_RadSpec!K4*s_EF_cw*(1/365)*s_ED_con*up_RadSpec!P4*s_ET_cw_o*(1/24)*up_RadSpec!U4))*1,".")</f>
        <v>3.6503374942209872E-4</v>
      </c>
      <c r="AD4" s="69">
        <f>s_C*s_EF_cw*(1/365)*s_ED_con*(s_ET_cw_i+s_ET_cw_o)*(1/24)*up_RadSpec!V4*up_RadSpec!Q4*1</f>
        <v>91.730980919765145</v>
      </c>
      <c r="AE4" s="69">
        <f>s_C*s_EF_cw*(1/365)*s_ED_con*(s_ET_cw_i+s_ET_cw_o)*(1/24)*up_RadSpec!W4*up_RadSpec!R4*1</f>
        <v>56.212250933997488</v>
      </c>
      <c r="AF4" s="69">
        <f>s_C*s_EF_cw*(1/365)*s_ED_con*(s_ET_cw_i+s_ET_cw_o)*(1/24)*up_RadSpec!X4*up_RadSpec!S4*1</f>
        <v>78.141205968688851</v>
      </c>
      <c r="AG4" s="69">
        <f>s_C*s_EF_cw*(1/365)*s_ED_con*(s_ET_cw_i+s_ET_cw_o)*(1/24)*up_RadSpec!Y4*up_RadSpec!T4*1</f>
        <v>89.766265264754267</v>
      </c>
      <c r="AH4" s="69">
        <f>s_C*s_EF_cw*(1/365)*s_ED_con*(s_ET_cw_i+s_ET_cw_o)*(1/24)*up_RadSpec!U4*up_RadSpec!P4*1</f>
        <v>30.43828143997731</v>
      </c>
      <c r="AI4" s="11"/>
      <c r="AJ4" s="11"/>
      <c r="AK4" s="11"/>
      <c r="AL4" s="11"/>
      <c r="AM4" s="11"/>
      <c r="AN4" s="48">
        <f>IFERROR(s_TR/(up_RadSpec!G4*s_EF_cw*s_ED_con*s_ET_cw_o*(1/24)*s_IRA_cw),".")</f>
        <v>4.2666666666666664E-10</v>
      </c>
      <c r="AO4" s="48">
        <f>IFERROR(s_TR/(up_RadSpec!J4*s_EF_cw*(1/365)*s_ED_con*s_ET_cw_o*(1/24)*s_GSF_a),".")</f>
        <v>2.3359999999999997E-6</v>
      </c>
      <c r="AP4" s="48">
        <f t="shared" ref="AP4:AP30" si="10">IFERROR(IF(AND(ISNUMBER(AN4),ISNUMBER(AO4)),1/((1/AN4)+(1/AO4)),IF(AND(ISNUMBER(AN4),NOT(ISNUMBER(AO4))),1/((1/AN4)),IF(AND(NOT(ISNUMBER(AN4)),ISNUMBER(AO4)),1/((1/AO4)),IF(AND(NOT(ISNUMBER(AN4)),NOT(ISNUMBER(AO4))),".")))),".")</f>
        <v>4.2658875091307519E-10</v>
      </c>
      <c r="AQ4" s="69">
        <f t="shared" si="7"/>
        <v>26041406.25</v>
      </c>
      <c r="AR4" s="69">
        <f t="shared" si="8"/>
        <v>4756.4212328767117</v>
      </c>
      <c r="AS4" s="10"/>
      <c r="AT4" s="10"/>
      <c r="AU4" s="10"/>
    </row>
    <row r="5" spans="1:47" x14ac:dyDescent="0.25">
      <c r="A5" s="49" t="s">
        <v>15</v>
      </c>
      <c r="B5" s="50" t="s">
        <v>289</v>
      </c>
      <c r="C5" s="48">
        <f>IFERROR((s_TR/(up_RadSpec!I5*s_EF_cw*s_ED_con*s_IRS_cw*(1/1000)))*1,".")</f>
        <v>4.848484848484848E-8</v>
      </c>
      <c r="D5" s="48">
        <f>IFERROR(IF(A5="H-3",(s_TR/(up_RadSpec!G5*s_EF_cw*s_ED_con*s_ET_cw_o*(1/24)*s_IRA_cw*(1/17)*1000))*1,(s_TR/(up_RadSpec!G5*s_EF_cw*s_ED_con*s_ET_cw_o*(1/24)*s_IRA_cw*(1/s_PEFsc)*1000))*1),".")</f>
        <v>2.1694802535592706E-7</v>
      </c>
      <c r="E5" s="48" t="str">
        <f>IFERROR((s_TR/(up_RadSpec!F5*s_EF_cw*(1/365)*s_ED_con*up_RadSpec!Q5*s_ET_cw_o*(1/24)*up_RadSpec!V5))*1,".")</f>
        <v>.</v>
      </c>
      <c r="F5" s="48">
        <f t="shared" si="0"/>
        <v>3.9628445362720997E-8</v>
      </c>
      <c r="G5" s="69">
        <f t="shared" si="1"/>
        <v>229164.375</v>
      </c>
      <c r="H5" s="69">
        <f t="shared" si="2"/>
        <v>51215.031719100385</v>
      </c>
      <c r="I5" s="69">
        <f>s_C*s_EF_cw*(1/365)*s_ED_con*(s_ET_cw_i+s_ET_cw_o)*(1/24)*up_RadSpec!V5*up_RadSpec!Q5*1</f>
        <v>0</v>
      </c>
      <c r="J5" s="4"/>
      <c r="K5" s="4"/>
      <c r="L5" s="4"/>
      <c r="M5" s="4"/>
      <c r="N5" s="48">
        <f>IFERROR((s_TR/(up_RadSpec!I5*s_EF_cw*s_ED_con*s_IRS_cw*(1/1000)))*1,".")</f>
        <v>4.848484848484848E-8</v>
      </c>
      <c r="O5" s="48">
        <f>IFERROR(IF(A5="H-3",(s_TR/(up_RadSpec!G5*s_EF_cw*s_ED_con*s_ET_cw_o*(1/24)*s_IRA_cw*(1/17)*1000))*1,(s_TR/(up_RadSpec!G5*s_EF_cw*s_ED_con*s_ET_cw_o*(1/24)*s_IRA_cw*(1/s_PEF__sc)*1000))*1),".")</f>
        <v>1.3644722035813288E-6</v>
      </c>
      <c r="P5" s="48" t="str">
        <f>IFERROR((s_TR/(up_RadSpec!F5*s_EF_cw*(1/365)*s_ED_con*up_RadSpec!Q5*s_ET_cw_o*(1/24)*up_RadSpec!V5))*1,".")</f>
        <v>.</v>
      </c>
      <c r="Q5" s="48">
        <f t="shared" si="9"/>
        <v>4.6821117425817949E-8</v>
      </c>
      <c r="R5" s="69">
        <f t="shared" si="4"/>
        <v>229164.375</v>
      </c>
      <c r="S5" s="69">
        <f t="shared" si="5"/>
        <v>8143.0753743733067</v>
      </c>
      <c r="T5" s="69">
        <f>s_C*s_EF_cw*(1/365)*s_ED_con*(s_ET_cw_i+s_ET_cw_o)*(1/24)*up_RadSpec!V5*up_RadSpec!Q5*1</f>
        <v>0</v>
      </c>
      <c r="U5" s="11"/>
      <c r="V5" s="11"/>
      <c r="W5" s="11"/>
      <c r="X5" s="11"/>
      <c r="Y5" s="48" t="str">
        <f>IFERROR((s_TR/(up_RadSpec!F5*s_EF_cw*(1/365)*s_ED_con*up_RadSpec!Q5*s_ET_cw_o*(1/24)*up_RadSpec!V5))*1,".")</f>
        <v>.</v>
      </c>
      <c r="Z5" s="48" t="str">
        <f>IFERROR((s_TR/(up_RadSpec!M5*s_EF_cw*(1/365)*s_ED_con*up_RadSpec!R5*s_ET_cw_o*(1/24)*up_RadSpec!W5))*1,".")</f>
        <v>.</v>
      </c>
      <c r="AA5" s="48" t="str">
        <f>IFERROR((s_TR/(up_RadSpec!N5*s_EF_cw*(1/365)*s_ED_con*up_RadSpec!S5*s_ET_cw_o*(1/24)*up_RadSpec!X5))*1,".")</f>
        <v>.</v>
      </c>
      <c r="AB5" s="48" t="str">
        <f>IFERROR((s_TR/(up_RadSpec!O5*s_EF_cw*(1/365)*s_ED_con*up_RadSpec!T5*s_ET_cw_o*(1/24)*up_RadSpec!Y5))*1,".")</f>
        <v>.</v>
      </c>
      <c r="AC5" s="48" t="str">
        <f>IFERROR((s_TR/(up_RadSpec!K5*s_EF_cw*(1/365)*s_ED_con*up_RadSpec!P5*s_ET_cw_o*(1/24)*up_RadSpec!U5))*1,".")</f>
        <v>.</v>
      </c>
      <c r="AD5" s="69">
        <f>s_C*s_EF_cw*(1/365)*s_ED_con*(s_ET_cw_i+s_ET_cw_o)*(1/24)*up_RadSpec!V5*up_RadSpec!Q5*1</f>
        <v>0</v>
      </c>
      <c r="AE5" s="69">
        <f>s_C*s_EF_cw*(1/365)*s_ED_con*(s_ET_cw_i+s_ET_cw_o)*(1/24)*up_RadSpec!W5*up_RadSpec!R5*1</f>
        <v>0</v>
      </c>
      <c r="AF5" s="69">
        <f>s_C*s_EF_cw*(1/365)*s_ED_con*(s_ET_cw_i+s_ET_cw_o)*(1/24)*up_RadSpec!X5*up_RadSpec!S5*1</f>
        <v>0</v>
      </c>
      <c r="AG5" s="69">
        <f>s_C*s_EF_cw*(1/365)*s_ED_con*(s_ET_cw_i+s_ET_cw_o)*(1/24)*up_RadSpec!Y5*up_RadSpec!T5*1</f>
        <v>0</v>
      </c>
      <c r="AH5" s="69">
        <f>s_C*s_EF_cw*(1/365)*s_ED_con*(s_ET_cw_i+s_ET_cw_o)*(1/24)*up_RadSpec!U5*up_RadSpec!P5*1</f>
        <v>0</v>
      </c>
      <c r="AI5" s="11"/>
      <c r="AJ5" s="11"/>
      <c r="AK5" s="11"/>
      <c r="AL5" s="11"/>
      <c r="AM5" s="11"/>
      <c r="AN5" s="48">
        <f>IFERROR(s_TR/(up_RadSpec!G5*s_EF_cw*s_ED_con*s_ET_cw_o*(1/24)*s_IRA_cw),".")</f>
        <v>4.2666666666666664E-10</v>
      </c>
      <c r="AO5" s="48">
        <f>IFERROR(s_TR/(up_RadSpec!J5*s_EF_cw*(1/365)*s_ED_con*s_ET_cw_o*(1/24)*s_GSF_a),".")</f>
        <v>2.3359999999999997E-6</v>
      </c>
      <c r="AP5" s="48">
        <f t="shared" si="10"/>
        <v>4.2658875091307519E-10</v>
      </c>
      <c r="AQ5" s="69">
        <f t="shared" si="7"/>
        <v>26041406.25</v>
      </c>
      <c r="AR5" s="69">
        <f t="shared" si="8"/>
        <v>4756.4212328767117</v>
      </c>
      <c r="AS5" s="10"/>
      <c r="AT5" s="10"/>
      <c r="AU5" s="10"/>
    </row>
    <row r="6" spans="1:47" x14ac:dyDescent="0.25">
      <c r="A6" s="49" t="s">
        <v>16</v>
      </c>
      <c r="B6" s="50" t="s">
        <v>289</v>
      </c>
      <c r="C6" s="48">
        <f>IFERROR((s_TR/(up_RadSpec!I6*s_EF_cw*s_ED_con*s_IRS_cw*(1/1000)))*1,".")</f>
        <v>4.848484848484848E-8</v>
      </c>
      <c r="D6" s="48">
        <f>IFERROR(IF(A6="H-3",(s_TR/(up_RadSpec!G6*s_EF_cw*s_ED_con*s_ET_cw_o*(1/24)*s_IRA_cw*(1/17)*1000))*1,(s_TR/(up_RadSpec!G6*s_EF_cw*s_ED_con*s_ET_cw_o*(1/24)*s_IRA_cw*(1/s_PEFsc)*1000))*1),".")</f>
        <v>2.1694802535592706E-7</v>
      </c>
      <c r="E6" s="48">
        <f>IFERROR((s_TR/(up_RadSpec!F6*s_EF_cw*(1/365)*s_ED_con*up_RadSpec!Q6*s_ET_cw_o*(1/24)*up_RadSpec!V6))*1,".")</f>
        <v>6.2255202938129727E-5</v>
      </c>
      <c r="F6" s="48">
        <f t="shared" si="0"/>
        <v>3.9603235989054048E-8</v>
      </c>
      <c r="G6" s="69">
        <f t="shared" si="1"/>
        <v>229164.375</v>
      </c>
      <c r="H6" s="69">
        <f t="shared" si="2"/>
        <v>51215.031719100385</v>
      </c>
      <c r="I6" s="69">
        <f>s_C*s_EF_cw*(1/365)*s_ED_con*(s_ET_cw_i+s_ET_cw_o)*(1/24)*up_RadSpec!V6*up_RadSpec!Q6*1</f>
        <v>178.47504265695343</v>
      </c>
      <c r="J6" s="4"/>
      <c r="K6" s="4"/>
      <c r="L6" s="4"/>
      <c r="M6" s="4"/>
      <c r="N6" s="48">
        <f>IFERROR((s_TR/(up_RadSpec!I6*s_EF_cw*s_ED_con*s_IRS_cw*(1/1000)))*1,".")</f>
        <v>4.848484848484848E-8</v>
      </c>
      <c r="O6" s="48">
        <f>IFERROR(IF(A6="H-3",(s_TR/(up_RadSpec!G6*s_EF_cw*s_ED_con*s_ET_cw_o*(1/24)*s_IRA_cw*(1/17)*1000))*1,(s_TR/(up_RadSpec!G6*s_EF_cw*s_ED_con*s_ET_cw_o*(1/24)*s_IRA_cw*(1/s_PEF__sc)*1000))*1),".")</f>
        <v>1.3644722035813288E-6</v>
      </c>
      <c r="P6" s="48">
        <f>IFERROR((s_TR/(up_RadSpec!F6*s_EF_cw*(1/365)*s_ED_con*up_RadSpec!Q6*s_ET_cw_o*(1/24)*up_RadSpec!V6))*1,".")</f>
        <v>6.2255202938129727E-5</v>
      </c>
      <c r="Q6" s="48">
        <f t="shared" si="9"/>
        <v>4.6785930494570782E-8</v>
      </c>
      <c r="R6" s="69">
        <f t="shared" si="4"/>
        <v>229164.375</v>
      </c>
      <c r="S6" s="69">
        <f t="shared" si="5"/>
        <v>8143.0753743733067</v>
      </c>
      <c r="T6" s="69">
        <f>s_C*s_EF_cw*(1/365)*s_ED_con*(s_ET_cw_i+s_ET_cw_o)*(1/24)*up_RadSpec!V6*up_RadSpec!Q6*1</f>
        <v>178.47504265695343</v>
      </c>
      <c r="U6" s="11"/>
      <c r="V6" s="11"/>
      <c r="W6" s="11"/>
      <c r="X6" s="11"/>
      <c r="Y6" s="48">
        <f>IFERROR((s_TR/(up_RadSpec!F6*s_EF_cw*(1/365)*s_ED_con*up_RadSpec!Q6*s_ET_cw_o*(1/24)*up_RadSpec!V6))*1,".")</f>
        <v>6.2255202938129727E-5</v>
      </c>
      <c r="Z6" s="48">
        <f>IFERROR((s_TR/(up_RadSpec!M6*s_EF_cw*(1/365)*s_ED_con*up_RadSpec!R6*s_ET_cw_o*(1/24)*up_RadSpec!W6))*1,".")</f>
        <v>1.1622012019858895E-4</v>
      </c>
      <c r="AA6" s="48">
        <f>IFERROR((s_TR/(up_RadSpec!N6*s_EF_cw*(1/365)*s_ED_con*up_RadSpec!S6*s_ET_cw_o*(1/24)*up_RadSpec!X6))*1,".")</f>
        <v>8.2128307357738338E-5</v>
      </c>
      <c r="AB6" s="48">
        <f>IFERROR((s_TR/(up_RadSpec!O6*s_EF_cw*(1/365)*s_ED_con*up_RadSpec!T6*s_ET_cw_o*(1/24)*up_RadSpec!Y6))*1,".")</f>
        <v>6.7917037037036992E-5</v>
      </c>
      <c r="AC6" s="48">
        <f>IFERROR((s_TR/(up_RadSpec!K6*s_EF_cw*(1/365)*s_ED_con*up_RadSpec!P6*s_ET_cw_o*(1/24)*up_RadSpec!U6))*1,".")</f>
        <v>1.9522127255460595E-4</v>
      </c>
      <c r="AD6" s="69">
        <f>s_C*s_EF_cw*(1/365)*s_ED_con*(s_ET_cw_i+s_ET_cw_o)*(1/24)*up_RadSpec!V6*up_RadSpec!Q6*1</f>
        <v>178.47504265695343</v>
      </c>
      <c r="AE6" s="69">
        <f>s_C*s_EF_cw*(1/365)*s_ED_con*(s_ET_cw_i+s_ET_cw_o)*(1/24)*up_RadSpec!W6*up_RadSpec!R6*1</f>
        <v>95.603067532663744</v>
      </c>
      <c r="AF6" s="69">
        <f>s_C*s_EF_cw*(1/365)*s_ED_con*(s_ET_cw_i+s_ET_cw_o)*(1/24)*up_RadSpec!X6*up_RadSpec!S6*1</f>
        <v>135.28831114955508</v>
      </c>
      <c r="AG6" s="69">
        <f>s_C*s_EF_cw*(1/365)*s_ED_con*(s_ET_cw_i+s_ET_cw_o)*(1/24)*up_RadSpec!Y6*up_RadSpec!T6*1</f>
        <v>163.59665386964491</v>
      </c>
      <c r="AH6" s="69">
        <f>s_C*s_EF_cw*(1/365)*s_ED_con*(s_ET_cw_i+s_ET_cw_o)*(1/24)*up_RadSpec!U6*up_RadSpec!P6*1</f>
        <v>56.914904070672449</v>
      </c>
      <c r="AI6" s="11"/>
      <c r="AJ6" s="11"/>
      <c r="AK6" s="11"/>
      <c r="AL6" s="11"/>
      <c r="AM6" s="11"/>
      <c r="AN6" s="48">
        <f>IFERROR(s_TR/(up_RadSpec!G6*s_EF_cw*s_ED_con*s_ET_cw_o*(1/24)*s_IRA_cw),".")</f>
        <v>4.2666666666666664E-10</v>
      </c>
      <c r="AO6" s="48">
        <f>IFERROR(s_TR/(up_RadSpec!J6*s_EF_cw*(1/365)*s_ED_con*s_ET_cw_o*(1/24)*s_GSF_a),".")</f>
        <v>2.3359999999999997E-6</v>
      </c>
      <c r="AP6" s="48">
        <f t="shared" si="10"/>
        <v>4.2658875091307519E-10</v>
      </c>
      <c r="AQ6" s="69">
        <f t="shared" si="7"/>
        <v>26041406.25</v>
      </c>
      <c r="AR6" s="69">
        <f t="shared" si="8"/>
        <v>4756.4212328767117</v>
      </c>
      <c r="AS6" s="10"/>
      <c r="AT6" s="10"/>
      <c r="AU6" s="10"/>
    </row>
    <row r="7" spans="1:47" x14ac:dyDescent="0.25">
      <c r="A7" s="49" t="s">
        <v>17</v>
      </c>
      <c r="B7" s="50" t="s">
        <v>289</v>
      </c>
      <c r="C7" s="48">
        <f>IFERROR((s_TR/(up_RadSpec!I7*s_EF_cw*s_ED_con*s_IRS_cw*(1/1000)))*1,".")</f>
        <v>4.848484848484848E-8</v>
      </c>
      <c r="D7" s="48">
        <f>IFERROR(IF(A7="H-3",(s_TR/(up_RadSpec!G7*s_EF_cw*s_ED_con*s_ET_cw_o*(1/24)*s_IRA_cw*(1/17)*1000))*1,(s_TR/(up_RadSpec!G7*s_EF_cw*s_ED_con*s_ET_cw_o*(1/24)*s_IRA_cw*(1/s_PEFsc)*1000))*1),".")</f>
        <v>2.1694802535592706E-7</v>
      </c>
      <c r="E7" s="48">
        <f>IFERROR((s_TR/(up_RadSpec!F7*s_EF_cw*(1/365)*s_ED_con*up_RadSpec!Q7*s_ET_cw_o*(1/24)*up_RadSpec!V7))*1,".")</f>
        <v>1.3470364963503643E-4</v>
      </c>
      <c r="F7" s="48">
        <f t="shared" si="0"/>
        <v>3.96167905053935E-8</v>
      </c>
      <c r="G7" s="69">
        <f t="shared" si="1"/>
        <v>229164.375</v>
      </c>
      <c r="H7" s="69">
        <f t="shared" si="2"/>
        <v>51215.031719100385</v>
      </c>
      <c r="I7" s="69">
        <f>s_C*s_EF_cw*(1/365)*s_ED_con*(s_ET_cw_i+s_ET_cw_o)*(1/24)*up_RadSpec!V7*up_RadSpec!Q7*1</f>
        <v>82.484773279001232</v>
      </c>
      <c r="J7" s="4"/>
      <c r="K7" s="4"/>
      <c r="L7" s="4"/>
      <c r="M7" s="4"/>
      <c r="N7" s="48">
        <f>IFERROR((s_TR/(up_RadSpec!I7*s_EF_cw*s_ED_con*s_IRS_cw*(1/1000)))*1,".")</f>
        <v>4.848484848484848E-8</v>
      </c>
      <c r="O7" s="48">
        <f>IFERROR(IF(A7="H-3",(s_TR/(up_RadSpec!G7*s_EF_cw*s_ED_con*s_ET_cw_o*(1/24)*s_IRA_cw*(1/17)*1000))*1,(s_TR/(up_RadSpec!G7*s_EF_cw*s_ED_con*s_ET_cw_o*(1/24)*s_IRA_cw*(1/s_PEF__sc)*1000))*1),".")</f>
        <v>1.3644722035813288E-6</v>
      </c>
      <c r="P7" s="48">
        <f>IFERROR((s_TR/(up_RadSpec!F7*s_EF_cw*(1/365)*s_ED_con*up_RadSpec!Q7*s_ET_cw_o*(1/24)*up_RadSpec!V7))*1,".")</f>
        <v>1.3470364963503643E-4</v>
      </c>
      <c r="Q7" s="48">
        <f t="shared" si="9"/>
        <v>4.6804848710578877E-8</v>
      </c>
      <c r="R7" s="69">
        <f t="shared" si="4"/>
        <v>229164.375</v>
      </c>
      <c r="S7" s="69">
        <f t="shared" si="5"/>
        <v>8143.0753743733067</v>
      </c>
      <c r="T7" s="69">
        <f>s_C*s_EF_cw*(1/365)*s_ED_con*(s_ET_cw_i+s_ET_cw_o)*(1/24)*up_RadSpec!V7*up_RadSpec!Q7*1</f>
        <v>82.484773279001232</v>
      </c>
      <c r="U7" s="11"/>
      <c r="V7" s="11"/>
      <c r="W7" s="11"/>
      <c r="X7" s="11"/>
      <c r="Y7" s="48">
        <f>IFERROR((s_TR/(up_RadSpec!F7*s_EF_cw*(1/365)*s_ED_con*up_RadSpec!Q7*s_ET_cw_o*(1/24)*up_RadSpec!V7))*1,".")</f>
        <v>1.3470364963503643E-4</v>
      </c>
      <c r="Z7" s="48">
        <f>IFERROR((s_TR/(up_RadSpec!M7*s_EF_cw*(1/365)*s_ED_con*up_RadSpec!R7*s_ET_cw_o*(1/24)*up_RadSpec!W7))*1,".")</f>
        <v>2.1429691876750703E-4</v>
      </c>
      <c r="AA7" s="48">
        <f>IFERROR((s_TR/(up_RadSpec!N7*s_EF_cw*(1/365)*s_ED_con*up_RadSpec!S7*s_ET_cw_o*(1/24)*up_RadSpec!X7))*1,".")</f>
        <v>1.5699999999999999E-4</v>
      </c>
      <c r="AB7" s="48">
        <f>IFERROR((s_TR/(up_RadSpec!O7*s_EF_cw*(1/365)*s_ED_con*up_RadSpec!T7*s_ET_cw_o*(1/24)*up_RadSpec!Y7))*1,".")</f>
        <v>1.4442466086111779E-4</v>
      </c>
      <c r="AC7" s="48">
        <f>IFERROR((s_TR/(up_RadSpec!K7*s_EF_cw*(1/365)*s_ED_con*up_RadSpec!P7*s_ET_cw_o*(1/24)*up_RadSpec!U7))*1,".")</f>
        <v>3.6672880061115347E-4</v>
      </c>
      <c r="AD7" s="69">
        <f>s_C*s_EF_cw*(1/365)*s_ED_con*(s_ET_cw_i+s_ET_cw_o)*(1/24)*up_RadSpec!V7*up_RadSpec!Q7*1</f>
        <v>82.484773279001232</v>
      </c>
      <c r="AE7" s="69">
        <f>s_C*s_EF_cw*(1/365)*s_ED_con*(s_ET_cw_i+s_ET_cw_o)*(1/24)*up_RadSpec!W7*up_RadSpec!R7*1</f>
        <v>51.848622294259094</v>
      </c>
      <c r="AF7" s="69">
        <f>s_C*s_EF_cw*(1/365)*s_ED_con*(s_ET_cw_i+s_ET_cw_o)*(1/24)*up_RadSpec!X7*up_RadSpec!S7*1</f>
        <v>70.770700636942664</v>
      </c>
      <c r="AG7" s="69">
        <f>s_C*s_EF_cw*(1/365)*s_ED_con*(s_ET_cw_i+s_ET_cw_o)*(1/24)*up_RadSpec!Y7*up_RadSpec!T7*1</f>
        <v>76.932844666220817</v>
      </c>
      <c r="AH7" s="69">
        <f>s_C*s_EF_cw*(1/365)*s_ED_con*(s_ET_cw_i+s_ET_cw_o)*(1/24)*up_RadSpec!U7*up_RadSpec!P7*1</f>
        <v>30.297593157350935</v>
      </c>
      <c r="AI7" s="11"/>
      <c r="AJ7" s="11"/>
      <c r="AK7" s="11"/>
      <c r="AL7" s="11"/>
      <c r="AM7" s="11"/>
      <c r="AN7" s="48">
        <f>IFERROR(s_TR/(up_RadSpec!G7*s_EF_cw*s_ED_con*s_ET_cw_o*(1/24)*s_IRA_cw),".")</f>
        <v>4.2666666666666664E-10</v>
      </c>
      <c r="AO7" s="48">
        <f>IFERROR(s_TR/(up_RadSpec!J7*s_EF_cw*(1/365)*s_ED_con*s_ET_cw_o*(1/24)*s_GSF_a),".")</f>
        <v>2.3359999999999997E-6</v>
      </c>
      <c r="AP7" s="48">
        <f t="shared" si="10"/>
        <v>4.2658875091307519E-10</v>
      </c>
      <c r="AQ7" s="69">
        <f t="shared" si="7"/>
        <v>26041406.25</v>
      </c>
      <c r="AR7" s="69">
        <f t="shared" si="8"/>
        <v>4756.4212328767117</v>
      </c>
      <c r="AS7" s="10"/>
      <c r="AT7" s="10"/>
      <c r="AU7" s="10"/>
    </row>
    <row r="8" spans="1:47" x14ac:dyDescent="0.25">
      <c r="A8" s="49" t="s">
        <v>18</v>
      </c>
      <c r="B8" s="50" t="s">
        <v>289</v>
      </c>
      <c r="C8" s="48">
        <f>IFERROR((s_TR/(up_RadSpec!I8*s_EF_cw*s_ED_con*s_IRS_cw*(1/1000)))*1,".")</f>
        <v>4.848484848484848E-8</v>
      </c>
      <c r="D8" s="48">
        <f>IFERROR(IF(A8="H-3",(s_TR/(up_RadSpec!G8*s_EF_cw*s_ED_con*s_ET_cw_o*(1/24)*s_IRA_cw*(1/17)*1000))*1,(s_TR/(up_RadSpec!G8*s_EF_cw*s_ED_con*s_ET_cw_o*(1/24)*s_IRA_cw*(1/s_PEFsc)*1000))*1),".")</f>
        <v>2.1694802535592706E-7</v>
      </c>
      <c r="E8" s="48">
        <f>IFERROR((s_TR/(up_RadSpec!F8*s_EF_cw*(1/365)*s_ED_con*up_RadSpec!Q8*s_ET_cw_o*(1/24)*up_RadSpec!V8))*1,".")</f>
        <v>7.743646408839782E-5</v>
      </c>
      <c r="F8" s="48">
        <f t="shared" si="0"/>
        <v>3.9608175707521472E-8</v>
      </c>
      <c r="G8" s="69">
        <f t="shared" si="1"/>
        <v>229164.375</v>
      </c>
      <c r="H8" s="69">
        <f t="shared" si="2"/>
        <v>51215.031719100385</v>
      </c>
      <c r="I8" s="69">
        <f>s_C*s_EF_cw*(1/365)*s_ED_con*(s_ET_cw_i+s_ET_cw_o)*(1/24)*up_RadSpec!V8*up_RadSpec!Q8*1</f>
        <v>143.48537385844739</v>
      </c>
      <c r="J8" s="4"/>
      <c r="K8" s="4"/>
      <c r="L8" s="4"/>
      <c r="M8" s="4"/>
      <c r="N8" s="48">
        <f>IFERROR((s_TR/(up_RadSpec!I8*s_EF_cw*s_ED_con*s_IRS_cw*(1/1000)))*1,".")</f>
        <v>4.848484848484848E-8</v>
      </c>
      <c r="O8" s="48">
        <f>IFERROR(IF(A8="H-3",(s_TR/(up_RadSpec!G8*s_EF_cw*s_ED_con*s_ET_cw_o*(1/24)*s_IRA_cw*(1/17)*1000))*1,(s_TR/(up_RadSpec!G8*s_EF_cw*s_ED_con*s_ET_cw_o*(1/24)*s_IRA_cw*(1/s_PEF__sc)*1000))*1),".")</f>
        <v>1.3644722035813288E-6</v>
      </c>
      <c r="P8" s="48">
        <f>IFERROR((s_TR/(up_RadSpec!F8*s_EF_cw*(1/365)*s_ED_con*up_RadSpec!Q8*s_ET_cw_o*(1/24)*up_RadSpec!V8))*1,".")</f>
        <v>7.743646408839782E-5</v>
      </c>
      <c r="Q8" s="48">
        <f t="shared" si="9"/>
        <v>4.6792824652335527E-8</v>
      </c>
      <c r="R8" s="69">
        <f t="shared" si="4"/>
        <v>229164.375</v>
      </c>
      <c r="S8" s="69">
        <f t="shared" si="5"/>
        <v>8143.0753743733067</v>
      </c>
      <c r="T8" s="69">
        <f>s_C*s_EF_cw*(1/365)*s_ED_con*(s_ET_cw_i+s_ET_cw_o)*(1/24)*up_RadSpec!V8*up_RadSpec!Q8*1</f>
        <v>143.48537385844739</v>
      </c>
      <c r="U8" s="11"/>
      <c r="V8" s="11"/>
      <c r="W8" s="11"/>
      <c r="X8" s="11"/>
      <c r="Y8" s="48">
        <f>IFERROR((s_TR/(up_RadSpec!F8*s_EF_cw*(1/365)*s_ED_con*up_RadSpec!Q8*s_ET_cw_o*(1/24)*up_RadSpec!V8))*1,".")</f>
        <v>7.743646408839782E-5</v>
      </c>
      <c r="Z8" s="48">
        <f>IFERROR((s_TR/(up_RadSpec!M8*s_EF_cw*(1/365)*s_ED_con*up_RadSpec!R8*s_ET_cw_o*(1/24)*up_RadSpec!W8))*1,".")</f>
        <v>1.4215010141987826E-4</v>
      </c>
      <c r="AA8" s="48">
        <f>IFERROR((s_TR/(up_RadSpec!N8*s_EF_cw*(1/365)*s_ED_con*up_RadSpec!S8*s_ET_cw_o*(1/24)*up_RadSpec!X8))*1,".")</f>
        <v>1.0375634517766498E-4</v>
      </c>
      <c r="AB8" s="48">
        <f>IFERROR((s_TR/(up_RadSpec!O8*s_EF_cw*(1/365)*s_ED_con*up_RadSpec!T8*s_ET_cw_o*(1/24)*up_RadSpec!Y8))*1,".")</f>
        <v>9.5128190421565819E-5</v>
      </c>
      <c r="AC8" s="48">
        <f>IFERROR((s_TR/(up_RadSpec!K8*s_EF_cw*(1/365)*s_ED_con*up_RadSpec!P8*s_ET_cw_o*(1/24)*up_RadSpec!U8))*1,".")</f>
        <v>2.6338791946308717E-4</v>
      </c>
      <c r="AD8" s="69">
        <f>s_C*s_EF_cw*(1/365)*s_ED_con*(s_ET_cw_i+s_ET_cw_o)*(1/24)*up_RadSpec!V8*up_RadSpec!Q8*1</f>
        <v>143.48537385844739</v>
      </c>
      <c r="AE8" s="69">
        <f>s_C*s_EF_cw*(1/365)*s_ED_con*(s_ET_cw_i+s_ET_cw_o)*(1/24)*up_RadSpec!W8*up_RadSpec!R8*1</f>
        <v>78.163855593607309</v>
      </c>
      <c r="AF8" s="69">
        <f>s_C*s_EF_cw*(1/365)*s_ED_con*(s_ET_cw_i+s_ET_cw_o)*(1/24)*up_RadSpec!X8*up_RadSpec!S8*1</f>
        <v>107.08742661448139</v>
      </c>
      <c r="AG8" s="69">
        <f>s_C*s_EF_cw*(1/365)*s_ED_con*(s_ET_cw_i+s_ET_cw_o)*(1/24)*up_RadSpec!Y8*up_RadSpec!T8*1</f>
        <v>116.80028759888093</v>
      </c>
      <c r="AH8" s="69">
        <f>s_C*s_EF_cw*(1/365)*s_ED_con*(s_ET_cw_i+s_ET_cw_o)*(1/24)*up_RadSpec!U8*up_RadSpec!P8*1</f>
        <v>42.184926410632748</v>
      </c>
      <c r="AI8" s="11"/>
      <c r="AJ8" s="11"/>
      <c r="AK8" s="11"/>
      <c r="AL8" s="11"/>
      <c r="AM8" s="11"/>
      <c r="AN8" s="48">
        <f>IFERROR(s_TR/(up_RadSpec!G8*s_EF_cw*s_ED_con*s_ET_cw_o*(1/24)*s_IRA_cw),".")</f>
        <v>4.2666666666666664E-10</v>
      </c>
      <c r="AO8" s="48">
        <f>IFERROR(s_TR/(up_RadSpec!J8*s_EF_cw*(1/365)*s_ED_con*s_ET_cw_o*(1/24)*s_GSF_a),".")</f>
        <v>2.3359999999999997E-6</v>
      </c>
      <c r="AP8" s="48">
        <f t="shared" si="10"/>
        <v>4.2658875091307519E-10</v>
      </c>
      <c r="AQ8" s="69">
        <f t="shared" si="7"/>
        <v>26041406.25</v>
      </c>
      <c r="AR8" s="69">
        <f t="shared" si="8"/>
        <v>4756.4212328767117</v>
      </c>
      <c r="AS8" s="10"/>
      <c r="AT8" s="10"/>
      <c r="AU8" s="10"/>
    </row>
    <row r="9" spans="1:47" x14ac:dyDescent="0.25">
      <c r="A9" s="49" t="s">
        <v>19</v>
      </c>
      <c r="B9" s="50" t="s">
        <v>289</v>
      </c>
      <c r="C9" s="48">
        <f>IFERROR((s_TR/(up_RadSpec!I9*s_EF_cw*s_ED_con*s_IRS_cw*(1/1000)))*1,".")</f>
        <v>4.848484848484848E-8</v>
      </c>
      <c r="D9" s="48">
        <f>IFERROR(IF(A9="H-3",(s_TR/(up_RadSpec!G9*s_EF_cw*s_ED_con*s_ET_cw_o*(1/24)*s_IRA_cw*(1/17)*1000))*1,(s_TR/(up_RadSpec!G9*s_EF_cw*s_ED_con*s_ET_cw_o*(1/24)*s_IRA_cw*(1/s_PEFsc)*1000))*1),".")</f>
        <v>2.1694802535592706E-7</v>
      </c>
      <c r="E9" s="48">
        <f>IFERROR((s_TR/(up_RadSpec!F9*s_EF_cw*(1/365)*s_ED_con*up_RadSpec!Q9*s_ET_cw_o*(1/24)*up_RadSpec!V9))*1,".")</f>
        <v>3.8136532580569261E-5</v>
      </c>
      <c r="F9" s="48">
        <f t="shared" si="0"/>
        <v>3.9587309385722173E-8</v>
      </c>
      <c r="G9" s="69">
        <f t="shared" si="1"/>
        <v>229164.375</v>
      </c>
      <c r="H9" s="69">
        <f t="shared" si="2"/>
        <v>51215.031719100385</v>
      </c>
      <c r="I9" s="69">
        <f>s_C*s_EF_cw*(1/365)*s_ED_con*(s_ET_cw_i+s_ET_cw_o)*(1/24)*up_RadSpec!V9*up_RadSpec!Q9*1</f>
        <v>291.34793459594965</v>
      </c>
      <c r="J9" s="4"/>
      <c r="K9" s="4"/>
      <c r="L9" s="4"/>
      <c r="M9" s="4"/>
      <c r="N9" s="48">
        <f>IFERROR((s_TR/(up_RadSpec!I9*s_EF_cw*s_ED_con*s_IRS_cw*(1/1000)))*1,".")</f>
        <v>4.848484848484848E-8</v>
      </c>
      <c r="O9" s="48">
        <f>IFERROR(IF(A9="H-3",(s_TR/(up_RadSpec!G9*s_EF_cw*s_ED_con*s_ET_cw_o*(1/24)*s_IRA_cw*(1/17)*1000))*1,(s_TR/(up_RadSpec!G9*s_EF_cw*s_ED_con*s_ET_cw_o*(1/24)*s_IRA_cw*(1/s_PEF__sc)*1000))*1),".")</f>
        <v>1.3644722035813288E-6</v>
      </c>
      <c r="P9" s="48">
        <f>IFERROR((s_TR/(up_RadSpec!F9*s_EF_cw*(1/365)*s_ED_con*up_RadSpec!Q9*s_ET_cw_o*(1/24)*up_RadSpec!V9))*1,".")</f>
        <v>3.8136532580569261E-5</v>
      </c>
      <c r="Q9" s="48">
        <f t="shared" si="9"/>
        <v>4.6763704526617389E-8</v>
      </c>
      <c r="R9" s="69">
        <f t="shared" si="4"/>
        <v>229164.375</v>
      </c>
      <c r="S9" s="69">
        <f t="shared" si="5"/>
        <v>8143.0753743733067</v>
      </c>
      <c r="T9" s="69">
        <f>s_C*s_EF_cw*(1/365)*s_ED_con*(s_ET_cw_i+s_ET_cw_o)*(1/24)*up_RadSpec!V9*up_RadSpec!Q9*1</f>
        <v>291.34793459594965</v>
      </c>
      <c r="U9" s="11"/>
      <c r="V9" s="11"/>
      <c r="W9" s="11"/>
      <c r="X9" s="11"/>
      <c r="Y9" s="48">
        <f>IFERROR((s_TR/(up_RadSpec!F9*s_EF_cw*(1/365)*s_ED_con*up_RadSpec!Q9*s_ET_cw_o*(1/24)*up_RadSpec!V9))*1,".")</f>
        <v>3.8136532580569261E-5</v>
      </c>
      <c r="Z9" s="48">
        <f>IFERROR((s_TR/(up_RadSpec!M9*s_EF_cw*(1/365)*s_ED_con*up_RadSpec!R9*s_ET_cw_o*(1/24)*up_RadSpec!W9))*1,".")</f>
        <v>7.8110000000000023E-5</v>
      </c>
      <c r="AA9" s="48">
        <f>IFERROR((s_TR/(up_RadSpec!N9*s_EF_cw*(1/365)*s_ED_con*up_RadSpec!S9*s_ET_cw_o*(1/24)*up_RadSpec!X9))*1,".")</f>
        <v>5.4959724487946367E-5</v>
      </c>
      <c r="AB9" s="48">
        <f>IFERROR((s_TR/(up_RadSpec!O9*s_EF_cw*(1/365)*s_ED_con*up_RadSpec!T9*s_ET_cw_o*(1/24)*up_RadSpec!Y9))*1,".")</f>
        <v>4.5304242424242422E-5</v>
      </c>
      <c r="AC9" s="48">
        <f>IFERROR((s_TR/(up_RadSpec!K9*s_EF_cw*(1/365)*s_ED_con*up_RadSpec!P9*s_ET_cw_o*(1/24)*up_RadSpec!U9))*1,".")</f>
        <v>1.3835464066449987E-4</v>
      </c>
      <c r="AD9" s="69">
        <f>s_C*s_EF_cw*(1/365)*s_ED_con*(s_ET_cw_i+s_ET_cw_o)*(1/24)*up_RadSpec!V9*up_RadSpec!Q9*1</f>
        <v>291.34793459594965</v>
      </c>
      <c r="AE9" s="69">
        <f>s_C*s_EF_cw*(1/365)*s_ED_con*(s_ET_cw_i+s_ET_cw_o)*(1/24)*up_RadSpec!W9*up_RadSpec!R9*1</f>
        <v>142.24811163743431</v>
      </c>
      <c r="AF9" s="69">
        <f>s_C*s_EF_cw*(1/365)*s_ED_con*(s_ET_cw_i+s_ET_cw_o)*(1/24)*up_RadSpec!X9*up_RadSpec!S9*1</f>
        <v>202.16622451294919</v>
      </c>
      <c r="AG9" s="69">
        <f>s_C*s_EF_cw*(1/365)*s_ED_con*(s_ET_cw_i+s_ET_cw_o)*(1/24)*up_RadSpec!Y9*up_RadSpec!T9*1</f>
        <v>245.25296982020546</v>
      </c>
      <c r="AH9" s="69">
        <f>s_C*s_EF_cw*(1/365)*s_ED_con*(s_ET_cw_i+s_ET_cw_o)*(1/24)*up_RadSpec!U9*up_RadSpec!P9*1</f>
        <v>80.308112157534197</v>
      </c>
      <c r="AI9" s="11"/>
      <c r="AJ9" s="11"/>
      <c r="AK9" s="11"/>
      <c r="AL9" s="11"/>
      <c r="AM9" s="11"/>
      <c r="AN9" s="48">
        <f>IFERROR(s_TR/(up_RadSpec!G9*s_EF_cw*s_ED_con*s_ET_cw_o*(1/24)*s_IRA_cw),".")</f>
        <v>4.2666666666666664E-10</v>
      </c>
      <c r="AO9" s="48">
        <f>IFERROR(s_TR/(up_RadSpec!J9*s_EF_cw*(1/365)*s_ED_con*s_ET_cw_o*(1/24)*s_GSF_a),".")</f>
        <v>2.3359999999999997E-6</v>
      </c>
      <c r="AP9" s="48">
        <f t="shared" si="10"/>
        <v>4.2658875091307519E-10</v>
      </c>
      <c r="AQ9" s="69">
        <f t="shared" si="7"/>
        <v>26041406.25</v>
      </c>
      <c r="AR9" s="69">
        <f t="shared" si="8"/>
        <v>4756.4212328767117</v>
      </c>
      <c r="AS9" s="10"/>
      <c r="AT9" s="10"/>
      <c r="AU9" s="10"/>
    </row>
    <row r="10" spans="1:47" x14ac:dyDescent="0.25">
      <c r="A10" s="51" t="s">
        <v>20</v>
      </c>
      <c r="B10" s="50" t="s">
        <v>275</v>
      </c>
      <c r="C10" s="48">
        <f>IFERROR((s_TR/(up_RadSpec!I10*s_EF_cw*s_ED_con*s_IRS_cw*(1/1000)))*1,".")</f>
        <v>4.848484848484848E-8</v>
      </c>
      <c r="D10" s="48">
        <f>IFERROR(IF(A10="H-3",(s_TR/(up_RadSpec!G10*s_EF_cw*s_ED_con*s_ET_cw_o*(1/24)*s_IRA_cw*(1/17)*1000))*1,(s_TR/(up_RadSpec!G10*s_EF_cw*s_ED_con*s_ET_cw_o*(1/24)*s_IRA_cw*(1/s_PEFsc)*1000))*1),".")</f>
        <v>2.1694802535592706E-7</v>
      </c>
      <c r="E10" s="48">
        <f>IFERROR((s_TR/(up_RadSpec!F10*s_EF_cw*(1/365)*s_ED_con*up_RadSpec!Q10*s_ET_cw_o*(1/24)*up_RadSpec!V10))*1,".")</f>
        <v>7.2972190476190463E-5</v>
      </c>
      <c r="F10" s="48">
        <f t="shared" si="0"/>
        <v>3.96069363289089E-8</v>
      </c>
      <c r="G10" s="69">
        <f t="shared" si="1"/>
        <v>229164.375</v>
      </c>
      <c r="H10" s="69">
        <f t="shared" si="2"/>
        <v>51215.031719100385</v>
      </c>
      <c r="I10" s="69">
        <f>s_C*s_EF_cw*(1/365)*s_ED_con*(s_ET_cw_i+s_ET_cw_o)*(1/24)*up_RadSpec!V10*up_RadSpec!Q10*1</f>
        <v>152.26348458904107</v>
      </c>
      <c r="J10" s="4"/>
      <c r="K10" s="4"/>
      <c r="L10" s="4"/>
      <c r="M10" s="4"/>
      <c r="N10" s="48">
        <f>IFERROR((s_TR/(up_RadSpec!I10*s_EF_cw*s_ED_con*s_IRS_cw*(1/1000)))*1,".")</f>
        <v>4.848484848484848E-8</v>
      </c>
      <c r="O10" s="48">
        <f>IFERROR(IF(A10="H-3",(s_TR/(up_RadSpec!G10*s_EF_cw*s_ED_con*s_ET_cw_o*(1/24)*s_IRA_cw*(1/17)*1000))*1,(s_TR/(up_RadSpec!G10*s_EF_cw*s_ED_con*s_ET_cw_o*(1/24)*s_IRA_cw*(1/s_PEF__sc)*1000))*1),".")</f>
        <v>1.3644722035813288E-6</v>
      </c>
      <c r="P10" s="48">
        <f>IFERROR((s_TR/(up_RadSpec!F10*s_EF_cw*(1/365)*s_ED_con*up_RadSpec!Q10*s_ET_cw_o*(1/24)*up_RadSpec!V10))*1,".")</f>
        <v>7.2972190476190463E-5</v>
      </c>
      <c r="Q10" s="48">
        <f t="shared" si="9"/>
        <v>4.6791094874304882E-8</v>
      </c>
      <c r="R10" s="69">
        <f t="shared" si="4"/>
        <v>229164.375</v>
      </c>
      <c r="S10" s="69">
        <f t="shared" si="5"/>
        <v>8143.0753743733067</v>
      </c>
      <c r="T10" s="69">
        <f>s_C*s_EF_cw*(1/365)*s_ED_con*(s_ET_cw_i+s_ET_cw_o)*(1/24)*up_RadSpec!V10*up_RadSpec!Q10*1</f>
        <v>152.26348458904107</v>
      </c>
      <c r="U10" s="11"/>
      <c r="V10" s="11"/>
      <c r="W10" s="11"/>
      <c r="X10" s="11"/>
      <c r="Y10" s="48">
        <f>IFERROR((s_TR/(up_RadSpec!F10*s_EF_cw*(1/365)*s_ED_con*up_RadSpec!Q10*s_ET_cw_o*(1/24)*up_RadSpec!V10))*1,".")</f>
        <v>7.2972190476190463E-5</v>
      </c>
      <c r="Z10" s="48">
        <f>IFERROR((s_TR/(up_RadSpec!M10*s_EF_cw*(1/365)*s_ED_con*up_RadSpec!R10*s_ET_cw_o*(1/24)*up_RadSpec!W10))*1,".")</f>
        <v>1.1371005291005285E-4</v>
      </c>
      <c r="AA10" s="48">
        <f>IFERROR((s_TR/(up_RadSpec!N10*s_EF_cw*(1/365)*s_ED_con*up_RadSpec!S10*s_ET_cw_o*(1/24)*up_RadSpec!X10))*1,".")</f>
        <v>8.1203855944581246E-5</v>
      </c>
      <c r="AB10" s="48">
        <f>IFERROR((s_TR/(up_RadSpec!O10*s_EF_cw*(1/365)*s_ED_con*up_RadSpec!T10*s_ET_cw_o*(1/24)*up_RadSpec!Y10))*1,".")</f>
        <v>7.4270414993306557E-5</v>
      </c>
      <c r="AC10" s="48">
        <f>IFERROR((s_TR/(up_RadSpec!K10*s_EF_cw*(1/365)*s_ED_con*up_RadSpec!P10*s_ET_cw_o*(1/24)*up_RadSpec!U10))*1,".")</f>
        <v>1.9115609850688385E-4</v>
      </c>
      <c r="AD10" s="69">
        <f>s_C*s_EF_cw*(1/365)*s_ED_con*(s_ET_cw_i+s_ET_cw_o)*(1/24)*up_RadSpec!V10*up_RadSpec!Q10*1</f>
        <v>152.26348458904107</v>
      </c>
      <c r="AE10" s="69">
        <f>s_C*s_EF_cw*(1/365)*s_ED_con*(s_ET_cw_i+s_ET_cw_o)*(1/24)*up_RadSpec!W10*up_RadSpec!R10*1</f>
        <v>97.713436197141192</v>
      </c>
      <c r="AF10" s="69">
        <f>s_C*s_EF_cw*(1/365)*s_ED_con*(s_ET_cw_i+s_ET_cw_o)*(1/24)*up_RadSpec!X10*up_RadSpec!S10*1</f>
        <v>136.82847779522763</v>
      </c>
      <c r="AG10" s="69">
        <f>s_C*s_EF_cw*(1/365)*s_ED_con*(s_ET_cw_i+s_ET_cw_o)*(1/24)*up_RadSpec!Y10*up_RadSpec!T10*1</f>
        <v>149.60196467195385</v>
      </c>
      <c r="AH10" s="69">
        <f>s_C*s_EF_cw*(1/365)*s_ED_con*(s_ET_cw_i+s_ET_cw_o)*(1/24)*up_RadSpec!U10*up_RadSpec!P10*1</f>
        <v>58.125270848211372</v>
      </c>
      <c r="AI10" s="11"/>
      <c r="AJ10" s="11"/>
      <c r="AK10" s="11"/>
      <c r="AL10" s="11"/>
      <c r="AM10" s="11"/>
      <c r="AN10" s="48">
        <f>IFERROR(s_TR/(up_RadSpec!G10*s_EF_cw*s_ED_con*s_ET_cw_o*(1/24)*s_IRA_cw),".")</f>
        <v>4.2666666666666664E-10</v>
      </c>
      <c r="AO10" s="48">
        <f>IFERROR(s_TR/(up_RadSpec!J10*s_EF_cw*(1/365)*s_ED_con*s_ET_cw_o*(1/24)*s_GSF_a),".")</f>
        <v>2.3359999999999997E-6</v>
      </c>
      <c r="AP10" s="48">
        <f t="shared" si="10"/>
        <v>4.2658875091307519E-10</v>
      </c>
      <c r="AQ10" s="69">
        <f t="shared" si="7"/>
        <v>26041406.25</v>
      </c>
      <c r="AR10" s="69">
        <f t="shared" si="8"/>
        <v>4756.4212328767117</v>
      </c>
      <c r="AS10" s="10"/>
      <c r="AT10" s="10"/>
      <c r="AU10" s="10"/>
    </row>
    <row r="11" spans="1:47" x14ac:dyDescent="0.25">
      <c r="A11" s="49" t="s">
        <v>21</v>
      </c>
      <c r="B11" s="50" t="s">
        <v>289</v>
      </c>
      <c r="C11" s="48">
        <f>IFERROR((s_TR/(up_RadSpec!I11*s_EF_cw*s_ED_con*s_IRS_cw*(1/1000)))*1,".")</f>
        <v>4.848484848484848E-8</v>
      </c>
      <c r="D11" s="48">
        <f>IFERROR(IF(A11="H-3",(s_TR/(up_RadSpec!G11*s_EF_cw*s_ED_con*s_ET_cw_o*(1/24)*s_IRA_cw*(1/17)*1000))*1,(s_TR/(up_RadSpec!G11*s_EF_cw*s_ED_con*s_ET_cw_o*(1/24)*s_IRA_cw*(1/s_PEFsc)*1000))*1),".")</f>
        <v>2.1694802535592706E-7</v>
      </c>
      <c r="E11" s="48">
        <f>IFERROR((s_TR/(up_RadSpec!F11*s_EF_cw*(1/365)*s_ED_con*up_RadSpec!Q11*s_ET_cw_o*(1/24)*up_RadSpec!V11))*1,".")</f>
        <v>2.1819780219780213E-4</v>
      </c>
      <c r="F11" s="48">
        <f t="shared" si="0"/>
        <v>3.9621249467510728E-8</v>
      </c>
      <c r="G11" s="69">
        <f t="shared" si="1"/>
        <v>229164.375</v>
      </c>
      <c r="H11" s="69">
        <f t="shared" si="2"/>
        <v>51215.031719100385</v>
      </c>
      <c r="I11" s="69">
        <f>s_C*s_EF_cw*(1/365)*s_ED_con*(s_ET_cw_i+s_ET_cw_o)*(1/24)*up_RadSpec!V11*up_RadSpec!Q11*1</f>
        <v>50.921686140209502</v>
      </c>
      <c r="J11" s="4"/>
      <c r="K11" s="4"/>
      <c r="L11" s="4"/>
      <c r="M11" s="4"/>
      <c r="N11" s="48">
        <f>IFERROR((s_TR/(up_RadSpec!I11*s_EF_cw*s_ED_con*s_IRS_cw*(1/1000)))*1,".")</f>
        <v>4.848484848484848E-8</v>
      </c>
      <c r="O11" s="48">
        <f>IFERROR(IF(A11="H-3",(s_TR/(up_RadSpec!G11*s_EF_cw*s_ED_con*s_ET_cw_o*(1/24)*s_IRA_cw*(1/17)*1000))*1,(s_TR/(up_RadSpec!G11*s_EF_cw*s_ED_con*s_ET_cw_o*(1/24)*s_IRA_cw*(1/s_PEF__sc)*1000))*1),".")</f>
        <v>1.3644722035813288E-6</v>
      </c>
      <c r="P11" s="48">
        <f>IFERROR((s_TR/(up_RadSpec!F11*s_EF_cw*(1/365)*s_ED_con*up_RadSpec!Q11*s_ET_cw_o*(1/24)*up_RadSpec!V11))*1,".")</f>
        <v>2.1819780219780213E-4</v>
      </c>
      <c r="Q11" s="48">
        <f t="shared" si="9"/>
        <v>4.6811072655854307E-8</v>
      </c>
      <c r="R11" s="69">
        <f t="shared" si="4"/>
        <v>229164.375</v>
      </c>
      <c r="S11" s="69">
        <f t="shared" si="5"/>
        <v>8143.0753743733067</v>
      </c>
      <c r="T11" s="69">
        <f>s_C*s_EF_cw*(1/365)*s_ED_con*(s_ET_cw_i+s_ET_cw_o)*(1/24)*up_RadSpec!V11*up_RadSpec!Q11*1</f>
        <v>50.921686140209502</v>
      </c>
      <c r="U11" s="11"/>
      <c r="V11" s="11"/>
      <c r="W11" s="11"/>
      <c r="X11" s="11"/>
      <c r="Y11" s="48">
        <f>IFERROR((s_TR/(up_RadSpec!F11*s_EF_cw*(1/365)*s_ED_con*up_RadSpec!Q11*s_ET_cw_o*(1/24)*up_RadSpec!V11))*1,".")</f>
        <v>2.1819780219780213E-4</v>
      </c>
      <c r="Z11" s="48">
        <f>IFERROR((s_TR/(up_RadSpec!M11*s_EF_cw*(1/365)*s_ED_con*up_RadSpec!R11*s_ET_cw_o*(1/24)*up_RadSpec!W11))*1,".")</f>
        <v>2.7609233610341645E-4</v>
      </c>
      <c r="AA11" s="48">
        <f>IFERROR((s_TR/(up_RadSpec!N11*s_EF_cw*(1/365)*s_ED_con*up_RadSpec!S11*s_ET_cw_o*(1/24)*up_RadSpec!X11))*1,".")</f>
        <v>2.1427338129496393E-4</v>
      </c>
      <c r="AB11" s="48">
        <f>IFERROR((s_TR/(up_RadSpec!O11*s_EF_cw*(1/365)*s_ED_con*up_RadSpec!T11*s_ET_cw_o*(1/24)*up_RadSpec!Y11))*1,".")</f>
        <v>2.0410702341137126E-4</v>
      </c>
      <c r="AC11" s="48">
        <f>IFERROR((s_TR/(up_RadSpec!K11*s_EF_cw*(1/365)*s_ED_con*up_RadSpec!P11*s_ET_cw_o*(1/24)*up_RadSpec!U11))*1,".")</f>
        <v>5.1397959183673459E-4</v>
      </c>
      <c r="AD11" s="69">
        <f>s_C*s_EF_cw*(1/365)*s_ED_con*(s_ET_cw_i+s_ET_cw_o)*(1/24)*up_RadSpec!V11*up_RadSpec!Q11*1</f>
        <v>50.921686140209502</v>
      </c>
      <c r="AE11" s="69">
        <f>s_C*s_EF_cw*(1/365)*s_ED_con*(s_ET_cw_i+s_ET_cw_o)*(1/24)*up_RadSpec!W11*up_RadSpec!R11*1</f>
        <v>40.243782775042803</v>
      </c>
      <c r="AF11" s="69">
        <f>s_C*s_EF_cw*(1/365)*s_ED_con*(s_ET_cw_i+s_ET_cw_o)*(1/24)*up_RadSpec!X11*up_RadSpec!S11*1</f>
        <v>51.854317754499064</v>
      </c>
      <c r="AG11" s="69">
        <f>s_C*s_EF_cw*(1/365)*s_ED_con*(s_ET_cw_i+s_ET_cw_o)*(1/24)*up_RadSpec!Y11*up_RadSpec!T11*1</f>
        <v>54.437127220292304</v>
      </c>
      <c r="AH11" s="69">
        <f>s_C*s_EF_cw*(1/365)*s_ED_con*(s_ET_cw_i+s_ET_cw_o)*(1/24)*up_RadSpec!U11*up_RadSpec!P11*1</f>
        <v>21.617589835219373</v>
      </c>
      <c r="AI11" s="11"/>
      <c r="AJ11" s="11"/>
      <c r="AK11" s="11"/>
      <c r="AL11" s="11"/>
      <c r="AM11" s="11"/>
      <c r="AN11" s="48">
        <f>IFERROR(s_TR/(up_RadSpec!G11*s_EF_cw*s_ED_con*s_ET_cw_o*(1/24)*s_IRA_cw),".")</f>
        <v>4.2666666666666664E-10</v>
      </c>
      <c r="AO11" s="48">
        <f>IFERROR(s_TR/(up_RadSpec!J11*s_EF_cw*(1/365)*s_ED_con*s_ET_cw_o*(1/24)*s_GSF_a),".")</f>
        <v>2.3359999999999997E-6</v>
      </c>
      <c r="AP11" s="48">
        <f t="shared" si="10"/>
        <v>4.2658875091307519E-10</v>
      </c>
      <c r="AQ11" s="69">
        <f t="shared" si="7"/>
        <v>26041406.25</v>
      </c>
      <c r="AR11" s="69">
        <f t="shared" si="8"/>
        <v>4756.4212328767117</v>
      </c>
      <c r="AS11" s="10"/>
      <c r="AT11" s="10"/>
      <c r="AU11" s="10"/>
    </row>
    <row r="12" spans="1:47" x14ac:dyDescent="0.25">
      <c r="A12" s="49" t="s">
        <v>22</v>
      </c>
      <c r="B12" s="50" t="s">
        <v>289</v>
      </c>
      <c r="C12" s="48">
        <f>IFERROR((s_TR/(up_RadSpec!I12*s_EF_cw*s_ED_con*s_IRS_cw*(1/1000)))*1,".")</f>
        <v>4.848484848484848E-8</v>
      </c>
      <c r="D12" s="48">
        <f>IFERROR(IF(A12="H-3",(s_TR/(up_RadSpec!G12*s_EF_cw*s_ED_con*s_ET_cw_o*(1/24)*s_IRA_cw*(1/17)*1000))*1,(s_TR/(up_RadSpec!G12*s_EF_cw*s_ED_con*s_ET_cw_o*(1/24)*s_IRA_cw*(1/s_PEFsc)*1000))*1),".")</f>
        <v>2.1694802535592706E-7</v>
      </c>
      <c r="E12" s="48">
        <f>IFERROR((s_TR/(up_RadSpec!F12*s_EF_cw*(1/365)*s_ED_con*up_RadSpec!Q12*s_ET_cw_o*(1/24)*up_RadSpec!V12))*1,".")</f>
        <v>1.045470188679245E-4</v>
      </c>
      <c r="F12" s="48">
        <f t="shared" si="0"/>
        <v>3.9613429930806808E-8</v>
      </c>
      <c r="G12" s="69">
        <f t="shared" si="1"/>
        <v>229164.375</v>
      </c>
      <c r="H12" s="69">
        <f t="shared" si="2"/>
        <v>51215.031719100385</v>
      </c>
      <c r="I12" s="69">
        <f>s_C*s_EF_cw*(1/365)*s_ED_con*(s_ET_cw_i+s_ET_cw_o)*(1/24)*up_RadSpec!V12*up_RadSpec!Q12*1</f>
        <v>106.27754019496869</v>
      </c>
      <c r="J12" s="4"/>
      <c r="K12" s="4"/>
      <c r="L12" s="4"/>
      <c r="M12" s="4"/>
      <c r="N12" s="48">
        <f>IFERROR((s_TR/(up_RadSpec!I12*s_EF_cw*s_ED_con*s_IRS_cw*(1/1000)))*1,".")</f>
        <v>4.848484848484848E-8</v>
      </c>
      <c r="O12" s="48">
        <f>IFERROR(IF(A12="H-3",(s_TR/(up_RadSpec!G12*s_EF_cw*s_ED_con*s_ET_cw_o*(1/24)*s_IRA_cw*(1/17)*1000))*1,(s_TR/(up_RadSpec!G12*s_EF_cw*s_ED_con*s_ET_cw_o*(1/24)*s_IRA_cw*(1/s_PEF__sc)*1000))*1),".")</f>
        <v>1.3644722035813288E-6</v>
      </c>
      <c r="P12" s="48">
        <f>IFERROR((s_TR/(up_RadSpec!F12*s_EF_cw*(1/365)*s_ED_con*up_RadSpec!Q12*s_ET_cw_o*(1/24)*up_RadSpec!V12))*1,".")</f>
        <v>1.045470188679245E-4</v>
      </c>
      <c r="Q12" s="48">
        <f t="shared" si="9"/>
        <v>4.6800158093630611E-8</v>
      </c>
      <c r="R12" s="69">
        <f t="shared" si="4"/>
        <v>229164.375</v>
      </c>
      <c r="S12" s="69">
        <f t="shared" si="5"/>
        <v>8143.0753743733067</v>
      </c>
      <c r="T12" s="69">
        <f>s_C*s_EF_cw*(1/365)*s_ED_con*(s_ET_cw_i+s_ET_cw_o)*(1/24)*up_RadSpec!V12*up_RadSpec!Q12*1</f>
        <v>106.27754019496869</v>
      </c>
      <c r="U12" s="11"/>
      <c r="V12" s="11"/>
      <c r="W12" s="11"/>
      <c r="X12" s="11"/>
      <c r="Y12" s="48">
        <f>IFERROR((s_TR/(up_RadSpec!F12*s_EF_cw*(1/365)*s_ED_con*up_RadSpec!Q12*s_ET_cw_o*(1/24)*up_RadSpec!V12))*1,".")</f>
        <v>1.045470188679245E-4</v>
      </c>
      <c r="Z12" s="48">
        <f>IFERROR((s_TR/(up_RadSpec!M12*s_EF_cw*(1/365)*s_ED_con*up_RadSpec!R12*s_ET_cw_o*(1/24)*up_RadSpec!W12))*1,".")</f>
        <v>1.8756405714960445E-4</v>
      </c>
      <c r="AA12" s="48">
        <f>IFERROR((s_TR/(up_RadSpec!N12*s_EF_cw*(1/365)*s_ED_con*up_RadSpec!S12*s_ET_cw_o*(1/24)*up_RadSpec!X12))*1,".")</f>
        <v>1.3600037866237508E-4</v>
      </c>
      <c r="AB12" s="48">
        <f>IFERROR((s_TR/(up_RadSpec!O12*s_EF_cw*(1/365)*s_ED_con*up_RadSpec!T12*s_ET_cw_o*(1/24)*up_RadSpec!Y12))*1,".")</f>
        <v>1.2010730253353201E-4</v>
      </c>
      <c r="AC12" s="48">
        <f>IFERROR((s_TR/(up_RadSpec!K12*s_EF_cw*(1/365)*s_ED_con*up_RadSpec!P12*s_ET_cw_o*(1/24)*up_RadSpec!U12))*1,".")</f>
        <v>3.2378231292516999E-4</v>
      </c>
      <c r="AD12" s="69">
        <f>s_C*s_EF_cw*(1/365)*s_ED_con*(s_ET_cw_i+s_ET_cw_o)*(1/24)*up_RadSpec!V12*up_RadSpec!Q12*1</f>
        <v>106.27754019496869</v>
      </c>
      <c r="AE12" s="69">
        <f>s_C*s_EF_cw*(1/365)*s_ED_con*(s_ET_cw_i+s_ET_cw_o)*(1/24)*up_RadSpec!W12*up_RadSpec!R12*1</f>
        <v>59.238428560636564</v>
      </c>
      <c r="AF12" s="69">
        <f>s_C*s_EF_cw*(1/365)*s_ED_con*(s_ET_cw_i+s_ET_cw_o)*(1/24)*up_RadSpec!X12*up_RadSpec!S12*1</f>
        <v>81.698301940639283</v>
      </c>
      <c r="AG12" s="69">
        <f>s_C*s_EF_cw*(1/365)*s_ED_con*(s_ET_cw_i+s_ET_cw_o)*(1/24)*up_RadSpec!Y12*up_RadSpec!T12*1</f>
        <v>92.508946297399248</v>
      </c>
      <c r="AH12" s="69">
        <f>s_C*s_EF_cw*(1/365)*s_ED_con*(s_ET_cw_i+s_ET_cw_o)*(1/24)*up_RadSpec!U12*up_RadSpec!P12*1</f>
        <v>34.316266072779221</v>
      </c>
      <c r="AI12" s="11"/>
      <c r="AJ12" s="11"/>
      <c r="AK12" s="11"/>
      <c r="AL12" s="11"/>
      <c r="AM12" s="11"/>
      <c r="AN12" s="48">
        <f>IFERROR(s_TR/(up_RadSpec!G12*s_EF_cw*s_ED_con*s_ET_cw_o*(1/24)*s_IRA_cw),".")</f>
        <v>4.2666666666666664E-10</v>
      </c>
      <c r="AO12" s="48">
        <f>IFERROR(s_TR/(up_RadSpec!J12*s_EF_cw*(1/365)*s_ED_con*s_ET_cw_o*(1/24)*s_GSF_a),".")</f>
        <v>2.3359999999999997E-6</v>
      </c>
      <c r="AP12" s="48">
        <f t="shared" si="10"/>
        <v>4.2658875091307519E-10</v>
      </c>
      <c r="AQ12" s="69">
        <f t="shared" si="7"/>
        <v>26041406.25</v>
      </c>
      <c r="AR12" s="69">
        <f t="shared" si="8"/>
        <v>4756.4212328767117</v>
      </c>
      <c r="AS12" s="10"/>
      <c r="AT12" s="10"/>
      <c r="AU12" s="10"/>
    </row>
    <row r="13" spans="1:47" x14ac:dyDescent="0.25">
      <c r="A13" s="49" t="s">
        <v>23</v>
      </c>
      <c r="B13" s="50" t="s">
        <v>289</v>
      </c>
      <c r="C13" s="48">
        <f>IFERROR((s_TR/(up_RadSpec!I13*s_EF_cw*s_ED_con*s_IRS_cw*(1/1000)))*1,".")</f>
        <v>4.848484848484848E-8</v>
      </c>
      <c r="D13" s="48">
        <f>IFERROR(IF(A13="H-3",(s_TR/(up_RadSpec!G13*s_EF_cw*s_ED_con*s_ET_cw_o*(1/24)*s_IRA_cw*(1/17)*1000))*1,(s_TR/(up_RadSpec!G13*s_EF_cw*s_ED_con*s_ET_cw_o*(1/24)*s_IRA_cw*(1/s_PEFsc)*1000))*1),".")</f>
        <v>2.1694802535592706E-7</v>
      </c>
      <c r="E13" s="48">
        <f>IFERROR((s_TR/(up_RadSpec!F13*s_EF_cw*(1/365)*s_ED_con*up_RadSpec!Q13*s_ET_cw_o*(1/24)*up_RadSpec!V13))*1,".")</f>
        <v>8.0359573132454535E-4</v>
      </c>
      <c r="F13" s="48">
        <f t="shared" si="0"/>
        <v>3.9626491225607968E-8</v>
      </c>
      <c r="G13" s="69">
        <f t="shared" si="1"/>
        <v>229164.375</v>
      </c>
      <c r="H13" s="69">
        <f t="shared" si="2"/>
        <v>51215.031719100385</v>
      </c>
      <c r="I13" s="69">
        <f>s_C*s_EF_cw*(1/365)*s_ED_con*(s_ET_cw_i+s_ET_cw_o)*(1/24)*up_RadSpec!V13*up_RadSpec!Q13*1</f>
        <v>13.826604058344154</v>
      </c>
      <c r="J13" s="4"/>
      <c r="K13" s="4"/>
      <c r="L13" s="4"/>
      <c r="M13" s="4"/>
      <c r="N13" s="48">
        <f>IFERROR((s_TR/(up_RadSpec!I13*s_EF_cw*s_ED_con*s_IRS_cw*(1/1000)))*1,".")</f>
        <v>4.848484848484848E-8</v>
      </c>
      <c r="O13" s="48">
        <f>IFERROR(IF(A13="H-3",(s_TR/(up_RadSpec!G13*s_EF_cw*s_ED_con*s_ET_cw_o*(1/24)*s_IRA_cw*(1/17)*1000))*1,(s_TR/(up_RadSpec!G13*s_EF_cw*s_ED_con*s_ET_cw_o*(1/24)*s_IRA_cw*(1/s_PEF__sc)*1000))*1),".")</f>
        <v>1.3644722035813288E-6</v>
      </c>
      <c r="P13" s="48">
        <f>IFERROR((s_TR/(up_RadSpec!F13*s_EF_cw*(1/365)*s_ED_con*up_RadSpec!Q13*s_ET_cw_o*(1/24)*up_RadSpec!V13))*1,".")</f>
        <v>8.0359573132454535E-4</v>
      </c>
      <c r="Q13" s="48">
        <f t="shared" si="9"/>
        <v>4.6818389574946507E-8</v>
      </c>
      <c r="R13" s="69">
        <f t="shared" si="4"/>
        <v>229164.375</v>
      </c>
      <c r="S13" s="69">
        <f t="shared" si="5"/>
        <v>8143.0753743733067</v>
      </c>
      <c r="T13" s="69">
        <f>s_C*s_EF_cw*(1/365)*s_ED_con*(s_ET_cw_i+s_ET_cw_o)*(1/24)*up_RadSpec!V13*up_RadSpec!Q13*1</f>
        <v>13.826604058344154</v>
      </c>
      <c r="U13" s="11"/>
      <c r="V13" s="11"/>
      <c r="W13" s="11"/>
      <c r="X13" s="11"/>
      <c r="Y13" s="48">
        <f>IFERROR((s_TR/(up_RadSpec!F13*s_EF_cw*(1/365)*s_ED_con*up_RadSpec!Q13*s_ET_cw_o*(1/24)*up_RadSpec!V13))*1,".")</f>
        <v>8.0359573132454535E-4</v>
      </c>
      <c r="Z13" s="48">
        <f>IFERROR((s_TR/(up_RadSpec!M13*s_EF_cw*(1/365)*s_ED_con*up_RadSpec!R13*s_ET_cw_o*(1/24)*up_RadSpec!W13))*1,".")</f>
        <v>1.752466081404629E-3</v>
      </c>
      <c r="AA13" s="48">
        <f>IFERROR((s_TR/(up_RadSpec!N13*s_EF_cw*(1/365)*s_ED_con*up_RadSpec!S13*s_ET_cw_o*(1/24)*up_RadSpec!X13))*1,".")</f>
        <v>1.0411276948590377E-3</v>
      </c>
      <c r="AB13" s="48">
        <f>IFERROR((s_TR/(up_RadSpec!O13*s_EF_cw*(1/365)*s_ED_con*up_RadSpec!T13*s_ET_cw_o*(1/24)*up_RadSpec!Y13))*1,".")</f>
        <v>8.594708051379719E-4</v>
      </c>
      <c r="AC13" s="48">
        <f>IFERROR((s_TR/(up_RadSpec!K13*s_EF_cw*(1/365)*s_ED_con*up_RadSpec!P13*s_ET_cw_o*(1/24)*up_RadSpec!U13))*1,".")</f>
        <v>1.6859523809523803E-2</v>
      </c>
      <c r="AD13" s="69">
        <f>s_C*s_EF_cw*(1/365)*s_ED_con*(s_ET_cw_i+s_ET_cw_o)*(1/24)*up_RadSpec!V13*up_RadSpec!Q13*1</f>
        <v>13.826604058344154</v>
      </c>
      <c r="AE13" s="69">
        <f>s_C*s_EF_cw*(1/365)*s_ED_con*(s_ET_cw_i+s_ET_cw_o)*(1/24)*up_RadSpec!W13*up_RadSpec!R13*1</f>
        <v>6.3402083029728926</v>
      </c>
      <c r="AF13" s="69">
        <f>s_C*s_EF_cw*(1/365)*s_ED_con*(s_ET_cw_i+s_ET_cw_o)*(1/24)*up_RadSpec!X13*up_RadSpec!S13*1</f>
        <v>10.672081873208031</v>
      </c>
      <c r="AG13" s="69">
        <f>s_C*s_EF_cw*(1/365)*s_ED_con*(s_ET_cw_i+s_ET_cw_o)*(1/24)*up_RadSpec!Y13*up_RadSpec!T13*1</f>
        <v>12.927722423586381</v>
      </c>
      <c r="AH13" s="69">
        <f>s_C*s_EF_cw*(1/365)*s_ED_con*(s_ET_cw_i+s_ET_cw_o)*(1/24)*up_RadSpec!U13*up_RadSpec!P13*1</f>
        <v>0.65903403474085598</v>
      </c>
      <c r="AI13" s="11"/>
      <c r="AJ13" s="11"/>
      <c r="AK13" s="11"/>
      <c r="AL13" s="11"/>
      <c r="AM13" s="11"/>
      <c r="AN13" s="48">
        <f>IFERROR(s_TR/(up_RadSpec!G13*s_EF_cw*s_ED_con*s_ET_cw_o*(1/24)*s_IRA_cw),".")</f>
        <v>4.2666666666666664E-10</v>
      </c>
      <c r="AO13" s="48">
        <f>IFERROR(s_TR/(up_RadSpec!J13*s_EF_cw*(1/365)*s_ED_con*s_ET_cw_o*(1/24)*s_GSF_a),".")</f>
        <v>2.3359999999999997E-6</v>
      </c>
      <c r="AP13" s="48">
        <f t="shared" si="10"/>
        <v>4.2658875091307519E-10</v>
      </c>
      <c r="AQ13" s="69">
        <f t="shared" si="7"/>
        <v>26041406.25</v>
      </c>
      <c r="AR13" s="69">
        <f t="shared" si="8"/>
        <v>4756.4212328767117</v>
      </c>
      <c r="AS13" s="10"/>
      <c r="AT13" s="10"/>
      <c r="AU13" s="10"/>
    </row>
    <row r="14" spans="1:47" x14ac:dyDescent="0.25">
      <c r="A14" s="49" t="s">
        <v>24</v>
      </c>
      <c r="B14" s="50" t="s">
        <v>289</v>
      </c>
      <c r="C14" s="48">
        <f>IFERROR((s_TR/(up_RadSpec!I14*s_EF_cw*s_ED_con*s_IRS_cw*(1/1000)))*1,".")</f>
        <v>4.848484848484848E-8</v>
      </c>
      <c r="D14" s="48">
        <f>IFERROR(IF(A14="H-3",(s_TR/(up_RadSpec!G14*s_EF_cw*s_ED_con*s_ET_cw_o*(1/24)*s_IRA_cw*(1/17)*1000))*1,(s_TR/(up_RadSpec!G14*s_EF_cw*s_ED_con*s_ET_cw_o*(1/24)*s_IRA_cw*(1/s_PEFsc)*1000))*1),".")</f>
        <v>2.1694802535592706E-7</v>
      </c>
      <c r="E14" s="48">
        <f>IFERROR((s_TR/(up_RadSpec!F14*s_EF_cw*(1/365)*s_ED_con*up_RadSpec!Q14*s_ET_cw_o*(1/24)*up_RadSpec!V14))*1,".")</f>
        <v>1.2063359650429509E-4</v>
      </c>
      <c r="F14" s="48">
        <f t="shared" si="0"/>
        <v>3.9615431591998271E-8</v>
      </c>
      <c r="G14" s="69">
        <f t="shared" si="1"/>
        <v>229164.375</v>
      </c>
      <c r="H14" s="69">
        <f t="shared" si="2"/>
        <v>51215.031719100385</v>
      </c>
      <c r="I14" s="69">
        <f>s_C*s_EF_cw*(1/365)*s_ED_con*(s_ET_cw_i+s_ET_cw_o)*(1/24)*up_RadSpec!V14*up_RadSpec!Q14*1</f>
        <v>92.105353085484765</v>
      </c>
      <c r="J14" s="4"/>
      <c r="K14" s="4"/>
      <c r="L14" s="4"/>
      <c r="M14" s="4"/>
      <c r="N14" s="48">
        <f>IFERROR((s_TR/(up_RadSpec!I14*s_EF_cw*s_ED_con*s_IRS_cw*(1/1000)))*1,".")</f>
        <v>4.848484848484848E-8</v>
      </c>
      <c r="O14" s="48">
        <f>IFERROR(IF(A14="H-3",(s_TR/(up_RadSpec!G14*s_EF_cw*s_ED_con*s_ET_cw_o*(1/24)*s_IRA_cw*(1/17)*1000))*1,(s_TR/(up_RadSpec!G14*s_EF_cw*s_ED_con*s_ET_cw_o*(1/24)*s_IRA_cw*(1/s_PEF__sc)*1000))*1),".")</f>
        <v>1.3644722035813288E-6</v>
      </c>
      <c r="P14" s="48">
        <f>IFERROR((s_TR/(up_RadSpec!F14*s_EF_cw*(1/365)*s_ED_con*up_RadSpec!Q14*s_ET_cw_o*(1/24)*up_RadSpec!V14))*1,".")</f>
        <v>1.2063359650429509E-4</v>
      </c>
      <c r="Q14" s="48">
        <f t="shared" si="9"/>
        <v>4.6802951951416999E-8</v>
      </c>
      <c r="R14" s="69">
        <f t="shared" si="4"/>
        <v>229164.375</v>
      </c>
      <c r="S14" s="69">
        <f t="shared" si="5"/>
        <v>8143.0753743733067</v>
      </c>
      <c r="T14" s="69">
        <f>s_C*s_EF_cw*(1/365)*s_ED_con*(s_ET_cw_i+s_ET_cw_o)*(1/24)*up_RadSpec!V14*up_RadSpec!Q14*1</f>
        <v>92.105353085484765</v>
      </c>
      <c r="U14" s="11"/>
      <c r="V14" s="11"/>
      <c r="W14" s="11"/>
      <c r="X14" s="11"/>
      <c r="Y14" s="48">
        <f>IFERROR((s_TR/(up_RadSpec!F14*s_EF_cw*(1/365)*s_ED_con*up_RadSpec!Q14*s_ET_cw_o*(1/24)*up_RadSpec!V14))*1,".")</f>
        <v>1.2063359650429509E-4</v>
      </c>
      <c r="Z14" s="48">
        <f>IFERROR((s_TR/(up_RadSpec!M14*s_EF_cw*(1/365)*s_ED_con*up_RadSpec!R14*s_ET_cw_o*(1/24)*up_RadSpec!W14))*1,".")</f>
        <v>2.1908308672888695E-4</v>
      </c>
      <c r="AA14" s="48">
        <f>IFERROR((s_TR/(up_RadSpec!N14*s_EF_cw*(1/365)*s_ED_con*up_RadSpec!S14*s_ET_cw_o*(1/24)*up_RadSpec!X14))*1,".")</f>
        <v>1.6197769068435343E-4</v>
      </c>
      <c r="AB14" s="48">
        <f>IFERROR((s_TR/(up_RadSpec!O14*s_EF_cw*(1/365)*s_ED_con*up_RadSpec!T14*s_ET_cw_o*(1/24)*up_RadSpec!Y14))*1,".")</f>
        <v>1.4194050165273187E-4</v>
      </c>
      <c r="AC14" s="48">
        <f>IFERROR((s_TR/(up_RadSpec!K14*s_EF_cw*(1/365)*s_ED_con*up_RadSpec!P14*s_ET_cw_o*(1/24)*up_RadSpec!U14))*1,".")</f>
        <v>6.1130081300813017E-4</v>
      </c>
      <c r="AD14" s="69">
        <f>s_C*s_EF_cw*(1/365)*s_ED_con*(s_ET_cw_i+s_ET_cw_o)*(1/24)*up_RadSpec!V14*up_RadSpec!Q14*1</f>
        <v>92.105353085484765</v>
      </c>
      <c r="AE14" s="69">
        <f>s_C*s_EF_cw*(1/365)*s_ED_con*(s_ET_cw_i+s_ET_cw_o)*(1/24)*up_RadSpec!W14*up_RadSpec!R14*1</f>
        <v>50.715918631134421</v>
      </c>
      <c r="AF14" s="69">
        <f>s_C*s_EF_cw*(1/365)*s_ED_con*(s_ET_cw_i+s_ET_cw_o)*(1/24)*up_RadSpec!X14*up_RadSpec!S14*1</f>
        <v>68.595866215008883</v>
      </c>
      <c r="AG14" s="69">
        <f>s_C*s_EF_cw*(1/365)*s_ED_con*(s_ET_cw_i+s_ET_cw_o)*(1/24)*up_RadSpec!Y14*up_RadSpec!T14*1</f>
        <v>78.279278082191752</v>
      </c>
      <c r="AH14" s="69">
        <f>s_C*s_EF_cw*(1/365)*s_ED_con*(s_ET_cw_i+s_ET_cw_o)*(1/24)*up_RadSpec!U14*up_RadSpec!P14*1</f>
        <v>18.175994148157994</v>
      </c>
      <c r="AI14" s="11"/>
      <c r="AJ14" s="11"/>
      <c r="AK14" s="11"/>
      <c r="AL14" s="11"/>
      <c r="AM14" s="11"/>
      <c r="AN14" s="48">
        <f>IFERROR(s_TR/(up_RadSpec!G14*s_EF_cw*s_ED_con*s_ET_cw_o*(1/24)*s_IRA_cw),".")</f>
        <v>4.2666666666666664E-10</v>
      </c>
      <c r="AO14" s="48">
        <f>IFERROR(s_TR/(up_RadSpec!J14*s_EF_cw*(1/365)*s_ED_con*s_ET_cw_o*(1/24)*s_GSF_a),".")</f>
        <v>2.3359999999999997E-6</v>
      </c>
      <c r="AP14" s="48">
        <f t="shared" si="10"/>
        <v>4.2658875091307519E-10</v>
      </c>
      <c r="AQ14" s="69">
        <f t="shared" si="7"/>
        <v>26041406.25</v>
      </c>
      <c r="AR14" s="69">
        <f t="shared" si="8"/>
        <v>4756.4212328767117</v>
      </c>
      <c r="AS14" s="10"/>
      <c r="AT14" s="10"/>
      <c r="AU14" s="10"/>
    </row>
    <row r="15" spans="1:47" x14ac:dyDescent="0.25">
      <c r="A15" s="49" t="s">
        <v>25</v>
      </c>
      <c r="B15" s="50" t="s">
        <v>289</v>
      </c>
      <c r="C15" s="48">
        <f>IFERROR((s_TR/(up_RadSpec!I15*s_EF_cw*s_ED_con*s_IRS_cw*(1/1000)))*1,".")</f>
        <v>4.848484848484848E-8</v>
      </c>
      <c r="D15" s="48">
        <f>IFERROR(IF(A15="H-3",(s_TR/(up_RadSpec!G15*s_EF_cw*s_ED_con*s_ET_cw_o*(1/24)*s_IRA_cw*(1/17)*1000))*1,(s_TR/(up_RadSpec!G15*s_EF_cw*s_ED_con*s_ET_cw_o*(1/24)*s_IRA_cw*(1/s_PEFsc)*1000))*1),".")</f>
        <v>2.1694802535592706E-7</v>
      </c>
      <c r="E15" s="48" t="str">
        <f>IFERROR((s_TR/(up_RadSpec!F15*s_EF_cw*(1/365)*s_ED_con*up_RadSpec!Q15*s_ET_cw_o*(1/24)*up_RadSpec!V15))*1,".")</f>
        <v>.</v>
      </c>
      <c r="F15" s="48">
        <f t="shared" si="0"/>
        <v>3.9628445362720997E-8</v>
      </c>
      <c r="G15" s="69">
        <f t="shared" si="1"/>
        <v>229164.375</v>
      </c>
      <c r="H15" s="69">
        <f t="shared" si="2"/>
        <v>51215.031719100385</v>
      </c>
      <c r="I15" s="69">
        <f>s_C*s_EF_cw*(1/365)*s_ED_con*(s_ET_cw_i+s_ET_cw_o)*(1/24)*up_RadSpec!V15*up_RadSpec!Q15*1</f>
        <v>0</v>
      </c>
      <c r="J15" s="4"/>
      <c r="K15" s="4"/>
      <c r="L15" s="4"/>
      <c r="M15" s="4"/>
      <c r="N15" s="48">
        <f>IFERROR((s_TR/(up_RadSpec!I15*s_EF_cw*s_ED_con*s_IRS_cw*(1/1000)))*1,".")</f>
        <v>4.848484848484848E-8</v>
      </c>
      <c r="O15" s="48">
        <f>IFERROR(IF(A15="H-3",(s_TR/(up_RadSpec!G15*s_EF_cw*s_ED_con*s_ET_cw_o*(1/24)*s_IRA_cw*(1/17)*1000))*1,(s_TR/(up_RadSpec!G15*s_EF_cw*s_ED_con*s_ET_cw_o*(1/24)*s_IRA_cw*(1/s_PEF__sc)*1000))*1),".")</f>
        <v>1.3644722035813288E-6</v>
      </c>
      <c r="P15" s="48" t="str">
        <f>IFERROR((s_TR/(up_RadSpec!F15*s_EF_cw*(1/365)*s_ED_con*up_RadSpec!Q15*s_ET_cw_o*(1/24)*up_RadSpec!V15))*1,".")</f>
        <v>.</v>
      </c>
      <c r="Q15" s="48">
        <f t="shared" si="9"/>
        <v>4.6821117425817949E-8</v>
      </c>
      <c r="R15" s="69">
        <f t="shared" si="4"/>
        <v>229164.375</v>
      </c>
      <c r="S15" s="69">
        <f t="shared" si="5"/>
        <v>8143.0753743733067</v>
      </c>
      <c r="T15" s="69">
        <f>s_C*s_EF_cw*(1/365)*s_ED_con*(s_ET_cw_i+s_ET_cw_o)*(1/24)*up_RadSpec!V15*up_RadSpec!Q15*1</f>
        <v>0</v>
      </c>
      <c r="U15" s="11"/>
      <c r="V15" s="11"/>
      <c r="W15" s="11"/>
      <c r="X15" s="11"/>
      <c r="Y15" s="48" t="str">
        <f>IFERROR((s_TR/(up_RadSpec!F15*s_EF_cw*(1/365)*s_ED_con*up_RadSpec!Q15*s_ET_cw_o*(1/24)*up_RadSpec!V15))*1,".")</f>
        <v>.</v>
      </c>
      <c r="Z15" s="48" t="str">
        <f>IFERROR((s_TR/(up_RadSpec!M15*s_EF_cw*(1/365)*s_ED_con*up_RadSpec!R15*s_ET_cw_o*(1/24)*up_RadSpec!W15))*1,".")</f>
        <v>.</v>
      </c>
      <c r="AA15" s="48" t="str">
        <f>IFERROR((s_TR/(up_RadSpec!N15*s_EF_cw*(1/365)*s_ED_con*up_RadSpec!S15*s_ET_cw_o*(1/24)*up_RadSpec!X15))*1,".")</f>
        <v>.</v>
      </c>
      <c r="AB15" s="48" t="str">
        <f>IFERROR((s_TR/(up_RadSpec!O15*s_EF_cw*(1/365)*s_ED_con*up_RadSpec!T15*s_ET_cw_o*(1/24)*up_RadSpec!Y15))*1,".")</f>
        <v>.</v>
      </c>
      <c r="AC15" s="48" t="str">
        <f>IFERROR((s_TR/(up_RadSpec!K15*s_EF_cw*(1/365)*s_ED_con*up_RadSpec!P15*s_ET_cw_o*(1/24)*up_RadSpec!U15))*1,".")</f>
        <v>.</v>
      </c>
      <c r="AD15" s="69">
        <f>s_C*s_EF_cw*(1/365)*s_ED_con*(s_ET_cw_i+s_ET_cw_o)*(1/24)*up_RadSpec!V15*up_RadSpec!Q15*1</f>
        <v>0</v>
      </c>
      <c r="AE15" s="69">
        <f>s_C*s_EF_cw*(1/365)*s_ED_con*(s_ET_cw_i+s_ET_cw_o)*(1/24)*up_RadSpec!W15*up_RadSpec!R15*1</f>
        <v>0</v>
      </c>
      <c r="AF15" s="69">
        <f>s_C*s_EF_cw*(1/365)*s_ED_con*(s_ET_cw_i+s_ET_cw_o)*(1/24)*up_RadSpec!X15*up_RadSpec!S15*1</f>
        <v>0</v>
      </c>
      <c r="AG15" s="69">
        <f>s_C*s_EF_cw*(1/365)*s_ED_con*(s_ET_cw_i+s_ET_cw_o)*(1/24)*up_RadSpec!Y15*up_RadSpec!T15*1</f>
        <v>0</v>
      </c>
      <c r="AH15" s="69">
        <f>s_C*s_EF_cw*(1/365)*s_ED_con*(s_ET_cw_i+s_ET_cw_o)*(1/24)*up_RadSpec!U15*up_RadSpec!P15*1</f>
        <v>0</v>
      </c>
      <c r="AI15" s="11"/>
      <c r="AJ15" s="11"/>
      <c r="AK15" s="11"/>
      <c r="AL15" s="11"/>
      <c r="AM15" s="11"/>
      <c r="AN15" s="48">
        <f>IFERROR(s_TR/(up_RadSpec!G15*s_EF_cw*s_ED_con*s_ET_cw_o*(1/24)*s_IRA_cw),".")</f>
        <v>4.2666666666666664E-10</v>
      </c>
      <c r="AO15" s="48">
        <f>IFERROR(s_TR/(up_RadSpec!J15*s_EF_cw*(1/365)*s_ED_con*s_ET_cw_o*(1/24)*s_GSF_a),".")</f>
        <v>2.3359999999999997E-6</v>
      </c>
      <c r="AP15" s="48">
        <f t="shared" si="10"/>
        <v>4.2658875091307519E-10</v>
      </c>
      <c r="AQ15" s="69">
        <f t="shared" si="7"/>
        <v>26041406.25</v>
      </c>
      <c r="AR15" s="69">
        <f t="shared" si="8"/>
        <v>4756.4212328767117</v>
      </c>
      <c r="AS15" s="10"/>
      <c r="AT15" s="10"/>
      <c r="AU15" s="10"/>
    </row>
    <row r="16" spans="1:47" x14ac:dyDescent="0.25">
      <c r="A16" s="49" t="s">
        <v>26</v>
      </c>
      <c r="B16" s="50" t="s">
        <v>289</v>
      </c>
      <c r="C16" s="48">
        <f>IFERROR((s_TR/(up_RadSpec!I16*s_EF_cw*s_ED_con*s_IRS_cw*(1/1000)))*1,".")</f>
        <v>4.848484848484848E-8</v>
      </c>
      <c r="D16" s="48">
        <f>IFERROR(IF(A16="H-3",(s_TR/(up_RadSpec!G16*s_EF_cw*s_ED_con*s_ET_cw_o*(1/24)*s_IRA_cw*(1/17)*1000))*1,(s_TR/(up_RadSpec!G16*s_EF_cw*s_ED_con*s_ET_cw_o*(1/24)*s_IRA_cw*(1/s_PEFsc)*1000))*1),".")</f>
        <v>2.1694802535592706E-7</v>
      </c>
      <c r="E16" s="48">
        <f>IFERROR((s_TR/(up_RadSpec!F16*s_EF_cw*(1/365)*s_ED_con*up_RadSpec!Q16*s_ET_cw_o*(1/24)*up_RadSpec!V16))*1,".")</f>
        <v>1.1219210977701548</v>
      </c>
      <c r="F16" s="48">
        <f t="shared" si="0"/>
        <v>3.9628443962966924E-8</v>
      </c>
      <c r="G16" s="69">
        <f t="shared" si="1"/>
        <v>229164.375</v>
      </c>
      <c r="H16" s="69">
        <f t="shared" si="2"/>
        <v>51215.031719100385</v>
      </c>
      <c r="I16" s="69">
        <f>s_C*s_EF_cw*(1/365)*s_ED_con*(s_ET_cw_i+s_ET_cw_o)*(1/24)*up_RadSpec!V16*up_RadSpec!Q16*1</f>
        <v>9.9035484955968638E-3</v>
      </c>
      <c r="J16" s="4"/>
      <c r="K16" s="4"/>
      <c r="L16" s="4"/>
      <c r="M16" s="4"/>
      <c r="N16" s="48">
        <f>IFERROR((s_TR/(up_RadSpec!I16*s_EF_cw*s_ED_con*s_IRS_cw*(1/1000)))*1,".")</f>
        <v>4.848484848484848E-8</v>
      </c>
      <c r="O16" s="48">
        <f>IFERROR(IF(A16="H-3",(s_TR/(up_RadSpec!G16*s_EF_cw*s_ED_con*s_ET_cw_o*(1/24)*s_IRA_cw*(1/17)*1000))*1,(s_TR/(up_RadSpec!G16*s_EF_cw*s_ED_con*s_ET_cw_o*(1/24)*s_IRA_cw*(1/s_PEF__sc)*1000))*1),".")</f>
        <v>1.3644722035813288E-6</v>
      </c>
      <c r="P16" s="48">
        <f>IFERROR((s_TR/(up_RadSpec!F16*s_EF_cw*(1/365)*s_ED_con*up_RadSpec!Q16*s_ET_cw_o*(1/24)*up_RadSpec!V16))*1,".")</f>
        <v>1.1219210977701548</v>
      </c>
      <c r="Q16" s="48">
        <f t="shared" si="9"/>
        <v>4.6821115471832986E-8</v>
      </c>
      <c r="R16" s="69">
        <f t="shared" si="4"/>
        <v>229164.375</v>
      </c>
      <c r="S16" s="69">
        <f t="shared" si="5"/>
        <v>8143.0753743733067</v>
      </c>
      <c r="T16" s="69">
        <f>s_C*s_EF_cw*(1/365)*s_ED_con*(s_ET_cw_i+s_ET_cw_o)*(1/24)*up_RadSpec!V16*up_RadSpec!Q16*1</f>
        <v>9.9035484955968638E-3</v>
      </c>
      <c r="U16" s="11"/>
      <c r="V16" s="11"/>
      <c r="W16" s="11"/>
      <c r="X16" s="11"/>
      <c r="Y16" s="48">
        <f>IFERROR((s_TR/(up_RadSpec!F16*s_EF_cw*(1/365)*s_ED_con*up_RadSpec!Q16*s_ET_cw_o*(1/24)*up_RadSpec!V16))*1,".")</f>
        <v>1.1219210977701548</v>
      </c>
      <c r="Z16" s="48">
        <f>IFERROR((s_TR/(up_RadSpec!M16*s_EF_cw*(1/365)*s_ED_con*up_RadSpec!R16*s_ET_cw_o*(1/24)*up_RadSpec!W16))*1,".")</f>
        <v>1.9981029810298108</v>
      </c>
      <c r="AA16" s="48">
        <f>IFERROR((s_TR/(up_RadSpec!N16*s_EF_cw*(1/365)*s_ED_con*up_RadSpec!S16*s_ET_cw_o*(1/24)*up_RadSpec!X16))*1,".")</f>
        <v>1.2003402482423404</v>
      </c>
      <c r="AB16" s="48">
        <f>IFERROR((s_TR/(up_RadSpec!O16*s_EF_cw*(1/365)*s_ED_con*up_RadSpec!T16*s_ET_cw_o*(1/24)*up_RadSpec!Y16))*1,".")</f>
        <v>1.2065423242467725</v>
      </c>
      <c r="AC16" s="48">
        <f>IFERROR((s_TR/(up_RadSpec!K16*s_EF_cw*(1/365)*s_ED_con*up_RadSpec!P16*s_ET_cw_o*(1/24)*up_RadSpec!U16))*1,".")</f>
        <v>46.719999999999992</v>
      </c>
      <c r="AD16" s="69">
        <f>s_C*s_EF_cw*(1/365)*s_ED_con*(s_ET_cw_i+s_ET_cw_o)*(1/24)*up_RadSpec!V16*up_RadSpec!Q16*1</f>
        <v>9.9035484955968638E-3</v>
      </c>
      <c r="AE16" s="69">
        <f>s_C*s_EF_cw*(1/365)*s_ED_con*(s_ET_cw_i+s_ET_cw_o)*(1/24)*up_RadSpec!W16*up_RadSpec!R16*1</f>
        <v>5.5607744473077422E-3</v>
      </c>
      <c r="AF16" s="69">
        <f>s_C*s_EF_cw*(1/365)*s_ED_con*(s_ET_cw_i+s_ET_cw_o)*(1/24)*up_RadSpec!X16*up_RadSpec!S16*1</f>
        <v>9.2565420648602313E-3</v>
      </c>
      <c r="AG16" s="69">
        <f>s_C*s_EF_cw*(1/365)*s_ED_con*(s_ET_cw_i+s_ET_cw_o)*(1/24)*up_RadSpec!Y16*up_RadSpec!T16*1</f>
        <v>9.208959998097406E-3</v>
      </c>
      <c r="AH16" s="69">
        <f>s_C*s_EF_cw*(1/365)*s_ED_con*(s_ET_cw_i+s_ET_cw_o)*(1/24)*up_RadSpec!U16*up_RadSpec!P16*1</f>
        <v>2.3782106164383558E-4</v>
      </c>
      <c r="AI16" s="11"/>
      <c r="AJ16" s="11"/>
      <c r="AK16" s="11"/>
      <c r="AL16" s="11"/>
      <c r="AM16" s="11"/>
      <c r="AN16" s="48">
        <f>IFERROR(s_TR/(up_RadSpec!G16*s_EF_cw*s_ED_con*s_ET_cw_o*(1/24)*s_IRA_cw),".")</f>
        <v>4.2666666666666664E-10</v>
      </c>
      <c r="AO16" s="48">
        <f>IFERROR(s_TR/(up_RadSpec!J16*s_EF_cw*(1/365)*s_ED_con*s_ET_cw_o*(1/24)*s_GSF_a),".")</f>
        <v>2.3359999999999997E-6</v>
      </c>
      <c r="AP16" s="48">
        <f t="shared" si="10"/>
        <v>4.2658875091307519E-10</v>
      </c>
      <c r="AQ16" s="69">
        <f t="shared" si="7"/>
        <v>26041406.25</v>
      </c>
      <c r="AR16" s="69">
        <f t="shared" si="8"/>
        <v>4756.4212328767117</v>
      </c>
      <c r="AS16" s="10"/>
      <c r="AT16" s="10"/>
      <c r="AU16" s="10"/>
    </row>
    <row r="17" spans="1:47" x14ac:dyDescent="0.25">
      <c r="A17" s="49" t="s">
        <v>27</v>
      </c>
      <c r="B17" s="50" t="s">
        <v>289</v>
      </c>
      <c r="C17" s="48">
        <f>IFERROR((s_TR/(up_RadSpec!I17*s_EF_cw*s_ED_con*s_IRS_cw*(1/1000)))*1,".")</f>
        <v>4.848484848484848E-8</v>
      </c>
      <c r="D17" s="48">
        <f>IFERROR(IF(A17="H-3",(s_TR/(up_RadSpec!G17*s_EF_cw*s_ED_con*s_ET_cw_o*(1/24)*s_IRA_cw*(1/17)*1000))*1,(s_TR/(up_RadSpec!G17*s_EF_cw*s_ED_con*s_ET_cw_o*(1/24)*s_IRA_cw*(1/s_PEFsc)*1000))*1),".")</f>
        <v>2.1694802535592706E-7</v>
      </c>
      <c r="E17" s="48">
        <f>IFERROR((s_TR/(up_RadSpec!F17*s_EF_cw*(1/365)*s_ED_con*up_RadSpec!Q17*s_ET_cw_o*(1/24)*up_RadSpec!V17))*1,".")</f>
        <v>1.0314805194805188E-4</v>
      </c>
      <c r="F17" s="48">
        <f t="shared" si="0"/>
        <v>3.9613226359096936E-8</v>
      </c>
      <c r="G17" s="69">
        <f t="shared" si="1"/>
        <v>229164.375</v>
      </c>
      <c r="H17" s="69">
        <f t="shared" si="2"/>
        <v>51215.031719100385</v>
      </c>
      <c r="I17" s="69">
        <f>s_C*s_EF_cw*(1/365)*s_ED_con*(s_ET_cw_i+s_ET_cw_o)*(1/24)*up_RadSpec!V17*up_RadSpec!Q17*1</f>
        <v>107.71895145044321</v>
      </c>
      <c r="J17" s="4"/>
      <c r="K17" s="4"/>
      <c r="L17" s="4"/>
      <c r="M17" s="4"/>
      <c r="N17" s="48">
        <f>IFERROR((s_TR/(up_RadSpec!I17*s_EF_cw*s_ED_con*s_IRS_cw*(1/1000)))*1,".")</f>
        <v>4.848484848484848E-8</v>
      </c>
      <c r="O17" s="48">
        <f>IFERROR(IF(A17="H-3",(s_TR/(up_RadSpec!G17*s_EF_cw*s_ED_con*s_ET_cw_o*(1/24)*s_IRA_cw*(1/17)*1000))*1,(s_TR/(up_RadSpec!G17*s_EF_cw*s_ED_con*s_ET_cw_o*(1/24)*s_IRA_cw*(1/s_PEF__sc)*1000))*1),".")</f>
        <v>1.3644722035813288E-6</v>
      </c>
      <c r="P17" s="48">
        <f>IFERROR((s_TR/(up_RadSpec!F17*s_EF_cw*(1/365)*s_ED_con*up_RadSpec!Q17*s_ET_cw_o*(1/24)*up_RadSpec!V17))*1,".")</f>
        <v>1.0314805194805188E-4</v>
      </c>
      <c r="Q17" s="48">
        <f t="shared" si="9"/>
        <v>4.6799873957301726E-8</v>
      </c>
      <c r="R17" s="69">
        <f t="shared" si="4"/>
        <v>229164.375</v>
      </c>
      <c r="S17" s="69">
        <f t="shared" si="5"/>
        <v>8143.0753743733067</v>
      </c>
      <c r="T17" s="69">
        <f>s_C*s_EF_cw*(1/365)*s_ED_con*(s_ET_cw_i+s_ET_cw_o)*(1/24)*up_RadSpec!V17*up_RadSpec!Q17*1</f>
        <v>107.71895145044321</v>
      </c>
      <c r="U17" s="11"/>
      <c r="V17" s="11"/>
      <c r="W17" s="11"/>
      <c r="X17" s="11"/>
      <c r="Y17" s="48">
        <f>IFERROR((s_TR/(up_RadSpec!F17*s_EF_cw*(1/365)*s_ED_con*up_RadSpec!Q17*s_ET_cw_o*(1/24)*up_RadSpec!V17))*1,".")</f>
        <v>1.0314805194805188E-4</v>
      </c>
      <c r="Z17" s="48">
        <f>IFERROR((s_TR/(up_RadSpec!M17*s_EF_cw*(1/365)*s_ED_con*up_RadSpec!R17*s_ET_cw_o*(1/24)*up_RadSpec!W17))*1,".")</f>
        <v>1.802727925340991E-4</v>
      </c>
      <c r="AA17" s="48">
        <f>IFERROR((s_TR/(up_RadSpec!N17*s_EF_cw*(1/365)*s_ED_con*up_RadSpec!S17*s_ET_cw_o*(1/24)*up_RadSpec!X17))*1,".")</f>
        <v>1.3582012264365205E-4</v>
      </c>
      <c r="AB17" s="48">
        <f>IFERROR((s_TR/(up_RadSpec!O17*s_EF_cw*(1/365)*s_ED_con*up_RadSpec!T17*s_ET_cw_o*(1/24)*up_RadSpec!Y17))*1,".")</f>
        <v>1.2077552778974575E-4</v>
      </c>
      <c r="AC17" s="48">
        <f>IFERROR((s_TR/(up_RadSpec!K17*s_EF_cw*(1/365)*s_ED_con*up_RadSpec!P17*s_ET_cw_o*(1/24)*up_RadSpec!U17))*1,".")</f>
        <v>3.4542720664589824E-4</v>
      </c>
      <c r="AD17" s="69">
        <f>s_C*s_EF_cw*(1/365)*s_ED_con*(s_ET_cw_i+s_ET_cw_o)*(1/24)*up_RadSpec!V17*up_RadSpec!Q17*1</f>
        <v>107.71895145044321</v>
      </c>
      <c r="AE17" s="69">
        <f>s_C*s_EF_cw*(1/365)*s_ED_con*(s_ET_cw_i+s_ET_cw_o)*(1/24)*up_RadSpec!W17*up_RadSpec!R17*1</f>
        <v>61.634370022300068</v>
      </c>
      <c r="AF17" s="69">
        <f>s_C*s_EF_cw*(1/365)*s_ED_con*(s_ET_cw_i+s_ET_cw_o)*(1/24)*up_RadSpec!X17*up_RadSpec!S17*1</f>
        <v>81.806729251391246</v>
      </c>
      <c r="AG17" s="69">
        <f>s_C*s_EF_cw*(1/365)*s_ED_con*(s_ET_cw_i+s_ET_cw_o)*(1/24)*up_RadSpec!Y17*up_RadSpec!T17*1</f>
        <v>91.997114012557091</v>
      </c>
      <c r="AH17" s="69">
        <f>s_C*s_EF_cw*(1/365)*s_ED_con*(s_ET_cw_i+s_ET_cw_o)*(1/24)*up_RadSpec!U17*up_RadSpec!P17*1</f>
        <v>32.165966624018772</v>
      </c>
      <c r="AI17" s="11"/>
      <c r="AJ17" s="11"/>
      <c r="AK17" s="11"/>
      <c r="AL17" s="11"/>
      <c r="AM17" s="11"/>
      <c r="AN17" s="48">
        <f>IFERROR(s_TR/(up_RadSpec!G17*s_EF_cw*s_ED_con*s_ET_cw_o*(1/24)*s_IRA_cw),".")</f>
        <v>4.2666666666666664E-10</v>
      </c>
      <c r="AO17" s="48">
        <f>IFERROR(s_TR/(up_RadSpec!J17*s_EF_cw*(1/365)*s_ED_con*s_ET_cw_o*(1/24)*s_GSF_a),".")</f>
        <v>2.3359999999999997E-6</v>
      </c>
      <c r="AP17" s="48">
        <f t="shared" si="10"/>
        <v>4.2658875091307519E-10</v>
      </c>
      <c r="AQ17" s="69">
        <f t="shared" si="7"/>
        <v>26041406.25</v>
      </c>
      <c r="AR17" s="69">
        <f t="shared" si="8"/>
        <v>4756.4212328767117</v>
      </c>
      <c r="AS17" s="10"/>
      <c r="AT17" s="10"/>
      <c r="AU17" s="10"/>
    </row>
    <row r="18" spans="1:47" x14ac:dyDescent="0.25">
      <c r="A18" s="49" t="s">
        <v>28</v>
      </c>
      <c r="B18" s="50" t="s">
        <v>289</v>
      </c>
      <c r="C18" s="48">
        <f>IFERROR((s_TR/(up_RadSpec!I18*s_EF_cw*s_ED_con*s_IRS_cw*(1/1000)))*1,".")</f>
        <v>4.848484848484848E-8</v>
      </c>
      <c r="D18" s="48">
        <f>IFERROR(IF(A18="H-3",(s_TR/(up_RadSpec!G18*s_EF_cw*s_ED_con*s_ET_cw_o*(1/24)*s_IRA_cw*(1/17)*1000))*1,(s_TR/(up_RadSpec!G18*s_EF_cw*s_ED_con*s_ET_cw_o*(1/24)*s_IRA_cw*(1/s_PEFsc)*1000))*1),".")</f>
        <v>2.1694802535592706E-7</v>
      </c>
      <c r="E18" s="48">
        <f>IFERROR((s_TR/(up_RadSpec!F18*s_EF_cw*(1/365)*s_ED_con*up_RadSpec!Q18*s_ET_cw_o*(1/24)*up_RadSpec!V18))*1,".")</f>
        <v>5.253468730650155E-5</v>
      </c>
      <c r="F18" s="48">
        <f t="shared" si="0"/>
        <v>3.9598575003793678E-8</v>
      </c>
      <c r="G18" s="69">
        <f t="shared" si="1"/>
        <v>229164.375</v>
      </c>
      <c r="H18" s="69">
        <f t="shared" si="2"/>
        <v>51215.031719100385</v>
      </c>
      <c r="I18" s="69">
        <f>s_C*s_EF_cw*(1/365)*s_ED_con*(s_ET_cw_i+s_ET_cw_o)*(1/24)*up_RadSpec!V18*up_RadSpec!Q18*1</f>
        <v>211.49835603237577</v>
      </c>
      <c r="J18" s="4"/>
      <c r="K18" s="4"/>
      <c r="L18" s="4"/>
      <c r="M18" s="4"/>
      <c r="N18" s="48">
        <f>IFERROR((s_TR/(up_RadSpec!I18*s_EF_cw*s_ED_con*s_IRS_cw*(1/1000)))*1,".")</f>
        <v>4.848484848484848E-8</v>
      </c>
      <c r="O18" s="48">
        <f>IFERROR(IF(A18="H-3",(s_TR/(up_RadSpec!G18*s_EF_cw*s_ED_con*s_ET_cw_o*(1/24)*s_IRA_cw*(1/17)*1000))*1,(s_TR/(up_RadSpec!G18*s_EF_cw*s_ED_con*s_ET_cw_o*(1/24)*s_IRA_cw*(1/s_PEF__sc)*1000))*1),".")</f>
        <v>1.3644722035813288E-6</v>
      </c>
      <c r="P18" s="48">
        <f>IFERROR((s_TR/(up_RadSpec!F18*s_EF_cw*(1/365)*s_ED_con*up_RadSpec!Q18*s_ET_cw_o*(1/24)*up_RadSpec!V18))*1,".")</f>
        <v>5.253468730650155E-5</v>
      </c>
      <c r="Q18" s="48">
        <f t="shared" si="9"/>
        <v>4.677942563905276E-8</v>
      </c>
      <c r="R18" s="69">
        <f t="shared" si="4"/>
        <v>229164.375</v>
      </c>
      <c r="S18" s="69">
        <f t="shared" si="5"/>
        <v>8143.0753743733067</v>
      </c>
      <c r="T18" s="69">
        <f>s_C*s_EF_cw*(1/365)*s_ED_con*(s_ET_cw_i+s_ET_cw_o)*(1/24)*up_RadSpec!V18*up_RadSpec!Q18*1</f>
        <v>211.49835603237577</v>
      </c>
      <c r="U18" s="11"/>
      <c r="V18" s="11"/>
      <c r="W18" s="11"/>
      <c r="X18" s="11"/>
      <c r="Y18" s="48">
        <f>IFERROR((s_TR/(up_RadSpec!F18*s_EF_cw*(1/365)*s_ED_con*up_RadSpec!Q18*s_ET_cw_o*(1/24)*up_RadSpec!V18))*1,".")</f>
        <v>5.253468730650155E-5</v>
      </c>
      <c r="Z18" s="48">
        <f>IFERROR((s_TR/(up_RadSpec!M18*s_EF_cw*(1/365)*s_ED_con*up_RadSpec!R18*s_ET_cw_o*(1/24)*up_RadSpec!W18))*1,".")</f>
        <v>1.0395089707271011E-4</v>
      </c>
      <c r="AA18" s="48">
        <f>IFERROR((s_TR/(up_RadSpec!N18*s_EF_cw*(1/365)*s_ED_con*up_RadSpec!S18*s_ET_cw_o*(1/24)*up_RadSpec!X18))*1,".")</f>
        <v>7.2796352997210319E-5</v>
      </c>
      <c r="AB18" s="48">
        <f>IFERROR((s_TR/(up_RadSpec!O18*s_EF_cw*(1/365)*s_ED_con*up_RadSpec!T18*s_ET_cw_o*(1/24)*up_RadSpec!Y18))*1,".")</f>
        <v>6.0313093172772757E-5</v>
      </c>
      <c r="AC18" s="48">
        <f>IFERROR((s_TR/(up_RadSpec!K18*s_EF_cw*(1/365)*s_ED_con*up_RadSpec!P18*s_ET_cw_o*(1/24)*up_RadSpec!U18))*1,".")</f>
        <v>1.7669743589743584E-4</v>
      </c>
      <c r="AD18" s="69">
        <f>s_C*s_EF_cw*(1/365)*s_ED_con*(s_ET_cw_i+s_ET_cw_o)*(1/24)*up_RadSpec!V18*up_RadSpec!Q18*1</f>
        <v>211.49835603237577</v>
      </c>
      <c r="AE18" s="69">
        <f>s_C*s_EF_cw*(1/365)*s_ED_con*(s_ET_cw_i+s_ET_cw_o)*(1/24)*up_RadSpec!W18*up_RadSpec!R18*1</f>
        <v>106.88700446931432</v>
      </c>
      <c r="AF18" s="69">
        <f>s_C*s_EF_cw*(1/365)*s_ED_con*(s_ET_cw_i+s_ET_cw_o)*(1/24)*up_RadSpec!X18*up_RadSpec!S18*1</f>
        <v>152.63127261918999</v>
      </c>
      <c r="AG18" s="69">
        <f>s_C*s_EF_cw*(1/365)*s_ED_con*(s_ET_cw_i+s_ET_cw_o)*(1/24)*up_RadSpec!Y18*up_RadSpec!T18*1</f>
        <v>184.22202237533153</v>
      </c>
      <c r="AH18" s="69">
        <f>s_C*s_EF_cw*(1/365)*s_ED_con*(s_ET_cw_i+s_ET_cw_o)*(1/24)*up_RadSpec!U18*up_RadSpec!P18*1</f>
        <v>62.881501044810783</v>
      </c>
      <c r="AI18" s="11"/>
      <c r="AJ18" s="11"/>
      <c r="AK18" s="11"/>
      <c r="AL18" s="11"/>
      <c r="AM18" s="11"/>
      <c r="AN18" s="48">
        <f>IFERROR(s_TR/(up_RadSpec!G18*s_EF_cw*s_ED_con*s_ET_cw_o*(1/24)*s_IRA_cw),".")</f>
        <v>4.2666666666666664E-10</v>
      </c>
      <c r="AO18" s="48">
        <f>IFERROR(s_TR/(up_RadSpec!J18*s_EF_cw*(1/365)*s_ED_con*s_ET_cw_o*(1/24)*s_GSF_a),".")</f>
        <v>2.3359999999999997E-6</v>
      </c>
      <c r="AP18" s="48">
        <f t="shared" si="10"/>
        <v>4.2658875091307519E-10</v>
      </c>
      <c r="AQ18" s="69">
        <f t="shared" si="7"/>
        <v>26041406.25</v>
      </c>
      <c r="AR18" s="69">
        <f t="shared" si="8"/>
        <v>4756.4212328767117</v>
      </c>
      <c r="AS18" s="10"/>
      <c r="AT18" s="10"/>
      <c r="AU18" s="10"/>
    </row>
    <row r="19" spans="1:47" x14ac:dyDescent="0.25">
      <c r="A19" s="49" t="s">
        <v>29</v>
      </c>
      <c r="B19" s="50" t="s">
        <v>289</v>
      </c>
      <c r="C19" s="48">
        <f>IFERROR((s_TR/(up_RadSpec!I19*s_EF_cw*s_ED_con*s_IRS_cw*(1/1000)))*1,".")</f>
        <v>4.848484848484848E-8</v>
      </c>
      <c r="D19" s="48">
        <f>IFERROR(IF(A19="H-3",(s_TR/(up_RadSpec!G19*s_EF_cw*s_ED_con*s_ET_cw_o*(1/24)*s_IRA_cw*(1/17)*1000))*1,(s_TR/(up_RadSpec!G19*s_EF_cw*s_ED_con*s_ET_cw_o*(1/24)*s_IRA_cw*(1/s_PEFsc)*1000))*1),".")</f>
        <v>2.1694802535592706E-7</v>
      </c>
      <c r="E19" s="48">
        <f>IFERROR((s_TR/(up_RadSpec!F19*s_EF_cw*(1/365)*s_ED_con*up_RadSpec!Q19*s_ET_cw_o*(1/24)*up_RadSpec!V19))*1,".")</f>
        <v>5.3606084447941249E-5</v>
      </c>
      <c r="F19" s="48">
        <f t="shared" si="0"/>
        <v>3.9599171566229754E-8</v>
      </c>
      <c r="G19" s="69">
        <f t="shared" si="1"/>
        <v>229164.375</v>
      </c>
      <c r="H19" s="69">
        <f t="shared" si="2"/>
        <v>51215.031719100385</v>
      </c>
      <c r="I19" s="69">
        <f>s_C*s_EF_cw*(1/365)*s_ED_con*(s_ET_cw_i+s_ET_cw_o)*(1/24)*up_RadSpec!V19*up_RadSpec!Q19*1</f>
        <v>207.27124755381601</v>
      </c>
      <c r="J19" s="4"/>
      <c r="K19" s="4"/>
      <c r="L19" s="4"/>
      <c r="M19" s="4"/>
      <c r="N19" s="48">
        <f>IFERROR((s_TR/(up_RadSpec!I19*s_EF_cw*s_ED_con*s_IRS_cw*(1/1000)))*1,".")</f>
        <v>4.848484848484848E-8</v>
      </c>
      <c r="O19" s="48">
        <f>IFERROR(IF(A19="H-3",(s_TR/(up_RadSpec!G19*s_EF_cw*s_ED_con*s_ET_cw_o*(1/24)*s_IRA_cw*(1/17)*1000))*1,(s_TR/(up_RadSpec!G19*s_EF_cw*s_ED_con*s_ET_cw_o*(1/24)*s_IRA_cw*(1/s_PEF__sc)*1000))*1),".")</f>
        <v>1.3644722035813288E-6</v>
      </c>
      <c r="P19" s="48">
        <f>IFERROR((s_TR/(up_RadSpec!F19*s_EF_cw*(1/365)*s_ED_con*up_RadSpec!Q19*s_ET_cw_o*(1/24)*up_RadSpec!V19))*1,".")</f>
        <v>5.3606084447941249E-5</v>
      </c>
      <c r="Q19" s="48">
        <f t="shared" si="9"/>
        <v>4.6780258184106769E-8</v>
      </c>
      <c r="R19" s="69">
        <f t="shared" si="4"/>
        <v>229164.375</v>
      </c>
      <c r="S19" s="69">
        <f t="shared" si="5"/>
        <v>8143.0753743733067</v>
      </c>
      <c r="T19" s="69">
        <f>s_C*s_EF_cw*(1/365)*s_ED_con*(s_ET_cw_i+s_ET_cw_o)*(1/24)*up_RadSpec!V19*up_RadSpec!Q19*1</f>
        <v>207.27124755381601</v>
      </c>
      <c r="U19" s="11"/>
      <c r="V19" s="11"/>
      <c r="W19" s="11"/>
      <c r="X19" s="11"/>
      <c r="Y19" s="48">
        <f>IFERROR((s_TR/(up_RadSpec!F19*s_EF_cw*(1/365)*s_ED_con*up_RadSpec!Q19*s_ET_cw_o*(1/24)*up_RadSpec!V19))*1,".")</f>
        <v>5.3606084447941249E-5</v>
      </c>
      <c r="Z19" s="48">
        <f>IFERROR((s_TR/(up_RadSpec!M19*s_EF_cw*(1/365)*s_ED_con*up_RadSpec!R19*s_ET_cw_o*(1/24)*up_RadSpec!W19))*1,".")</f>
        <v>1.0632250019484063E-4</v>
      </c>
      <c r="AA19" s="48">
        <f>IFERROR((s_TR/(up_RadSpec!N19*s_EF_cw*(1/365)*s_ED_con*up_RadSpec!S19*s_ET_cw_o*(1/24)*up_RadSpec!X19))*1,".")</f>
        <v>7.3702673796791467E-5</v>
      </c>
      <c r="AB19" s="48">
        <f>IFERROR((s_TR/(up_RadSpec!O19*s_EF_cw*(1/365)*s_ED_con*up_RadSpec!T19*s_ET_cw_o*(1/24)*up_RadSpec!Y19))*1,".")</f>
        <v>6.1556756756756711E-5</v>
      </c>
      <c r="AC19" s="48">
        <f>IFERROR((s_TR/(up_RadSpec!K19*s_EF_cw*(1/365)*s_ED_con*up_RadSpec!P19*s_ET_cw_o*(1/24)*up_RadSpec!U19))*1,".")</f>
        <v>1.8309027124155055E-4</v>
      </c>
      <c r="AD19" s="69">
        <f>s_C*s_EF_cw*(1/365)*s_ED_con*(s_ET_cw_i+s_ET_cw_o)*(1/24)*up_RadSpec!V19*up_RadSpec!Q19*1</f>
        <v>207.27124755381601</v>
      </c>
      <c r="AE19" s="69">
        <f>s_C*s_EF_cw*(1/365)*s_ED_con*(s_ET_cw_i+s_ET_cw_o)*(1/24)*up_RadSpec!W19*up_RadSpec!R19*1</f>
        <v>104.50280965589226</v>
      </c>
      <c r="AF19" s="69">
        <f>s_C*s_EF_cw*(1/365)*s_ED_con*(s_ET_cw_i+s_ET_cw_o)*(1/24)*up_RadSpec!X19*up_RadSpec!S19*1</f>
        <v>150.75436788948213</v>
      </c>
      <c r="AG19" s="69">
        <f>s_C*s_EF_cw*(1/365)*s_ED_con*(s_ET_cw_i+s_ET_cw_o)*(1/24)*up_RadSpec!Y19*up_RadSpec!T19*1</f>
        <v>180.5000878117317</v>
      </c>
      <c r="AH19" s="69">
        <f>s_C*s_EF_cw*(1/365)*s_ED_con*(s_ET_cw_i+s_ET_cw_o)*(1/24)*up_RadSpec!U19*up_RadSpec!P19*1</f>
        <v>60.685911515971725</v>
      </c>
      <c r="AI19" s="11"/>
      <c r="AJ19" s="11"/>
      <c r="AK19" s="11"/>
      <c r="AL19" s="11"/>
      <c r="AM19" s="11"/>
      <c r="AN19" s="48">
        <f>IFERROR(s_TR/(up_RadSpec!G19*s_EF_cw*s_ED_con*s_ET_cw_o*(1/24)*s_IRA_cw),".")</f>
        <v>4.2666666666666664E-10</v>
      </c>
      <c r="AO19" s="48">
        <f>IFERROR(s_TR/(up_RadSpec!J19*s_EF_cw*(1/365)*s_ED_con*s_ET_cw_o*(1/24)*s_GSF_a),".")</f>
        <v>2.3359999999999997E-6</v>
      </c>
      <c r="AP19" s="48">
        <f t="shared" si="10"/>
        <v>4.2658875091307519E-10</v>
      </c>
      <c r="AQ19" s="69">
        <f t="shared" si="7"/>
        <v>26041406.25</v>
      </c>
      <c r="AR19" s="69">
        <f t="shared" si="8"/>
        <v>4756.4212328767117</v>
      </c>
      <c r="AS19" s="10"/>
      <c r="AT19" s="10"/>
      <c r="AU19" s="10"/>
    </row>
    <row r="20" spans="1:47" x14ac:dyDescent="0.25">
      <c r="A20" s="49" t="s">
        <v>30</v>
      </c>
      <c r="B20" s="50" t="s">
        <v>289</v>
      </c>
      <c r="C20" s="48">
        <f>IFERROR((s_TR/(up_RadSpec!I20*s_EF_cw*s_ED_con*s_IRS_cw*(1/1000)))*1,".")</f>
        <v>4.848484848484848E-8</v>
      </c>
      <c r="D20" s="48">
        <f>IFERROR(IF(A20="H-3",(s_TR/(up_RadSpec!G20*s_EF_cw*s_ED_con*s_ET_cw_o*(1/24)*s_IRA_cw*(1/17)*1000))*1,(s_TR/(up_RadSpec!G20*s_EF_cw*s_ED_con*s_ET_cw_o*(1/24)*s_IRA_cw*(1/s_PEFsc)*1000))*1),".")</f>
        <v>2.1694802535592706E-7</v>
      </c>
      <c r="E20" s="48">
        <f>IFERROR((s_TR/(up_RadSpec!F20*s_EF_cw*(1/365)*s_ED_con*up_RadSpec!Q20*s_ET_cw_o*(1/24)*up_RadSpec!V20))*1,".")</f>
        <v>5.2711136958418115E-5</v>
      </c>
      <c r="F20" s="48">
        <f t="shared" si="0"/>
        <v>3.9598674919205241E-8</v>
      </c>
      <c r="G20" s="69">
        <f t="shared" si="1"/>
        <v>229164.375</v>
      </c>
      <c r="H20" s="69">
        <f t="shared" si="2"/>
        <v>51215.031719100385</v>
      </c>
      <c r="I20" s="69">
        <f>s_C*s_EF_cw*(1/365)*s_ED_con*(s_ET_cw_i+s_ET_cw_o)*(1/24)*up_RadSpec!V20*up_RadSpec!Q20*1</f>
        <v>210.79036881266777</v>
      </c>
      <c r="J20" s="4"/>
      <c r="K20" s="4"/>
      <c r="L20" s="4"/>
      <c r="M20" s="4"/>
      <c r="N20" s="48">
        <f>IFERROR((s_TR/(up_RadSpec!I20*s_EF_cw*s_ED_con*s_IRS_cw*(1/1000)))*1,".")</f>
        <v>4.848484848484848E-8</v>
      </c>
      <c r="O20" s="48">
        <f>IFERROR(IF(A20="H-3",(s_TR/(up_RadSpec!G20*s_EF_cw*s_ED_con*s_ET_cw_o*(1/24)*s_IRA_cw*(1/17)*1000))*1,(s_TR/(up_RadSpec!G20*s_EF_cw*s_ED_con*s_ET_cw_o*(1/24)*s_IRA_cw*(1/s_PEF__sc)*1000))*1),".")</f>
        <v>1.3644722035813288E-6</v>
      </c>
      <c r="P20" s="48">
        <f>IFERROR((s_TR/(up_RadSpec!F20*s_EF_cw*(1/365)*s_ED_con*up_RadSpec!Q20*s_ET_cw_o*(1/24)*up_RadSpec!V20))*1,".")</f>
        <v>5.2711136958418115E-5</v>
      </c>
      <c r="Q20" s="48">
        <f t="shared" si="9"/>
        <v>4.6779565077756059E-8</v>
      </c>
      <c r="R20" s="69">
        <f t="shared" si="4"/>
        <v>229164.375</v>
      </c>
      <c r="S20" s="69">
        <f t="shared" si="5"/>
        <v>8143.0753743733067</v>
      </c>
      <c r="T20" s="69">
        <f>s_C*s_EF_cw*(1/365)*s_ED_con*(s_ET_cw_i+s_ET_cw_o)*(1/24)*up_RadSpec!V20*up_RadSpec!Q20*1</f>
        <v>210.79036881266777</v>
      </c>
      <c r="U20" s="11"/>
      <c r="V20" s="11"/>
      <c r="W20" s="11"/>
      <c r="X20" s="11"/>
      <c r="Y20" s="48">
        <f>IFERROR((s_TR/(up_RadSpec!F20*s_EF_cw*(1/365)*s_ED_con*up_RadSpec!Q20*s_ET_cw_o*(1/24)*up_RadSpec!V20))*1,".")</f>
        <v>5.2711136958418115E-5</v>
      </c>
      <c r="Z20" s="48">
        <f>IFERROR((s_TR/(up_RadSpec!M20*s_EF_cw*(1/365)*s_ED_con*up_RadSpec!R20*s_ET_cw_o*(1/24)*up_RadSpec!W20))*1,".")</f>
        <v>1.0395135433941406E-4</v>
      </c>
      <c r="AA20" s="48">
        <f>IFERROR((s_TR/(up_RadSpec!N20*s_EF_cw*(1/365)*s_ED_con*up_RadSpec!S20*s_ET_cw_o*(1/24)*up_RadSpec!X20))*1,".")</f>
        <v>7.2732600732600743E-5</v>
      </c>
      <c r="AB20" s="48">
        <f>IFERROR((s_TR/(up_RadSpec!O20*s_EF_cw*(1/365)*s_ED_con*up_RadSpec!T20*s_ET_cw_o*(1/24)*up_RadSpec!Y20))*1,".")</f>
        <v>6.1071895424836625E-5</v>
      </c>
      <c r="AC20" s="48">
        <f>IFERROR((s_TR/(up_RadSpec!K20*s_EF_cw*(1/365)*s_ED_con*up_RadSpec!P20*s_ET_cw_o*(1/24)*up_RadSpec!U20))*1,".")</f>
        <v>1.7712912912912917E-4</v>
      </c>
      <c r="AD20" s="69">
        <f>s_C*s_EF_cw*(1/365)*s_ED_con*(s_ET_cw_i+s_ET_cw_o)*(1/24)*up_RadSpec!V20*up_RadSpec!Q20*1</f>
        <v>210.79036881266777</v>
      </c>
      <c r="AE20" s="69">
        <f>s_C*s_EF_cw*(1/365)*s_ED_con*(s_ET_cw_i+s_ET_cw_o)*(1/24)*up_RadSpec!W20*up_RadSpec!R20*1</f>
        <v>106.88653428911765</v>
      </c>
      <c r="AF20" s="69">
        <f>s_C*s_EF_cw*(1/365)*s_ED_con*(s_ET_cw_i+s_ET_cw_o)*(1/24)*up_RadSpec!X20*up_RadSpec!S20*1</f>
        <v>152.76505842062846</v>
      </c>
      <c r="AG20" s="69">
        <f>s_C*s_EF_cw*(1/365)*s_ED_con*(s_ET_cw_i+s_ET_cw_o)*(1/24)*up_RadSpec!Y20*up_RadSpec!T20*1</f>
        <v>181.93311215753411</v>
      </c>
      <c r="AH20" s="69">
        <f>s_C*s_EF_cw*(1/365)*s_ED_con*(s_ET_cw_i+s_ET_cw_o)*(1/24)*up_RadSpec!U20*up_RadSpec!P20*1</f>
        <v>62.72824833853246</v>
      </c>
      <c r="AI20" s="11"/>
      <c r="AJ20" s="11"/>
      <c r="AK20" s="11"/>
      <c r="AL20" s="11"/>
      <c r="AM20" s="11"/>
      <c r="AN20" s="48">
        <f>IFERROR(s_TR/(up_RadSpec!G20*s_EF_cw*s_ED_con*s_ET_cw_o*(1/24)*s_IRA_cw),".")</f>
        <v>4.2666666666666664E-10</v>
      </c>
      <c r="AO20" s="48">
        <f>IFERROR(s_TR/(up_RadSpec!J20*s_EF_cw*(1/365)*s_ED_con*s_ET_cw_o*(1/24)*s_GSF_a),".")</f>
        <v>2.3359999999999997E-6</v>
      </c>
      <c r="AP20" s="48">
        <f t="shared" si="10"/>
        <v>4.2658875091307519E-10</v>
      </c>
      <c r="AQ20" s="69">
        <f t="shared" si="7"/>
        <v>26041406.25</v>
      </c>
      <c r="AR20" s="69">
        <f t="shared" si="8"/>
        <v>4756.4212328767117</v>
      </c>
      <c r="AS20" s="10"/>
      <c r="AT20" s="10"/>
      <c r="AU20" s="10"/>
    </row>
    <row r="21" spans="1:47" x14ac:dyDescent="0.25">
      <c r="A21" s="49" t="s">
        <v>31</v>
      </c>
      <c r="B21" s="50" t="s">
        <v>289</v>
      </c>
      <c r="C21" s="48">
        <f>IFERROR((s_TR/(up_RadSpec!I21*s_EF_cw*s_ED_con*s_IRS_cw*(1/1000)))*1,".")</f>
        <v>4.848484848484848E-8</v>
      </c>
      <c r="D21" s="48">
        <f>IFERROR(IF(A21="H-3",(s_TR/(up_RadSpec!G21*s_EF_cw*s_ED_con*s_ET_cw_o*(1/24)*s_IRA_cw*(1/17)*1000))*1,(s_TR/(up_RadSpec!G21*s_EF_cw*s_ED_con*s_ET_cw_o*(1/24)*s_IRA_cw*(1/s_PEFsc)*1000))*1),".")</f>
        <v>2.1694802535592706E-7</v>
      </c>
      <c r="E21" s="48" t="str">
        <f>IFERROR((s_TR/(up_RadSpec!F21*s_EF_cw*(1/365)*s_ED_con*up_RadSpec!Q21*s_ET_cw_o*(1/24)*up_RadSpec!V21))*1,".")</f>
        <v>.</v>
      </c>
      <c r="F21" s="48">
        <f t="shared" si="0"/>
        <v>3.9628445362720997E-8</v>
      </c>
      <c r="G21" s="69">
        <f t="shared" si="1"/>
        <v>229164.375</v>
      </c>
      <c r="H21" s="69">
        <f t="shared" si="2"/>
        <v>51215.031719100385</v>
      </c>
      <c r="I21" s="69">
        <f>s_C*s_EF_cw*(1/365)*s_ED_con*(s_ET_cw_i+s_ET_cw_o)*(1/24)*up_RadSpec!V21*up_RadSpec!Q21*1</f>
        <v>0</v>
      </c>
      <c r="J21" s="4"/>
      <c r="K21" s="4"/>
      <c r="L21" s="4"/>
      <c r="M21" s="4"/>
      <c r="N21" s="48">
        <f>IFERROR((s_TR/(up_RadSpec!I21*s_EF_cw*s_ED_con*s_IRS_cw*(1/1000)))*1,".")</f>
        <v>4.848484848484848E-8</v>
      </c>
      <c r="O21" s="48">
        <f>IFERROR(IF(A21="H-3",(s_TR/(up_RadSpec!G21*s_EF_cw*s_ED_con*s_ET_cw_o*(1/24)*s_IRA_cw*(1/17)*1000))*1,(s_TR/(up_RadSpec!G21*s_EF_cw*s_ED_con*s_ET_cw_o*(1/24)*s_IRA_cw*(1/s_PEF__sc)*1000))*1),".")</f>
        <v>1.3644722035813288E-6</v>
      </c>
      <c r="P21" s="48" t="str">
        <f>IFERROR((s_TR/(up_RadSpec!F21*s_EF_cw*(1/365)*s_ED_con*up_RadSpec!Q21*s_ET_cw_o*(1/24)*up_RadSpec!V21))*1,".")</f>
        <v>.</v>
      </c>
      <c r="Q21" s="48">
        <f t="shared" si="9"/>
        <v>4.6821117425817949E-8</v>
      </c>
      <c r="R21" s="69">
        <f t="shared" si="4"/>
        <v>229164.375</v>
      </c>
      <c r="S21" s="69">
        <f t="shared" si="5"/>
        <v>8143.0753743733067</v>
      </c>
      <c r="T21" s="69">
        <f>s_C*s_EF_cw*(1/365)*s_ED_con*(s_ET_cw_i+s_ET_cw_o)*(1/24)*up_RadSpec!V21*up_RadSpec!Q21*1</f>
        <v>0</v>
      </c>
      <c r="U21" s="11"/>
      <c r="V21" s="11"/>
      <c r="W21" s="11"/>
      <c r="X21" s="11"/>
      <c r="Y21" s="48" t="str">
        <f>IFERROR((s_TR/(up_RadSpec!F21*s_EF_cw*(1/365)*s_ED_con*up_RadSpec!Q21*s_ET_cw_o*(1/24)*up_RadSpec!V21))*1,".")</f>
        <v>.</v>
      </c>
      <c r="Z21" s="48" t="str">
        <f>IFERROR((s_TR/(up_RadSpec!M21*s_EF_cw*(1/365)*s_ED_con*up_RadSpec!R21*s_ET_cw_o*(1/24)*up_RadSpec!W21))*1,".")</f>
        <v>.</v>
      </c>
      <c r="AA21" s="48" t="str">
        <f>IFERROR((s_TR/(up_RadSpec!N21*s_EF_cw*(1/365)*s_ED_con*up_RadSpec!S21*s_ET_cw_o*(1/24)*up_RadSpec!X21))*1,".")</f>
        <v>.</v>
      </c>
      <c r="AB21" s="48" t="str">
        <f>IFERROR((s_TR/(up_RadSpec!O21*s_EF_cw*(1/365)*s_ED_con*up_RadSpec!T21*s_ET_cw_o*(1/24)*up_RadSpec!Y21))*1,".")</f>
        <v>.</v>
      </c>
      <c r="AC21" s="48" t="str">
        <f>IFERROR((s_TR/(up_RadSpec!K21*s_EF_cw*(1/365)*s_ED_con*up_RadSpec!P21*s_ET_cw_o*(1/24)*up_RadSpec!U21))*1,".")</f>
        <v>.</v>
      </c>
      <c r="AD21" s="69">
        <f>s_C*s_EF_cw*(1/365)*s_ED_con*(s_ET_cw_i+s_ET_cw_o)*(1/24)*up_RadSpec!V21*up_RadSpec!Q21*1</f>
        <v>0</v>
      </c>
      <c r="AE21" s="69">
        <f>s_C*s_EF_cw*(1/365)*s_ED_con*(s_ET_cw_i+s_ET_cw_o)*(1/24)*up_RadSpec!W21*up_RadSpec!R21*1</f>
        <v>0</v>
      </c>
      <c r="AF21" s="69">
        <f>s_C*s_EF_cw*(1/365)*s_ED_con*(s_ET_cw_i+s_ET_cw_o)*(1/24)*up_RadSpec!X21*up_RadSpec!S21*1</f>
        <v>0</v>
      </c>
      <c r="AG21" s="69">
        <f>s_C*s_EF_cw*(1/365)*s_ED_con*(s_ET_cw_i+s_ET_cw_o)*(1/24)*up_RadSpec!Y21*up_RadSpec!T21*1</f>
        <v>0</v>
      </c>
      <c r="AH21" s="69">
        <f>s_C*s_EF_cw*(1/365)*s_ED_con*(s_ET_cw_i+s_ET_cw_o)*(1/24)*up_RadSpec!U21*up_RadSpec!P21*1</f>
        <v>0</v>
      </c>
      <c r="AI21" s="11"/>
      <c r="AJ21" s="11"/>
      <c r="AK21" s="11"/>
      <c r="AL21" s="11"/>
      <c r="AM21" s="11"/>
      <c r="AN21" s="48">
        <f>IFERROR(s_TR/(up_RadSpec!G21*s_EF_cw*s_ED_con*s_ET_cw_o*(1/24)*s_IRA_cw),".")</f>
        <v>4.2666666666666664E-10</v>
      </c>
      <c r="AO21" s="48">
        <f>IFERROR(s_TR/(up_RadSpec!J21*s_EF_cw*(1/365)*s_ED_con*s_ET_cw_o*(1/24)*s_GSF_a),".")</f>
        <v>2.3359999999999997E-6</v>
      </c>
      <c r="AP21" s="48">
        <f t="shared" si="10"/>
        <v>4.2658875091307519E-10</v>
      </c>
      <c r="AQ21" s="69">
        <f t="shared" si="7"/>
        <v>26041406.25</v>
      </c>
      <c r="AR21" s="69">
        <f t="shared" si="8"/>
        <v>4756.4212328767117</v>
      </c>
      <c r="AS21" s="10"/>
      <c r="AT21" s="10"/>
      <c r="AU21" s="10"/>
    </row>
    <row r="22" spans="1:47" x14ac:dyDescent="0.25">
      <c r="A22" s="49" t="s">
        <v>32</v>
      </c>
      <c r="B22" s="50" t="s">
        <v>289</v>
      </c>
      <c r="C22" s="48">
        <f>IFERROR((s_TR/(up_RadSpec!I22*s_EF_cw*s_ED_con*s_IRS_cw*(1/1000)))*1,".")</f>
        <v>4.848484848484848E-8</v>
      </c>
      <c r="D22" s="48">
        <f>IFERROR(IF(A22="H-3",(s_TR/(up_RadSpec!G22*s_EF_cw*s_ED_con*s_ET_cw_o*(1/24)*s_IRA_cw*(1/17)*1000))*1,(s_TR/(up_RadSpec!G22*s_EF_cw*s_ED_con*s_ET_cw_o*(1/24)*s_IRA_cw*(1/s_PEFsc)*1000))*1),".")</f>
        <v>2.1694802535592706E-7</v>
      </c>
      <c r="E22" s="48">
        <f>IFERROR((s_TR/(up_RadSpec!F22*s_EF_cw*(1/365)*s_ED_con*up_RadSpec!Q22*s_ET_cw_o*(1/24)*up_RadSpec!V22))*1,".")</f>
        <v>224.1806451612903</v>
      </c>
      <c r="F22" s="48">
        <f t="shared" si="0"/>
        <v>3.9628445355715869E-8</v>
      </c>
      <c r="G22" s="69">
        <f t="shared" si="1"/>
        <v>229164.375</v>
      </c>
      <c r="H22" s="69">
        <f t="shared" si="2"/>
        <v>51215.031719100385</v>
      </c>
      <c r="I22" s="69">
        <f>s_C*s_EF_cw*(1/365)*s_ED_con*(s_ET_cw_i+s_ET_cw_o)*(1/24)*up_RadSpec!V22*up_RadSpec!Q22*1</f>
        <v>4.9562708645101859E-5</v>
      </c>
      <c r="J22" s="4"/>
      <c r="K22" s="4"/>
      <c r="L22" s="4"/>
      <c r="M22" s="4"/>
      <c r="N22" s="48">
        <f>IFERROR((s_TR/(up_RadSpec!I22*s_EF_cw*s_ED_con*s_IRS_cw*(1/1000)))*1,".")</f>
        <v>4.848484848484848E-8</v>
      </c>
      <c r="O22" s="48">
        <f>IFERROR(IF(A22="H-3",(s_TR/(up_RadSpec!G22*s_EF_cw*s_ED_con*s_ET_cw_o*(1/24)*s_IRA_cw*(1/17)*1000))*1,(s_TR/(up_RadSpec!G22*s_EF_cw*s_ED_con*s_ET_cw_o*(1/24)*s_IRA_cw*(1/s_PEF__sc)*1000))*1),".")</f>
        <v>1.3644722035813288E-6</v>
      </c>
      <c r="P22" s="48">
        <f>IFERROR((s_TR/(up_RadSpec!F22*s_EF_cw*(1/365)*s_ED_con*up_RadSpec!Q22*s_ET_cw_o*(1/24)*up_RadSpec!V22))*1,".")</f>
        <v>224.1806451612903</v>
      </c>
      <c r="Q22" s="48">
        <f t="shared" si="9"/>
        <v>4.6821117416039145E-8</v>
      </c>
      <c r="R22" s="69">
        <f t="shared" si="4"/>
        <v>229164.375</v>
      </c>
      <c r="S22" s="69">
        <f t="shared" si="5"/>
        <v>8143.0753743733067</v>
      </c>
      <c r="T22" s="69">
        <f>s_C*s_EF_cw*(1/365)*s_ED_con*(s_ET_cw_i+s_ET_cw_o)*(1/24)*up_RadSpec!V22*up_RadSpec!Q22*1</f>
        <v>4.9562708645101859E-5</v>
      </c>
      <c r="U22" s="11"/>
      <c r="V22" s="11"/>
      <c r="W22" s="11"/>
      <c r="X22" s="11"/>
      <c r="Y22" s="48">
        <f>IFERROR((s_TR/(up_RadSpec!F22*s_EF_cw*(1/365)*s_ED_con*up_RadSpec!Q22*s_ET_cw_o*(1/24)*up_RadSpec!V22))*1,".")</f>
        <v>224.1806451612903</v>
      </c>
      <c r="Z22" s="48">
        <f>IFERROR((s_TR/(up_RadSpec!M22*s_EF_cw*(1/365)*s_ED_con*up_RadSpec!R22*s_ET_cw_o*(1/24)*up_RadSpec!W22))*1,".")</f>
        <v>205.42137953579609</v>
      </c>
      <c r="AA22" s="48">
        <f>IFERROR((s_TR/(up_RadSpec!N22*s_EF_cw*(1/365)*s_ED_con*up_RadSpec!S22*s_ET_cw_o*(1/24)*up_RadSpec!X22))*1,".")</f>
        <v>157.81862446743759</v>
      </c>
      <c r="AB22" s="48">
        <f>IFERROR((s_TR/(up_RadSpec!O22*s_EF_cw*(1/365)*s_ED_con*up_RadSpec!T22*s_ET_cw_o*(1/24)*up_RadSpec!Y22))*1,".")</f>
        <v>162.62777777777771</v>
      </c>
      <c r="AC22" s="48">
        <f>IFERROR((s_TR/(up_RadSpec!K22*s_EF_cw*(1/365)*s_ED_con*up_RadSpec!P22*s_ET_cw_o*(1/24)*up_RadSpec!U22))*1,".")</f>
        <v>1153.9567159051874</v>
      </c>
      <c r="AD22" s="69">
        <f>s_C*s_EF_cw*(1/365)*s_ED_con*(s_ET_cw_i+s_ET_cw_o)*(1/24)*up_RadSpec!V22*up_RadSpec!Q22*1</f>
        <v>4.9562708645101859E-5</v>
      </c>
      <c r="AE22" s="69">
        <f>s_C*s_EF_cw*(1/365)*s_ED_con*(s_ET_cw_i+s_ET_cw_o)*(1/24)*up_RadSpec!W22*up_RadSpec!R22*1</f>
        <v>5.4088819893568221E-5</v>
      </c>
      <c r="AF22" s="69">
        <f>s_C*s_EF_cw*(1/365)*s_ED_con*(s_ET_cw_i+s_ET_cw_o)*(1/24)*up_RadSpec!X22*up_RadSpec!S22*1</f>
        <v>7.0403604374922853E-5</v>
      </c>
      <c r="AG22" s="69">
        <f>s_C*s_EF_cw*(1/365)*s_ED_con*(s_ET_cw_i+s_ET_cw_o)*(1/24)*up_RadSpec!Y22*up_RadSpec!T22*1</f>
        <v>6.8321661599426108E-5</v>
      </c>
      <c r="AH22" s="69">
        <f>s_C*s_EF_cw*(1/365)*s_ED_con*(s_ET_cw_i+s_ET_cw_o)*(1/24)*up_RadSpec!U22*up_RadSpec!P22*1</f>
        <v>9.6286107155105064E-6</v>
      </c>
      <c r="AI22" s="11"/>
      <c r="AJ22" s="11"/>
      <c r="AK22" s="11"/>
      <c r="AL22" s="11"/>
      <c r="AM22" s="11"/>
      <c r="AN22" s="48">
        <f>IFERROR(s_TR/(up_RadSpec!G22*s_EF_cw*s_ED_con*s_ET_cw_o*(1/24)*s_IRA_cw),".")</f>
        <v>4.2666666666666664E-10</v>
      </c>
      <c r="AO22" s="48">
        <f>IFERROR(s_TR/(up_RadSpec!J22*s_EF_cw*(1/365)*s_ED_con*s_ET_cw_o*(1/24)*s_GSF_a),".")</f>
        <v>2.3359999999999997E-6</v>
      </c>
      <c r="AP22" s="48">
        <f t="shared" si="10"/>
        <v>4.2658875091307519E-10</v>
      </c>
      <c r="AQ22" s="69">
        <f t="shared" si="7"/>
        <v>26041406.25</v>
      </c>
      <c r="AR22" s="69">
        <f t="shared" si="8"/>
        <v>4756.4212328767117</v>
      </c>
      <c r="AS22" s="10"/>
      <c r="AT22" s="10"/>
      <c r="AU22" s="10"/>
    </row>
    <row r="23" spans="1:47" x14ac:dyDescent="0.25">
      <c r="A23" s="51" t="s">
        <v>33</v>
      </c>
      <c r="B23" s="50" t="s">
        <v>275</v>
      </c>
      <c r="C23" s="48">
        <f>IFERROR((s_TR/(up_RadSpec!I23*s_EF_cw*s_ED_con*s_IRS_cw*(1/1000)))*1,".")</f>
        <v>4.848484848484848E-8</v>
      </c>
      <c r="D23" s="48">
        <f>IFERROR(IF(A23="H-3",(s_TR/(up_RadSpec!G23*s_EF_cw*s_ED_con*s_ET_cw_o*(1/24)*s_IRA_cw*(1/17)*1000))*1,(s_TR/(up_RadSpec!G23*s_EF_cw*s_ED_con*s_ET_cw_o*(1/24)*s_IRA_cw*(1/s_PEFsc)*1000))*1),".")</f>
        <v>2.1694802535592706E-7</v>
      </c>
      <c r="E23" s="48">
        <f>IFERROR((s_TR/(up_RadSpec!F23*s_EF_cw*(1/365)*s_ED_con*up_RadSpec!Q23*s_ET_cw_o*(1/24)*up_RadSpec!V23))*1,".")</f>
        <v>5.1339087848178741E-5</v>
      </c>
      <c r="F23" s="48">
        <f t="shared" si="0"/>
        <v>3.9597879910814925E-8</v>
      </c>
      <c r="G23" s="69">
        <f t="shared" si="1"/>
        <v>229164.375</v>
      </c>
      <c r="H23" s="69">
        <f t="shared" si="2"/>
        <v>51215.031719100385</v>
      </c>
      <c r="I23" s="69">
        <f>s_C*s_EF_cw*(1/365)*s_ED_con*(s_ET_cw_i+s_ET_cw_o)*(1/24)*up_RadSpec!V23*up_RadSpec!Q23*1</f>
        <v>216.42379063799754</v>
      </c>
      <c r="J23" s="4"/>
      <c r="K23" s="4"/>
      <c r="L23" s="4"/>
      <c r="M23" s="4"/>
      <c r="N23" s="48">
        <f>IFERROR((s_TR/(up_RadSpec!I23*s_EF_cw*s_ED_con*s_IRS_cw*(1/1000)))*1,".")</f>
        <v>4.848484848484848E-8</v>
      </c>
      <c r="O23" s="48">
        <f>IFERROR(IF(A23="H-3",(s_TR/(up_RadSpec!G23*s_EF_cw*s_ED_con*s_ET_cw_o*(1/24)*s_IRA_cw*(1/17)*1000))*1,(s_TR/(up_RadSpec!G23*s_EF_cw*s_ED_con*s_ET_cw_o*(1/24)*s_IRA_cw*(1/s_PEF__sc)*1000))*1),".")</f>
        <v>1.3644722035813288E-6</v>
      </c>
      <c r="P23" s="48">
        <f>IFERROR((s_TR/(up_RadSpec!F23*s_EF_cw*(1/365)*s_ED_con*up_RadSpec!Q23*s_ET_cw_o*(1/24)*up_RadSpec!V23))*1,".")</f>
        <v>5.1339087848178741E-5</v>
      </c>
      <c r="Q23" s="48">
        <f t="shared" si="9"/>
        <v>4.6778455593398685E-8</v>
      </c>
      <c r="R23" s="69">
        <f t="shared" si="4"/>
        <v>229164.375</v>
      </c>
      <c r="S23" s="69">
        <f t="shared" si="5"/>
        <v>8143.0753743733067</v>
      </c>
      <c r="T23" s="69">
        <f>s_C*s_EF_cw*(1/365)*s_ED_con*(s_ET_cw_i+s_ET_cw_o)*(1/24)*up_RadSpec!V23*up_RadSpec!Q23*1</f>
        <v>216.42379063799754</v>
      </c>
      <c r="U23" s="11"/>
      <c r="V23" s="11"/>
      <c r="W23" s="11"/>
      <c r="X23" s="11"/>
      <c r="Y23" s="48">
        <f>IFERROR((s_TR/(up_RadSpec!F23*s_EF_cw*(1/365)*s_ED_con*up_RadSpec!Q23*s_ET_cw_o*(1/24)*up_RadSpec!V23))*1,".")</f>
        <v>5.1339087848178741E-5</v>
      </c>
      <c r="Z23" s="48">
        <f>IFERROR((s_TR/(up_RadSpec!M23*s_EF_cw*(1/365)*s_ED_con*up_RadSpec!R23*s_ET_cw_o*(1/24)*up_RadSpec!W23))*1,".")</f>
        <v>9.138454221165286E-5</v>
      </c>
      <c r="AA23" s="48">
        <f>IFERROR((s_TR/(up_RadSpec!N23*s_EF_cw*(1/365)*s_ED_con*up_RadSpec!S23*s_ET_cw_o*(1/24)*up_RadSpec!X23))*1,".")</f>
        <v>6.4620326152322301E-5</v>
      </c>
      <c r="AB23" s="48">
        <f>IFERROR((s_TR/(up_RadSpec!O23*s_EF_cw*(1/365)*s_ED_con*up_RadSpec!T23*s_ET_cw_o*(1/24)*up_RadSpec!Y23))*1,".")</f>
        <v>5.2880879120879109E-5</v>
      </c>
      <c r="AC23" s="48">
        <f>IFERROR((s_TR/(up_RadSpec!K23*s_EF_cw*(1/365)*s_ED_con*up_RadSpec!P23*s_ET_cw_o*(1/24)*up_RadSpec!U23))*1,".")</f>
        <v>1.4385353675450759E-4</v>
      </c>
      <c r="AD23" s="69">
        <f>s_C*s_EF_cw*(1/365)*s_ED_con*(s_ET_cw_i+s_ET_cw_o)*(1/24)*up_RadSpec!V23*up_RadSpec!Q23*1</f>
        <v>216.42379063799754</v>
      </c>
      <c r="AE23" s="69">
        <f>s_C*s_EF_cw*(1/365)*s_ED_con*(s_ET_cw_i+s_ET_cw_o)*(1/24)*up_RadSpec!W23*up_RadSpec!R23*1</f>
        <v>121.5851141899487</v>
      </c>
      <c r="AF23" s="69">
        <f>s_C*s_EF_cw*(1/365)*s_ED_con*(s_ET_cw_i+s_ET_cw_o)*(1/24)*up_RadSpec!X23*up_RadSpec!S23*1</f>
        <v>171.94280285446524</v>
      </c>
      <c r="AG23" s="69">
        <f>s_C*s_EF_cw*(1/365)*s_ED_con*(s_ET_cw_i+s_ET_cw_o)*(1/24)*up_RadSpec!Y23*up_RadSpec!T23*1</f>
        <v>210.11375349115573</v>
      </c>
      <c r="AH23" s="69">
        <f>s_C*s_EF_cw*(1/365)*s_ED_con*(s_ET_cw_i+s_ET_cw_o)*(1/24)*up_RadSpec!U23*up_RadSpec!P23*1</f>
        <v>77.23828173207454</v>
      </c>
      <c r="AI23" s="11"/>
      <c r="AJ23" s="11"/>
      <c r="AK23" s="11"/>
      <c r="AL23" s="11"/>
      <c r="AM23" s="11"/>
      <c r="AN23" s="48">
        <f>IFERROR(s_TR/(up_RadSpec!G23*s_EF_cw*s_ED_con*s_ET_cw_o*(1/24)*s_IRA_cw),".")</f>
        <v>4.2666666666666664E-10</v>
      </c>
      <c r="AO23" s="48">
        <f>IFERROR(s_TR/(up_RadSpec!J23*s_EF_cw*(1/365)*s_ED_con*s_ET_cw_o*(1/24)*s_GSF_a),".")</f>
        <v>2.3359999999999997E-6</v>
      </c>
      <c r="AP23" s="48">
        <f t="shared" si="10"/>
        <v>4.2658875091307519E-10</v>
      </c>
      <c r="AQ23" s="69">
        <f t="shared" si="7"/>
        <v>26041406.25</v>
      </c>
      <c r="AR23" s="69">
        <f t="shared" si="8"/>
        <v>4756.4212328767117</v>
      </c>
      <c r="AS23" s="10"/>
      <c r="AT23" s="10"/>
      <c r="AU23" s="10"/>
    </row>
    <row r="24" spans="1:47" x14ac:dyDescent="0.25">
      <c r="A24" s="49" t="s">
        <v>34</v>
      </c>
      <c r="B24" s="50" t="s">
        <v>289</v>
      </c>
      <c r="C24" s="48">
        <f>IFERROR((s_TR/(up_RadSpec!I24*s_EF_cw*s_ED_con*s_IRS_cw*(1/1000)))*1,".")</f>
        <v>4.848484848484848E-8</v>
      </c>
      <c r="D24" s="48">
        <f>IFERROR(IF(A24="H-3",(s_TR/(up_RadSpec!G24*s_EF_cw*s_ED_con*s_ET_cw_o*(1/24)*s_IRA_cw*(1/17)*1000))*1,(s_TR/(up_RadSpec!G24*s_EF_cw*s_ED_con*s_ET_cw_o*(1/24)*s_IRA_cw*(1/s_PEFsc)*1000))*1),".")</f>
        <v>2.1694802535592706E-7</v>
      </c>
      <c r="E24" s="48">
        <f>IFERROR((s_TR/(up_RadSpec!F24*s_EF_cw*(1/365)*s_ED_con*up_RadSpec!Q24*s_ET_cw_o*(1/24)*up_RadSpec!V24))*1,".")</f>
        <v>6.7301464670851464E-5</v>
      </c>
      <c r="F24" s="48">
        <f t="shared" si="0"/>
        <v>3.9605125074778001E-8</v>
      </c>
      <c r="G24" s="69">
        <f t="shared" si="1"/>
        <v>229164.375</v>
      </c>
      <c r="H24" s="69">
        <f t="shared" si="2"/>
        <v>51215.031719100385</v>
      </c>
      <c r="I24" s="69">
        <f>s_C*s_EF_cw*(1/365)*s_ED_con*(s_ET_cw_i+s_ET_cw_o)*(1/24)*up_RadSpec!V24*up_RadSpec!Q24*1</f>
        <v>165.09298949644133</v>
      </c>
      <c r="J24" s="4"/>
      <c r="K24" s="4"/>
      <c r="L24" s="4"/>
      <c r="M24" s="4"/>
      <c r="N24" s="48">
        <f>IFERROR((s_TR/(up_RadSpec!I24*s_EF_cw*s_ED_con*s_IRS_cw*(1/1000)))*1,".")</f>
        <v>4.848484848484848E-8</v>
      </c>
      <c r="O24" s="48">
        <f>IFERROR(IF(A24="H-3",(s_TR/(up_RadSpec!G24*s_EF_cw*s_ED_con*s_ET_cw_o*(1/24)*s_IRA_cw*(1/17)*1000))*1,(s_TR/(up_RadSpec!G24*s_EF_cw*s_ED_con*s_ET_cw_o*(1/24)*s_IRA_cw*(1/s_PEF__sc)*1000))*1),".")</f>
        <v>1.3644722035813288E-6</v>
      </c>
      <c r="P24" s="48">
        <f>IFERROR((s_TR/(up_RadSpec!F24*s_EF_cw*(1/365)*s_ED_con*up_RadSpec!Q24*s_ET_cw_o*(1/24)*up_RadSpec!V24))*1,".")</f>
        <v>6.7301464670851464E-5</v>
      </c>
      <c r="Q24" s="48">
        <f t="shared" si="9"/>
        <v>4.6788566975404195E-8</v>
      </c>
      <c r="R24" s="69">
        <f t="shared" si="4"/>
        <v>229164.375</v>
      </c>
      <c r="S24" s="69">
        <f t="shared" si="5"/>
        <v>8143.0753743733067</v>
      </c>
      <c r="T24" s="69">
        <f>s_C*s_EF_cw*(1/365)*s_ED_con*(s_ET_cw_i+s_ET_cw_o)*(1/24)*up_RadSpec!V24*up_RadSpec!Q24*1</f>
        <v>165.09298949644133</v>
      </c>
      <c r="U24" s="11"/>
      <c r="V24" s="11"/>
      <c r="W24" s="11"/>
      <c r="X24" s="11"/>
      <c r="Y24" s="48">
        <f>IFERROR((s_TR/(up_RadSpec!F24*s_EF_cw*(1/365)*s_ED_con*up_RadSpec!Q24*s_ET_cw_o*(1/24)*up_RadSpec!V24))*1,".")</f>
        <v>6.7301464670851464E-5</v>
      </c>
      <c r="Z24" s="48">
        <f>IFERROR((s_TR/(up_RadSpec!M24*s_EF_cw*(1/365)*s_ED_con*up_RadSpec!R24*s_ET_cw_o*(1/24)*up_RadSpec!W24))*1,".")</f>
        <v>1.2201856248650984E-4</v>
      </c>
      <c r="AA24" s="48">
        <f>IFERROR((s_TR/(up_RadSpec!N24*s_EF_cw*(1/365)*s_ED_con*up_RadSpec!S24*s_ET_cw_o*(1/24)*up_RadSpec!X24))*1,".")</f>
        <v>8.6152989711218197E-5</v>
      </c>
      <c r="AB24" s="48">
        <f>IFERROR((s_TR/(up_RadSpec!O24*s_EF_cw*(1/365)*s_ED_con*up_RadSpec!T24*s_ET_cw_o*(1/24)*up_RadSpec!Y24))*1,".")</f>
        <v>7.1943332306744675E-5</v>
      </c>
      <c r="AC24" s="48">
        <f>IFERROR((s_TR/(up_RadSpec!K24*s_EF_cw*(1/365)*s_ED_con*up_RadSpec!P24*s_ET_cw_o*(1/24)*up_RadSpec!U24))*1,".")</f>
        <v>2.0279560439560428E-4</v>
      </c>
      <c r="AD24" s="69">
        <f>s_C*s_EF_cw*(1/365)*s_ED_con*(s_ET_cw_i+s_ET_cw_o)*(1/24)*up_RadSpec!V24*up_RadSpec!Q24*1</f>
        <v>165.09298949644133</v>
      </c>
      <c r="AE24" s="69">
        <f>s_C*s_EF_cw*(1/365)*s_ED_con*(s_ET_cw_i+s_ET_cw_o)*(1/24)*up_RadSpec!W24*up_RadSpec!R24*1</f>
        <v>91.059915586437199</v>
      </c>
      <c r="AF24" s="69">
        <f>s_C*s_EF_cw*(1/365)*s_ED_con*(s_ET_cw_i+s_ET_cw_o)*(1/24)*up_RadSpec!X24*up_RadSpec!S24*1</f>
        <v>128.96824633995499</v>
      </c>
      <c r="AG24" s="69">
        <f>s_C*s_EF_cw*(1/365)*s_ED_con*(s_ET_cw_i+s_ET_cw_o)*(1/24)*up_RadSpec!Y24*up_RadSpec!T24*1</f>
        <v>154.44099743150682</v>
      </c>
      <c r="AH24" s="69">
        <f>s_C*s_EF_cw*(1/365)*s_ED_con*(s_ET_cw_i+s_ET_cw_o)*(1/24)*up_RadSpec!U24*up_RadSpec!P24*1</f>
        <v>54.789155973643155</v>
      </c>
      <c r="AI24" s="11"/>
      <c r="AJ24" s="11"/>
      <c r="AK24" s="11"/>
      <c r="AL24" s="11"/>
      <c r="AM24" s="11"/>
      <c r="AN24" s="48">
        <f>IFERROR(s_TR/(up_RadSpec!G24*s_EF_cw*s_ED_con*s_ET_cw_o*(1/24)*s_IRA_cw),".")</f>
        <v>4.2666666666666664E-10</v>
      </c>
      <c r="AO24" s="48">
        <f>IFERROR(s_TR/(up_RadSpec!J24*s_EF_cw*(1/365)*s_ED_con*s_ET_cw_o*(1/24)*s_GSF_a),".")</f>
        <v>2.3359999999999997E-6</v>
      </c>
      <c r="AP24" s="48">
        <f t="shared" si="10"/>
        <v>4.2658875091307519E-10</v>
      </c>
      <c r="AQ24" s="69">
        <f t="shared" si="7"/>
        <v>26041406.25</v>
      </c>
      <c r="AR24" s="69">
        <f t="shared" si="8"/>
        <v>4756.4212328767117</v>
      </c>
      <c r="AS24" s="10"/>
      <c r="AT24" s="10"/>
      <c r="AU24" s="10"/>
    </row>
    <row r="25" spans="1:47" x14ac:dyDescent="0.25">
      <c r="A25" s="51" t="s">
        <v>35</v>
      </c>
      <c r="B25" s="50" t="s">
        <v>275</v>
      </c>
      <c r="C25" s="48">
        <f>IFERROR((s_TR/(up_RadSpec!I25*s_EF_cw*s_ED_con*s_IRS_cw*(1/1000)))*1,".")</f>
        <v>4.848484848484848E-8</v>
      </c>
      <c r="D25" s="48">
        <f>IFERROR(IF(A25="H-3",(s_TR/(up_RadSpec!G25*s_EF_cw*s_ED_con*s_ET_cw_o*(1/24)*s_IRA_cw*(1/17)*1000))*1,(s_TR/(up_RadSpec!G25*s_EF_cw*s_ED_con*s_ET_cw_o*(1/24)*s_IRA_cw*(1/s_PEFsc)*1000))*1),".")</f>
        <v>2.1694802535592706E-7</v>
      </c>
      <c r="E25" s="48">
        <f>IFERROR((s_TR/(up_RadSpec!F25*s_EF_cw*(1/365)*s_ED_con*up_RadSpec!Q25*s_ET_cw_o*(1/24)*up_RadSpec!V25))*1,".")</f>
        <v>7.5052208835341366E-5</v>
      </c>
      <c r="F25" s="48">
        <f t="shared" si="0"/>
        <v>3.9607532121831762E-8</v>
      </c>
      <c r="G25" s="69">
        <f t="shared" si="1"/>
        <v>229164.375</v>
      </c>
      <c r="H25" s="69">
        <f t="shared" si="2"/>
        <v>51215.031719100385</v>
      </c>
      <c r="I25" s="69">
        <f>s_C*s_EF_cw*(1/365)*s_ED_con*(s_ET_cw_i+s_ET_cw_o)*(1/24)*up_RadSpec!V25*up_RadSpec!Q25*1</f>
        <v>148.04361087328763</v>
      </c>
      <c r="J25" s="4"/>
      <c r="K25" s="4"/>
      <c r="L25" s="4"/>
      <c r="M25" s="4"/>
      <c r="N25" s="48">
        <f>IFERROR((s_TR/(up_RadSpec!I25*s_EF_cw*s_ED_con*s_IRS_cw*(1/1000)))*1,".")</f>
        <v>4.848484848484848E-8</v>
      </c>
      <c r="O25" s="48">
        <f>IFERROR(IF(A25="H-3",(s_TR/(up_RadSpec!G25*s_EF_cw*s_ED_con*s_ET_cw_o*(1/24)*s_IRA_cw*(1/17)*1000))*1,(s_TR/(up_RadSpec!G25*s_EF_cw*s_ED_con*s_ET_cw_o*(1/24)*s_IRA_cw*(1/s_PEF__sc)*1000))*1),".")</f>
        <v>1.3644722035813288E-6</v>
      </c>
      <c r="P25" s="48">
        <f>IFERROR((s_TR/(up_RadSpec!F25*s_EF_cw*(1/365)*s_ED_con*up_RadSpec!Q25*s_ET_cw_o*(1/24)*up_RadSpec!V25))*1,".")</f>
        <v>7.5052208835341366E-5</v>
      </c>
      <c r="Q25" s="48">
        <f t="shared" si="9"/>
        <v>4.6791926409124639E-8</v>
      </c>
      <c r="R25" s="69">
        <f t="shared" si="4"/>
        <v>229164.375</v>
      </c>
      <c r="S25" s="69">
        <f t="shared" si="5"/>
        <v>8143.0753743733067</v>
      </c>
      <c r="T25" s="69">
        <f>s_C*s_EF_cw*(1/365)*s_ED_con*(s_ET_cw_i+s_ET_cw_o)*(1/24)*up_RadSpec!V25*up_RadSpec!Q25*1</f>
        <v>148.04361087328763</v>
      </c>
      <c r="U25" s="11"/>
      <c r="V25" s="11"/>
      <c r="W25" s="11"/>
      <c r="X25" s="11"/>
      <c r="Y25" s="48">
        <f>IFERROR((s_TR/(up_RadSpec!F25*s_EF_cw*(1/365)*s_ED_con*up_RadSpec!Q25*s_ET_cw_o*(1/24)*up_RadSpec!V25))*1,".")</f>
        <v>7.5052208835341366E-5</v>
      </c>
      <c r="Z25" s="48">
        <f>IFERROR((s_TR/(up_RadSpec!M25*s_EF_cw*(1/365)*s_ED_con*up_RadSpec!R25*s_ET_cw_o*(1/24)*up_RadSpec!W25))*1,".")</f>
        <v>1.3440293174530455E-4</v>
      </c>
      <c r="AA25" s="48">
        <f>IFERROR((s_TR/(up_RadSpec!N25*s_EF_cw*(1/365)*s_ED_con*up_RadSpec!S25*s_ET_cw_o*(1/24)*up_RadSpec!X25))*1,".")</f>
        <v>9.640795159896285E-5</v>
      </c>
      <c r="AB25" s="48">
        <f>IFERROR((s_TR/(up_RadSpec!O25*s_EF_cw*(1/365)*s_ED_con*up_RadSpec!T25*s_ET_cw_o*(1/24)*up_RadSpec!Y25))*1,".")</f>
        <v>8.6089873967840056E-5</v>
      </c>
      <c r="AC25" s="48">
        <f>IFERROR((s_TR/(up_RadSpec!K25*s_EF_cw*(1/365)*s_ED_con*up_RadSpec!P25*s_ET_cw_o*(1/24)*up_RadSpec!U25))*1,".")</f>
        <v>2.4096969696969694E-4</v>
      </c>
      <c r="AD25" s="69">
        <f>s_C*s_EF_cw*(1/365)*s_ED_con*(s_ET_cw_i+s_ET_cw_o)*(1/24)*up_RadSpec!V25*up_RadSpec!Q25*1</f>
        <v>148.04361087328763</v>
      </c>
      <c r="AE25" s="69">
        <f>s_C*s_EF_cw*(1/365)*s_ED_con*(s_ET_cw_i+s_ET_cw_o)*(1/24)*up_RadSpec!W25*up_RadSpec!R25*1</f>
        <v>82.669327638295101</v>
      </c>
      <c r="AF25" s="69">
        <f>s_C*s_EF_cw*(1/365)*s_ED_con*(s_ET_cw_i+s_ET_cw_o)*(1/24)*up_RadSpec!X25*up_RadSpec!S25*1</f>
        <v>115.24982966363045</v>
      </c>
      <c r="AG25" s="69">
        <f>s_C*s_EF_cw*(1/365)*s_ED_con*(s_ET_cw_i+s_ET_cw_o)*(1/24)*up_RadSpec!Y25*up_RadSpec!T25*1</f>
        <v>129.06279784020418</v>
      </c>
      <c r="AH25" s="69">
        <f>s_C*s_EF_cw*(1/365)*s_ED_con*(s_ET_cw_i+s_ET_cw_o)*(1/24)*up_RadSpec!U25*up_RadSpec!P25*1</f>
        <v>46.109532193158948</v>
      </c>
      <c r="AI25" s="11"/>
      <c r="AJ25" s="11"/>
      <c r="AK25" s="11"/>
      <c r="AL25" s="11"/>
      <c r="AM25" s="11"/>
      <c r="AN25" s="48">
        <f>IFERROR(s_TR/(up_RadSpec!G25*s_EF_cw*s_ED_con*s_ET_cw_o*(1/24)*s_IRA_cw),".")</f>
        <v>4.2666666666666664E-10</v>
      </c>
      <c r="AO25" s="48">
        <f>IFERROR(s_TR/(up_RadSpec!J25*s_EF_cw*(1/365)*s_ED_con*s_ET_cw_o*(1/24)*s_GSF_a),".")</f>
        <v>2.3359999999999997E-6</v>
      </c>
      <c r="AP25" s="48">
        <f t="shared" si="10"/>
        <v>4.2658875091307519E-10</v>
      </c>
      <c r="AQ25" s="69">
        <f t="shared" si="7"/>
        <v>26041406.25</v>
      </c>
      <c r="AR25" s="69">
        <f t="shared" si="8"/>
        <v>4756.4212328767117</v>
      </c>
      <c r="AS25" s="10"/>
      <c r="AT25" s="10"/>
      <c r="AU25" s="10"/>
    </row>
    <row r="26" spans="1:47" x14ac:dyDescent="0.25">
      <c r="A26" s="49" t="s">
        <v>36</v>
      </c>
      <c r="B26" s="50" t="s">
        <v>289</v>
      </c>
      <c r="C26" s="48">
        <f>IFERROR((s_TR/(up_RadSpec!I26*s_EF_cw*s_ED_con*s_IRS_cw*(1/1000)))*1,".")</f>
        <v>4.848484848484848E-8</v>
      </c>
      <c r="D26" s="48">
        <f>IFERROR(IF(A26="H-3",(s_TR/(up_RadSpec!G26*s_EF_cw*s_ED_con*s_ET_cw_o*(1/24)*s_IRA_cw*(1/17)*1000))*1,(s_TR/(up_RadSpec!G26*s_EF_cw*s_ED_con*s_ET_cw_o*(1/24)*s_IRA_cw*(1/s_PEFsc)*1000))*1),".")</f>
        <v>2.1694802535592706E-7</v>
      </c>
      <c r="E26" s="48">
        <f>IFERROR((s_TR/(up_RadSpec!F26*s_EF_cw*(1/365)*s_ED_con*up_RadSpec!Q26*s_ET_cw_o*(1/24)*up_RadSpec!V26))*1,".")</f>
        <v>4.0919727891156445E-4</v>
      </c>
      <c r="F26" s="48">
        <f t="shared" si="0"/>
        <v>3.9624607943236994E-8</v>
      </c>
      <c r="G26" s="69">
        <f t="shared" si="1"/>
        <v>229164.375</v>
      </c>
      <c r="H26" s="69">
        <f t="shared" si="2"/>
        <v>51215.031719100385</v>
      </c>
      <c r="I26" s="69">
        <f>s_C*s_EF_cw*(1/365)*s_ED_con*(s_ET_cw_i+s_ET_cw_o)*(1/24)*up_RadSpec!V26*up_RadSpec!Q26*1</f>
        <v>27.153161989626287</v>
      </c>
      <c r="J26" s="4"/>
      <c r="K26" s="4"/>
      <c r="L26" s="4"/>
      <c r="M26" s="4"/>
      <c r="N26" s="48">
        <f>IFERROR((s_TR/(up_RadSpec!I26*s_EF_cw*s_ED_con*s_IRS_cw*(1/1000)))*1,".")</f>
        <v>4.848484848484848E-8</v>
      </c>
      <c r="O26" s="48">
        <f>IFERROR(IF(A26="H-3",(s_TR/(up_RadSpec!G26*s_EF_cw*s_ED_con*s_ET_cw_o*(1/24)*s_IRA_cw*(1/17)*1000))*1,(s_TR/(up_RadSpec!G26*s_EF_cw*s_ED_con*s_ET_cw_o*(1/24)*s_IRA_cw*(1/s_PEF__sc)*1000))*1),".")</f>
        <v>1.3644722035813288E-6</v>
      </c>
      <c r="P26" s="48">
        <f>IFERROR((s_TR/(up_RadSpec!F26*s_EF_cw*(1/365)*s_ED_con*up_RadSpec!Q26*s_ET_cw_o*(1/24)*up_RadSpec!V26))*1,".")</f>
        <v>4.0919727891156445E-4</v>
      </c>
      <c r="Q26" s="48">
        <f t="shared" si="9"/>
        <v>4.681576067898434E-8</v>
      </c>
      <c r="R26" s="69">
        <f t="shared" si="4"/>
        <v>229164.375</v>
      </c>
      <c r="S26" s="69">
        <f t="shared" si="5"/>
        <v>8143.0753743733067</v>
      </c>
      <c r="T26" s="69">
        <f>s_C*s_EF_cw*(1/365)*s_ED_con*(s_ET_cw_i+s_ET_cw_o)*(1/24)*up_RadSpec!V26*up_RadSpec!Q26*1</f>
        <v>27.153161989626287</v>
      </c>
      <c r="U26" s="11"/>
      <c r="V26" s="11"/>
      <c r="W26" s="11"/>
      <c r="X26" s="11"/>
      <c r="Y26" s="48">
        <f>IFERROR((s_TR/(up_RadSpec!F26*s_EF_cw*(1/365)*s_ED_con*up_RadSpec!Q26*s_ET_cw_o*(1/24)*up_RadSpec!V26))*1,".")</f>
        <v>4.0919727891156445E-4</v>
      </c>
      <c r="Z26" s="48">
        <f>IFERROR((s_TR/(up_RadSpec!M26*s_EF_cw*(1/365)*s_ED_con*up_RadSpec!R26*s_ET_cw_o*(1/24)*up_RadSpec!W26))*1,".")</f>
        <v>7.4709308966304977E-4</v>
      </c>
      <c r="AA26" s="48">
        <f>IFERROR((s_TR/(up_RadSpec!N26*s_EF_cw*(1/365)*s_ED_con*up_RadSpec!S26*s_ET_cw_o*(1/24)*up_RadSpec!X26))*1,".")</f>
        <v>5.3998484210526299E-4</v>
      </c>
      <c r="AB26" s="48">
        <f>IFERROR((s_TR/(up_RadSpec!O26*s_EF_cw*(1/365)*s_ED_con*up_RadSpec!T26*s_ET_cw_o*(1/24)*up_RadSpec!Y26))*1,".")</f>
        <v>4.6189090909090879E-4</v>
      </c>
      <c r="AC26" s="48">
        <f>IFERROR((s_TR/(up_RadSpec!K26*s_EF_cw*(1/365)*s_ED_con*up_RadSpec!P26*s_ET_cw_o*(1/24)*up_RadSpec!U26))*1,".")</f>
        <v>4.3544594207054789E-3</v>
      </c>
      <c r="AD26" s="69">
        <f>s_C*s_EF_cw*(1/365)*s_ED_con*(s_ET_cw_i+s_ET_cw_o)*(1/24)*up_RadSpec!V26*up_RadSpec!Q26*1</f>
        <v>27.153161989626287</v>
      </c>
      <c r="AE26" s="69">
        <f>s_C*s_EF_cw*(1/365)*s_ED_con*(s_ET_cw_i+s_ET_cw_o)*(1/24)*up_RadSpec!W26*up_RadSpec!R26*1</f>
        <v>14.872309962084143</v>
      </c>
      <c r="AF26" s="69">
        <f>s_C*s_EF_cw*(1/365)*s_ED_con*(s_ET_cw_i+s_ET_cw_o)*(1/24)*up_RadSpec!X26*up_RadSpec!S26*1</f>
        <v>20.576503511989426</v>
      </c>
      <c r="AG26" s="69">
        <f>s_C*s_EF_cw*(1/365)*s_ED_con*(s_ET_cw_i+s_ET_cw_o)*(1/24)*up_RadSpec!Y26*up_RadSpec!T26*1</f>
        <v>24.055463706502923</v>
      </c>
      <c r="AH26" s="69">
        <f>s_C*s_EF_cw*(1/365)*s_ED_con*(s_ET_cw_i+s_ET_cw_o)*(1/24)*up_RadSpec!U26*up_RadSpec!P26*1</f>
        <v>2.5516370521601672</v>
      </c>
      <c r="AI26" s="11"/>
      <c r="AJ26" s="11"/>
      <c r="AK26" s="11"/>
      <c r="AL26" s="11"/>
      <c r="AM26" s="11"/>
      <c r="AN26" s="48">
        <f>IFERROR(s_TR/(up_RadSpec!G26*s_EF_cw*s_ED_con*s_ET_cw_o*(1/24)*s_IRA_cw),".")</f>
        <v>4.2666666666666664E-10</v>
      </c>
      <c r="AO26" s="48">
        <f>IFERROR(s_TR/(up_RadSpec!J26*s_EF_cw*(1/365)*s_ED_con*s_ET_cw_o*(1/24)*s_GSF_a),".")</f>
        <v>2.3359999999999997E-6</v>
      </c>
      <c r="AP26" s="48">
        <f t="shared" si="10"/>
        <v>4.2658875091307519E-10</v>
      </c>
      <c r="AQ26" s="69">
        <f t="shared" si="7"/>
        <v>26041406.25</v>
      </c>
      <c r="AR26" s="69">
        <f t="shared" si="8"/>
        <v>4756.4212328767117</v>
      </c>
      <c r="AS26" s="10"/>
      <c r="AT26" s="10"/>
      <c r="AU26" s="10"/>
    </row>
    <row r="27" spans="1:47" x14ac:dyDescent="0.25">
      <c r="A27" s="49" t="s">
        <v>37</v>
      </c>
      <c r="B27" s="50" t="s">
        <v>289</v>
      </c>
      <c r="C27" s="48">
        <f>IFERROR((s_TR/(up_RadSpec!I27*s_EF_cw*s_ED_con*s_IRS_cw*(1/1000)))*1,".")</f>
        <v>4.848484848484848E-8</v>
      </c>
      <c r="D27" s="48">
        <f>IFERROR(IF(A27="H-3",(s_TR/(up_RadSpec!G27*s_EF_cw*s_ED_con*s_ET_cw_o*(1/24)*s_IRA_cw*(1/17)*1000))*1,(s_TR/(up_RadSpec!G27*s_EF_cw*s_ED_con*s_ET_cw_o*(1/24)*s_IRA_cw*(1/s_PEFsc)*1000))*1),".")</f>
        <v>2.1694802535592706E-7</v>
      </c>
      <c r="E27" s="48">
        <f>IFERROR((s_TR/(up_RadSpec!F27*s_EF_cw*(1/365)*s_ED_con*up_RadSpec!Q27*s_ET_cw_o*(1/24)*up_RadSpec!V27))*1,".")</f>
        <v>8.6215717467387869E-5</v>
      </c>
      <c r="F27" s="48">
        <f t="shared" si="0"/>
        <v>3.9610238796330844E-8</v>
      </c>
      <c r="G27" s="69">
        <f t="shared" si="1"/>
        <v>229164.375</v>
      </c>
      <c r="H27" s="69">
        <f t="shared" si="2"/>
        <v>51215.031719100385</v>
      </c>
      <c r="I27" s="69">
        <f>s_C*s_EF_cw*(1/365)*s_ED_con*(s_ET_cw_i+s_ET_cw_o)*(1/24)*up_RadSpec!V27*up_RadSpec!Q27*1</f>
        <v>128.87441323216808</v>
      </c>
      <c r="J27" s="4"/>
      <c r="K27" s="4"/>
      <c r="L27" s="4"/>
      <c r="M27" s="4"/>
      <c r="N27" s="48">
        <f>IFERROR((s_TR/(up_RadSpec!I27*s_EF_cw*s_ED_con*s_IRS_cw*(1/1000)))*1,".")</f>
        <v>4.848484848484848E-8</v>
      </c>
      <c r="O27" s="48">
        <f>IFERROR(IF(A27="H-3",(s_TR/(up_RadSpec!G27*s_EF_cw*s_ED_con*s_ET_cw_o*(1/24)*s_IRA_cw*(1/17)*1000))*1,(s_TR/(up_RadSpec!G27*s_EF_cw*s_ED_con*s_ET_cw_o*(1/24)*s_IRA_cw*(1/s_PEF__sc)*1000))*1),".")</f>
        <v>1.3644722035813288E-6</v>
      </c>
      <c r="P27" s="48">
        <f>IFERROR((s_TR/(up_RadSpec!F27*s_EF_cw*(1/365)*s_ED_con*up_RadSpec!Q27*s_ET_cw_o*(1/24)*up_RadSpec!V27))*1,".")</f>
        <v>8.6215717467387869E-5</v>
      </c>
      <c r="Q27" s="48">
        <f t="shared" si="9"/>
        <v>4.6795704111151266E-8</v>
      </c>
      <c r="R27" s="69">
        <f t="shared" si="4"/>
        <v>229164.375</v>
      </c>
      <c r="S27" s="69">
        <f t="shared" si="5"/>
        <v>8143.0753743733067</v>
      </c>
      <c r="T27" s="69">
        <f>s_C*s_EF_cw*(1/365)*s_ED_con*(s_ET_cw_i+s_ET_cw_o)*(1/24)*up_RadSpec!V27*up_RadSpec!Q27*1</f>
        <v>128.87441323216808</v>
      </c>
      <c r="U27" s="11"/>
      <c r="V27" s="11"/>
      <c r="W27" s="11"/>
      <c r="X27" s="11"/>
      <c r="Y27" s="48">
        <f>IFERROR((s_TR/(up_RadSpec!F27*s_EF_cw*(1/365)*s_ED_con*up_RadSpec!Q27*s_ET_cw_o*(1/24)*up_RadSpec!V27))*1,".")</f>
        <v>8.6215717467387869E-5</v>
      </c>
      <c r="Z27" s="48">
        <f>IFERROR((s_TR/(up_RadSpec!M27*s_EF_cw*(1/365)*s_ED_con*up_RadSpec!R27*s_ET_cw_o*(1/24)*up_RadSpec!W27))*1,".")</f>
        <v>2.5573052631578958E-4</v>
      </c>
      <c r="AA27" s="48">
        <f>IFERROR((s_TR/(up_RadSpec!N27*s_EF_cw*(1/365)*s_ED_con*up_RadSpec!S27*s_ET_cw_o*(1/24)*up_RadSpec!X27))*1,".")</f>
        <v>1.567820426487093E-4</v>
      </c>
      <c r="AB27" s="48">
        <f>IFERROR((s_TR/(up_RadSpec!O27*s_EF_cw*(1/365)*s_ED_con*up_RadSpec!T27*s_ET_cw_o*(1/24)*up_RadSpec!Y27))*1,".")</f>
        <v>1.140528791565288E-4</v>
      </c>
      <c r="AC27" s="48">
        <f>IFERROR((s_TR/(up_RadSpec!K27*s_EF_cw*(1/365)*s_ED_con*up_RadSpec!P27*s_ET_cw_o*(1/24)*up_RadSpec!U27))*1,".")</f>
        <v>7.9992059553349901E-4</v>
      </c>
      <c r="AD27" s="69">
        <f>s_C*s_EF_cw*(1/365)*s_ED_con*(s_ET_cw_i+s_ET_cw_o)*(1/24)*up_RadSpec!V27*up_RadSpec!Q27*1</f>
        <v>128.87441323216808</v>
      </c>
      <c r="AE27" s="69">
        <f>s_C*s_EF_cw*(1/365)*s_ED_con*(s_ET_cw_i+s_ET_cw_o)*(1/24)*up_RadSpec!W27*up_RadSpec!R27*1</f>
        <v>43.448078569546865</v>
      </c>
      <c r="AF27" s="69">
        <f>s_C*s_EF_cw*(1/365)*s_ED_con*(s_ET_cw_i+s_ET_cw_o)*(1/24)*up_RadSpec!X27*up_RadSpec!S27*1</f>
        <v>70.86908559353094</v>
      </c>
      <c r="AG27" s="69">
        <f>s_C*s_EF_cw*(1/365)*s_ED_con*(s_ET_cw_i+s_ET_cw_o)*(1/24)*up_RadSpec!Y27*up_RadSpec!T27*1</f>
        <v>97.41972392254128</v>
      </c>
      <c r="AH27" s="69">
        <f>s_C*s_EF_cw*(1/365)*s_ED_con*(s_ET_cw_i+s_ET_cw_o)*(1/24)*up_RadSpec!U27*up_RadSpec!P27*1</f>
        <v>13.890128672821117</v>
      </c>
      <c r="AI27" s="11"/>
      <c r="AJ27" s="11"/>
      <c r="AK27" s="11"/>
      <c r="AL27" s="11"/>
      <c r="AM27" s="11"/>
      <c r="AN27" s="48">
        <f>IFERROR(s_TR/(up_RadSpec!G27*s_EF_cw*s_ED_con*s_ET_cw_o*(1/24)*s_IRA_cw),".")</f>
        <v>4.2666666666666664E-10</v>
      </c>
      <c r="AO27" s="48">
        <f>IFERROR(s_TR/(up_RadSpec!J27*s_EF_cw*(1/365)*s_ED_con*s_ET_cw_o*(1/24)*s_GSF_a),".")</f>
        <v>2.3359999999999997E-6</v>
      </c>
      <c r="AP27" s="48">
        <f t="shared" si="10"/>
        <v>4.2658875091307519E-10</v>
      </c>
      <c r="AQ27" s="69">
        <f t="shared" si="7"/>
        <v>26041406.25</v>
      </c>
      <c r="AR27" s="69">
        <f t="shared" si="8"/>
        <v>4756.4212328767117</v>
      </c>
      <c r="AS27" s="10"/>
      <c r="AT27" s="10"/>
      <c r="AU27" s="10"/>
    </row>
    <row r="28" spans="1:47" x14ac:dyDescent="0.25">
      <c r="A28" s="49" t="s">
        <v>38</v>
      </c>
      <c r="B28" s="50" t="s">
        <v>289</v>
      </c>
      <c r="C28" s="48">
        <f>IFERROR((s_TR/(up_RadSpec!I28*s_EF_cw*s_ED_con*s_IRS_cw*(1/1000)))*1,".")</f>
        <v>4.848484848484848E-8</v>
      </c>
      <c r="D28" s="48">
        <f>IFERROR(IF(A28="H-3",(s_TR/(up_RadSpec!G28*s_EF_cw*s_ED_con*s_ET_cw_o*(1/24)*s_IRA_cw*(1/17)*1000))*1,(s_TR/(up_RadSpec!G28*s_EF_cw*s_ED_con*s_ET_cw_o*(1/24)*s_IRA_cw*(1/s_PEFsc)*1000))*1),".")</f>
        <v>2.1694802535592706E-7</v>
      </c>
      <c r="E28" s="48">
        <f>IFERROR((s_TR/(up_RadSpec!F28*s_EF_cw*(1/365)*s_ED_con*up_RadSpec!Q28*s_ET_cw_o*(1/24)*up_RadSpec!V28))*1,".")</f>
        <v>3.8151233055691656E-5</v>
      </c>
      <c r="F28" s="48">
        <f t="shared" si="0"/>
        <v>3.9587325219834905E-8</v>
      </c>
      <c r="G28" s="69">
        <f t="shared" si="1"/>
        <v>229164.375</v>
      </c>
      <c r="H28" s="69">
        <f t="shared" si="2"/>
        <v>51215.031719100385</v>
      </c>
      <c r="I28" s="69">
        <f>s_C*s_EF_cw*(1/365)*s_ED_con*(s_ET_cw_i+s_ET_cw_o)*(1/24)*up_RadSpec!V28*up_RadSpec!Q28*1</f>
        <v>291.23567208904103</v>
      </c>
      <c r="J28" s="4"/>
      <c r="K28" s="4"/>
      <c r="L28" s="4"/>
      <c r="M28" s="4"/>
      <c r="N28" s="48">
        <f>IFERROR((s_TR/(up_RadSpec!I28*s_EF_cw*s_ED_con*s_IRS_cw*(1/1000)))*1,".")</f>
        <v>4.848484848484848E-8</v>
      </c>
      <c r="O28" s="48">
        <f>IFERROR(IF(A28="H-3",(s_TR/(up_RadSpec!G28*s_EF_cw*s_ED_con*s_ET_cw_o*(1/24)*s_IRA_cw*(1/17)*1000))*1,(s_TR/(up_RadSpec!G28*s_EF_cw*s_ED_con*s_ET_cw_o*(1/24)*s_IRA_cw*(1/s_PEF__sc)*1000))*1),".")</f>
        <v>1.3644722035813288E-6</v>
      </c>
      <c r="P28" s="48">
        <f>IFERROR((s_TR/(up_RadSpec!F28*s_EF_cw*(1/365)*s_ED_con*up_RadSpec!Q28*s_ET_cw_o*(1/24)*up_RadSpec!V28))*1,".")</f>
        <v>3.8151233055691656E-5</v>
      </c>
      <c r="Q28" s="48">
        <f t="shared" si="9"/>
        <v>4.6763726621902469E-8</v>
      </c>
      <c r="R28" s="69">
        <f t="shared" si="4"/>
        <v>229164.375</v>
      </c>
      <c r="S28" s="69">
        <f t="shared" si="5"/>
        <v>8143.0753743733067</v>
      </c>
      <c r="T28" s="69">
        <f>s_C*s_EF_cw*(1/365)*s_ED_con*(s_ET_cw_i+s_ET_cw_o)*(1/24)*up_RadSpec!V28*up_RadSpec!Q28*1</f>
        <v>291.23567208904103</v>
      </c>
      <c r="U28" s="11"/>
      <c r="V28" s="11"/>
      <c r="W28" s="11"/>
      <c r="X28" s="11"/>
      <c r="Y28" s="48">
        <f>IFERROR((s_TR/(up_RadSpec!F28*s_EF_cw*(1/365)*s_ED_con*up_RadSpec!Q28*s_ET_cw_o*(1/24)*up_RadSpec!V28))*1,".")</f>
        <v>3.8151233055691656E-5</v>
      </c>
      <c r="Z28" s="48">
        <f>IFERROR((s_TR/(up_RadSpec!M28*s_EF_cw*(1/365)*s_ED_con*up_RadSpec!R28*s_ET_cw_o*(1/24)*up_RadSpec!W28))*1,".")</f>
        <v>8.5071919377004132E-5</v>
      </c>
      <c r="AA28" s="48">
        <f>IFERROR((s_TR/(up_RadSpec!N28*s_EF_cw*(1/365)*s_ED_con*up_RadSpec!S28*s_ET_cw_o*(1/24)*up_RadSpec!X28))*1,".")</f>
        <v>5.9064475347661151E-5</v>
      </c>
      <c r="AB28" s="48">
        <f>IFERROR((s_TR/(up_RadSpec!O28*s_EF_cw*(1/365)*s_ED_con*up_RadSpec!T28*s_ET_cw_o*(1/24)*up_RadSpec!Y28))*1,".")</f>
        <v>5.1138189134808818E-5</v>
      </c>
      <c r="AC28" s="48">
        <f>IFERROR((s_TR/(up_RadSpec!K28*s_EF_cw*(1/365)*s_ED_con*up_RadSpec!P28*s_ET_cw_o*(1/24)*up_RadSpec!U28))*1,".")</f>
        <v>1.4955343915343922E-4</v>
      </c>
      <c r="AD28" s="69">
        <f>s_C*s_EF_cw*(1/365)*s_ED_con*(s_ET_cw_i+s_ET_cw_o)*(1/24)*up_RadSpec!V28*up_RadSpec!Q28*1</f>
        <v>291.23567208904103</v>
      </c>
      <c r="AE28" s="69">
        <f>s_C*s_EF_cw*(1/365)*s_ED_con*(s_ET_cw_i+s_ET_cw_o)*(1/24)*up_RadSpec!W28*up_RadSpec!R28*1</f>
        <v>130.60713901094164</v>
      </c>
      <c r="AF28" s="69">
        <f>s_C*s_EF_cw*(1/365)*s_ED_con*(s_ET_cw_i+s_ET_cw_o)*(1/24)*up_RadSpec!X28*up_RadSpec!S28*1</f>
        <v>188.11645976027404</v>
      </c>
      <c r="AG28" s="69">
        <f>s_C*s_EF_cw*(1/365)*s_ED_con*(s_ET_cw_i+s_ET_cw_o)*(1/24)*up_RadSpec!Y28*up_RadSpec!T28*1</f>
        <v>217.27402139151903</v>
      </c>
      <c r="AH28" s="69">
        <f>s_C*s_EF_cw*(1/365)*s_ED_con*(s_ET_cw_i+s_ET_cw_o)*(1/24)*up_RadSpec!U28*up_RadSpec!P28*1</f>
        <v>74.294513472206447</v>
      </c>
      <c r="AI28" s="11"/>
      <c r="AJ28" s="11"/>
      <c r="AK28" s="11"/>
      <c r="AL28" s="11"/>
      <c r="AM28" s="11"/>
      <c r="AN28" s="48">
        <f>IFERROR(s_TR/(up_RadSpec!G28*s_EF_cw*s_ED_con*s_ET_cw_o*(1/24)*s_IRA_cw),".")</f>
        <v>4.2666666666666664E-10</v>
      </c>
      <c r="AO28" s="48">
        <f>IFERROR(s_TR/(up_RadSpec!J28*s_EF_cw*(1/365)*s_ED_con*s_ET_cw_o*(1/24)*s_GSF_a),".")</f>
        <v>2.3359999999999997E-6</v>
      </c>
      <c r="AP28" s="48">
        <f t="shared" si="10"/>
        <v>4.2658875091307519E-10</v>
      </c>
      <c r="AQ28" s="69">
        <f t="shared" si="7"/>
        <v>26041406.25</v>
      </c>
      <c r="AR28" s="69">
        <f t="shared" si="8"/>
        <v>4756.4212328767117</v>
      </c>
      <c r="AS28" s="10"/>
      <c r="AT28" s="10"/>
      <c r="AU28" s="10"/>
    </row>
    <row r="29" spans="1:47" x14ac:dyDescent="0.25">
      <c r="A29" s="49" t="s">
        <v>39</v>
      </c>
      <c r="B29" s="50" t="s">
        <v>289</v>
      </c>
      <c r="C29" s="48">
        <f>IFERROR((s_TR/(up_RadSpec!I29*s_EF_cw*s_ED_con*s_IRS_cw*(1/1000)))*1,".")</f>
        <v>4.848484848484848E-8</v>
      </c>
      <c r="D29" s="48">
        <f>IFERROR(IF(A29="H-3",(s_TR/(up_RadSpec!G29*s_EF_cw*s_ED_con*s_ET_cw_o*(1/24)*s_IRA_cw*(1/17)*1000))*1,(s_TR/(up_RadSpec!G29*s_EF_cw*s_ED_con*s_ET_cw_o*(1/24)*s_IRA_cw*(1/s_PEFsc)*1000))*1),".")</f>
        <v>2.1694802535592706E-7</v>
      </c>
      <c r="E29" s="48">
        <f>IFERROR((s_TR/(up_RadSpec!F29*s_EF_cw*(1/365)*s_ED_con*up_RadSpec!Q29*s_ET_cw_o*(1/24)*up_RadSpec!V29))*1,".")</f>
        <v>4.1486338797814228E-5</v>
      </c>
      <c r="F29" s="48">
        <f t="shared" si="0"/>
        <v>3.9590627732305071E-8</v>
      </c>
      <c r="G29" s="69">
        <f t="shared" si="1"/>
        <v>229164.375</v>
      </c>
      <c r="H29" s="69">
        <f t="shared" si="2"/>
        <v>51215.031719100385</v>
      </c>
      <c r="I29" s="69">
        <f>s_C*s_EF_cw*(1/365)*s_ED_con*(s_ET_cw_i+s_ET_cw_o)*(1/24)*up_RadSpec!V29*up_RadSpec!Q29*1</f>
        <v>267.82310326659626</v>
      </c>
      <c r="J29" s="4"/>
      <c r="K29" s="4"/>
      <c r="L29" s="4"/>
      <c r="M29" s="4"/>
      <c r="N29" s="48">
        <f>IFERROR((s_TR/(up_RadSpec!I29*s_EF_cw*s_ED_con*s_IRS_cw*(1/1000)))*1,".")</f>
        <v>4.848484848484848E-8</v>
      </c>
      <c r="O29" s="48">
        <f>IFERROR(IF(A29="H-3",(s_TR/(up_RadSpec!G29*s_EF_cw*s_ED_con*s_ET_cw_o*(1/24)*s_IRA_cw*(1/17)*1000))*1,(s_TR/(up_RadSpec!G29*s_EF_cw*s_ED_con*s_ET_cw_o*(1/24)*s_IRA_cw*(1/s_PEF__sc)*1000))*1),".")</f>
        <v>1.3644722035813288E-6</v>
      </c>
      <c r="P29" s="48">
        <f>IFERROR((s_TR/(up_RadSpec!F29*s_EF_cw*(1/365)*s_ED_con*up_RadSpec!Q29*s_ET_cw_o*(1/24)*up_RadSpec!V29))*1,".")</f>
        <v>4.1486338797814228E-5</v>
      </c>
      <c r="Q29" s="48">
        <f t="shared" si="9"/>
        <v>4.6768335093785509E-8</v>
      </c>
      <c r="R29" s="69">
        <f t="shared" si="4"/>
        <v>229164.375</v>
      </c>
      <c r="S29" s="69">
        <f t="shared" si="5"/>
        <v>8143.0753743733067</v>
      </c>
      <c r="T29" s="69">
        <f>s_C*s_EF_cw*(1/365)*s_ED_con*(s_ET_cw_i+s_ET_cw_o)*(1/24)*up_RadSpec!V29*up_RadSpec!Q29*1</f>
        <v>267.82310326659626</v>
      </c>
      <c r="U29" s="11"/>
      <c r="V29" s="11"/>
      <c r="W29" s="11"/>
      <c r="X29" s="11"/>
      <c r="Y29" s="48">
        <f>IFERROR((s_TR/(up_RadSpec!F29*s_EF_cw*(1/365)*s_ED_con*up_RadSpec!Q29*s_ET_cw_o*(1/24)*up_RadSpec!V29))*1,".")</f>
        <v>4.1486338797814228E-5</v>
      </c>
      <c r="Z29" s="48">
        <f>IFERROR((s_TR/(up_RadSpec!M29*s_EF_cw*(1/365)*s_ED_con*up_RadSpec!R29*s_ET_cw_o*(1/24)*up_RadSpec!W29))*1,".")</f>
        <v>8.2784561403508736E-5</v>
      </c>
      <c r="AA29" s="48">
        <f>IFERROR((s_TR/(up_RadSpec!N29*s_EF_cw*(1/365)*s_ED_con*up_RadSpec!S29*s_ET_cw_o*(1/24)*up_RadSpec!X29))*1,".")</f>
        <v>5.8975369458128062E-5</v>
      </c>
      <c r="AB29" s="48">
        <f>IFERROR((s_TR/(up_RadSpec!O29*s_EF_cw*(1/365)*s_ED_con*up_RadSpec!T29*s_ET_cw_o*(1/24)*up_RadSpec!Y29))*1,".")</f>
        <v>5.002633846153843E-5</v>
      </c>
      <c r="AC29" s="48">
        <f>IFERROR((s_TR/(up_RadSpec!K29*s_EF_cw*(1/365)*s_ED_con*up_RadSpec!P29*s_ET_cw_o*(1/24)*up_RadSpec!U29))*1,".")</f>
        <v>1.4865454545454543E-4</v>
      </c>
      <c r="AD29" s="69">
        <f>s_C*s_EF_cw*(1/365)*s_ED_con*(s_ET_cw_i+s_ET_cw_o)*(1/24)*up_RadSpec!V29*up_RadSpec!Q29*1</f>
        <v>267.82310326659626</v>
      </c>
      <c r="AE29" s="69">
        <f>s_C*s_EF_cw*(1/365)*s_ED_con*(s_ET_cw_i+s_ET_cw_o)*(1/24)*up_RadSpec!W29*up_RadSpec!R29*1</f>
        <v>134.2158466702835</v>
      </c>
      <c r="AF29" s="69">
        <f>s_C*s_EF_cw*(1/365)*s_ED_con*(s_ET_cw_i+s_ET_cw_o)*(1/24)*up_RadSpec!X29*up_RadSpec!S29*1</f>
        <v>188.40068493150685</v>
      </c>
      <c r="AG29" s="69">
        <f>s_C*s_EF_cw*(1/365)*s_ED_con*(s_ET_cw_i+s_ET_cw_o)*(1/24)*up_RadSpec!Y29*up_RadSpec!T29*1</f>
        <v>222.10300297197304</v>
      </c>
      <c r="AH29" s="69">
        <f>s_C*s_EF_cw*(1/365)*s_ED_con*(s_ET_cw_i+s_ET_cw_o)*(1/24)*up_RadSpec!U29*up_RadSpec!P29*1</f>
        <v>74.743762230919742</v>
      </c>
      <c r="AI29" s="11"/>
      <c r="AJ29" s="11"/>
      <c r="AK29" s="11"/>
      <c r="AL29" s="11"/>
      <c r="AM29" s="11"/>
      <c r="AN29" s="48">
        <f>IFERROR(s_TR/(up_RadSpec!G29*s_EF_cw*s_ED_con*s_ET_cw_o*(1/24)*s_IRA_cw),".")</f>
        <v>4.2666666666666664E-10</v>
      </c>
      <c r="AO29" s="48">
        <f>IFERROR(s_TR/(up_RadSpec!J29*s_EF_cw*(1/365)*s_ED_con*s_ET_cw_o*(1/24)*s_GSF_a),".")</f>
        <v>2.3359999999999997E-6</v>
      </c>
      <c r="AP29" s="48">
        <f t="shared" si="10"/>
        <v>4.2658875091307519E-10</v>
      </c>
      <c r="AQ29" s="69">
        <f t="shared" si="7"/>
        <v>26041406.25</v>
      </c>
      <c r="AR29" s="69">
        <f t="shared" si="8"/>
        <v>4756.4212328767117</v>
      </c>
      <c r="AS29" s="10"/>
      <c r="AT29" s="10"/>
      <c r="AU29" s="10"/>
    </row>
    <row r="30" spans="1:47" x14ac:dyDescent="0.25">
      <c r="A30" s="49" t="s">
        <v>40</v>
      </c>
      <c r="B30" s="50" t="s">
        <v>289</v>
      </c>
      <c r="C30" s="48">
        <f>IFERROR((s_TR/(up_RadSpec!I30*s_EF_cw*s_ED_con*s_IRS_cw*(1/1000)))*1,".")</f>
        <v>4.848484848484848E-8</v>
      </c>
      <c r="D30" s="48">
        <f>IFERROR(IF(A30="H-3",(s_TR/(up_RadSpec!G30*s_EF_cw*s_ED_con*s_ET_cw_o*(1/24)*s_IRA_cw*(1/17)*1000))*1,(s_TR/(up_RadSpec!G30*s_EF_cw*s_ED_con*s_ET_cw_o*(1/24)*s_IRA_cw*(1/s_PEFsc)*1000))*1),".")</f>
        <v>2.1694802535592706E-7</v>
      </c>
      <c r="E30" s="48">
        <f>IFERROR((s_TR/(up_RadSpec!F30*s_EF_cw*(1/365)*s_ED_con*up_RadSpec!Q30*s_ET_cw_o*(1/24)*up_RadSpec!V30))*1,".")</f>
        <v>3.8933333333333327E-4</v>
      </c>
      <c r="F30" s="48">
        <f t="shared" si="0"/>
        <v>3.962441217645482E-8</v>
      </c>
      <c r="G30" s="69">
        <f t="shared" si="1"/>
        <v>229164.375</v>
      </c>
      <c r="H30" s="69">
        <f t="shared" si="2"/>
        <v>51215.031719100385</v>
      </c>
      <c r="I30" s="69">
        <f>s_C*s_EF_cw*(1/365)*s_ED_con*(s_ET_cw_i+s_ET_cw_o)*(1/24)*up_RadSpec!V30*up_RadSpec!Q30*1</f>
        <v>28.538527397260271</v>
      </c>
      <c r="J30" s="4"/>
      <c r="K30" s="4"/>
      <c r="L30" s="4"/>
      <c r="M30" s="4"/>
      <c r="N30" s="48">
        <f>IFERROR((s_TR/(up_RadSpec!I30*s_EF_cw*s_ED_con*s_IRS_cw*(1/1000)))*1,".")</f>
        <v>4.848484848484848E-8</v>
      </c>
      <c r="O30" s="48">
        <f>IFERROR(IF(A30="H-3",(s_TR/(up_RadSpec!G30*s_EF_cw*s_ED_con*s_ET_cw_o*(1/24)*s_IRA_cw*(1/17)*1000))*1,(s_TR/(up_RadSpec!G30*s_EF_cw*s_ED_con*s_ET_cw_o*(1/24)*s_IRA_cw*(1/s_PEF__sc)*1000))*1),".")</f>
        <v>1.3644722035813288E-6</v>
      </c>
      <c r="P30" s="48">
        <f>IFERROR((s_TR/(up_RadSpec!F30*s_EF_cw*(1/365)*s_ED_con*up_RadSpec!Q30*s_ET_cw_o*(1/24)*up_RadSpec!V30))*1,".")</f>
        <v>3.8933333333333327E-4</v>
      </c>
      <c r="Q30" s="48">
        <f t="shared" si="9"/>
        <v>4.6815487408437903E-8</v>
      </c>
      <c r="R30" s="69">
        <f t="shared" si="4"/>
        <v>229164.375</v>
      </c>
      <c r="S30" s="69">
        <f t="shared" si="5"/>
        <v>8143.0753743733067</v>
      </c>
      <c r="T30" s="69">
        <f>s_C*s_EF_cw*(1/365)*s_ED_con*(s_ET_cw_i+s_ET_cw_o)*(1/24)*up_RadSpec!V30*up_RadSpec!Q30*1</f>
        <v>28.538527397260271</v>
      </c>
      <c r="U30" s="11"/>
      <c r="V30" s="11"/>
      <c r="W30" s="11"/>
      <c r="X30" s="11"/>
      <c r="Y30" s="48">
        <f>IFERROR((s_TR/(up_RadSpec!F30*s_EF_cw*(1/365)*s_ED_con*up_RadSpec!Q30*s_ET_cw_o*(1/24)*up_RadSpec!V30))*1,".")</f>
        <v>3.8933333333333327E-4</v>
      </c>
      <c r="Z30" s="48">
        <f>IFERROR((s_TR/(up_RadSpec!M30*s_EF_cw*(1/365)*s_ED_con*up_RadSpec!R30*s_ET_cw_o*(1/24)*up_RadSpec!W30))*1,".")</f>
        <v>1.9073319587628859E-3</v>
      </c>
      <c r="AA30" s="48">
        <f>IFERROR((s_TR/(up_RadSpec!N30*s_EF_cw*(1/365)*s_ED_con*up_RadSpec!S30*s_ET_cw_o*(1/24)*up_RadSpec!X30))*1,".")</f>
        <v>6.8733766233766193E-4</v>
      </c>
      <c r="AB30" s="48">
        <f>IFERROR((s_TR/(up_RadSpec!O30*s_EF_cw*(1/365)*s_ED_con*up_RadSpec!T30*s_ET_cw_o*(1/24)*up_RadSpec!Y30))*1,".")</f>
        <v>5.1161969439728376E-4</v>
      </c>
      <c r="AC30" s="48">
        <f>IFERROR((s_TR/(up_RadSpec!K30*s_EF_cw*(1/365)*s_ED_con*up_RadSpec!P30*s_ET_cw_o*(1/24)*up_RadSpec!U30))*1,".")</f>
        <v>4.6719999999999991E-2</v>
      </c>
      <c r="AD30" s="69">
        <f>s_C*s_EF_cw*(1/365)*s_ED_con*(s_ET_cw_i+s_ET_cw_o)*(1/24)*up_RadSpec!V30*up_RadSpec!Q30*1</f>
        <v>28.538527397260271</v>
      </c>
      <c r="AE30" s="69">
        <f>s_C*s_EF_cw*(1/365)*s_ED_con*(s_ET_cw_i+s_ET_cw_o)*(1/24)*up_RadSpec!W30*up_RadSpec!R30*1</f>
        <v>5.8254148938010246</v>
      </c>
      <c r="AF30" s="69">
        <f>s_C*s_EF_cw*(1/365)*s_ED_con*(s_ET_cw_i+s_ET_cw_o)*(1/24)*up_RadSpec!X30*up_RadSpec!S30*1</f>
        <v>16.16527161076996</v>
      </c>
      <c r="AG30" s="69">
        <f>s_C*s_EF_cw*(1/365)*s_ED_con*(s_ET_cw_i+s_ET_cw_o)*(1/24)*up_RadSpec!Y30*up_RadSpec!T30*1</f>
        <v>21.717303148561101</v>
      </c>
      <c r="AH30" s="69">
        <f>s_C*s_EF_cw*(1/365)*s_ED_con*(s_ET_cw_i+s_ET_cw_o)*(1/24)*up_RadSpec!U30*up_RadSpec!P30*1</f>
        <v>0.2378210616438356</v>
      </c>
      <c r="AI30" s="11"/>
      <c r="AJ30" s="11"/>
      <c r="AK30" s="11"/>
      <c r="AL30" s="11"/>
      <c r="AM30" s="11"/>
      <c r="AN30" s="48">
        <f>IFERROR(s_TR/(up_RadSpec!G30*s_EF_cw*s_ED_con*s_ET_cw_o*(1/24)*s_IRA_cw),".")</f>
        <v>4.2666666666666664E-10</v>
      </c>
      <c r="AO30" s="48">
        <f>IFERROR(s_TR/(up_RadSpec!J30*s_EF_cw*(1/365)*s_ED_con*s_ET_cw_o*(1/24)*s_GSF_a),".")</f>
        <v>2.3359999999999997E-6</v>
      </c>
      <c r="AP30" s="48">
        <f t="shared" si="10"/>
        <v>4.2658875091307519E-10</v>
      </c>
      <c r="AQ30" s="69">
        <f t="shared" si="7"/>
        <v>26041406.25</v>
      </c>
      <c r="AR30" s="69">
        <f t="shared" si="8"/>
        <v>4756.4212328767117</v>
      </c>
      <c r="AS30" s="10"/>
      <c r="AT30" s="10"/>
      <c r="AU30" s="10"/>
    </row>
    <row r="31" spans="1:47" x14ac:dyDescent="0.25">
      <c r="A31" s="52" t="s">
        <v>13</v>
      </c>
      <c r="B31" s="52" t="s">
        <v>289</v>
      </c>
      <c r="C31" s="53">
        <f>1/SUM(1/C32,1/C33,1/C34,1/C35,1/C36,1/C37,1/C38,1/C41,1/C44)</f>
        <v>5.3873490498467153E-9</v>
      </c>
      <c r="D31" s="53">
        <f>1/SUM(1/D32,1/D33,1/D34,1/D35,1/D36,1/D37,1/D38,1/D41,1/D44)</f>
        <v>2.410597897676461E-8</v>
      </c>
      <c r="E31" s="53">
        <f>1/SUM(1/E32,1/E33,1/E34,1/E35,1/E36,1/E37,1/E38,1/E39,1/E40,1/E41,1/E42,1/E43)</f>
        <v>1.5830138135291565E-5</v>
      </c>
      <c r="F31" s="54">
        <f>1/SUM(1/F32,1/F33,1/F34,1/F35,1/F36,1/F37,1/F38,1/F39,1/F40,1/F41,1/F42,1/F43,1/F44)</f>
        <v>3.3017807063866139E-9</v>
      </c>
      <c r="G31" s="71"/>
      <c r="H31" s="71"/>
      <c r="I31" s="71"/>
      <c r="J31" s="72">
        <f>IFERROR(IF(SUM(G32:G44)&gt;0.01,1-EXP(-SUM(G32:G44)),SUM(G32:G44)),".")</f>
        <v>1</v>
      </c>
      <c r="K31" s="72">
        <f>IFERROR(IF(SUM(H32:H44)&gt;0.01,1-EXP(-SUM(H32:H44)),SUM(H32:H44)),".")</f>
        <v>1</v>
      </c>
      <c r="L31" s="72">
        <f>IFERROR(IF(SUM(I32:I44)&gt;0.01,1-EXP(-SUM(I32:I44)),SUM(I32:I44)),".")</f>
        <v>1</v>
      </c>
      <c r="M31" s="72">
        <f>IFERROR(IF(SUM(G32:I44)&gt;0.01,1-EXP(-SUM(G32:I44)),SUM(G32:I44)),".")</f>
        <v>1</v>
      </c>
      <c r="N31" s="53">
        <f>1/SUM(1/N32,1/N33,1/N34,1/N35,1/N36,1/N37,1/N38,1/N41,1/N44)</f>
        <v>5.3873490498467153E-9</v>
      </c>
      <c r="O31" s="53">
        <f>1/SUM(1/O32,1/O33,1/O34,1/O35,1/O36,1/O37,1/O38,1/O41,1/O44)</f>
        <v>1.5161206560856384E-7</v>
      </c>
      <c r="P31" s="53">
        <f>1/SUM(1/P32,1/P33,1/P34,1/P35,1/P36,1/P37,1/P38,1/P39,1/P40,1/P41,1/P42,1/P43)</f>
        <v>1.5830138135291565E-5</v>
      </c>
      <c r="Q31" s="54">
        <f>1/SUM(1/Q32,1/Q33,1/Q34,1/Q35,1/Q36,1/Q37,1/Q38,1/Q39,1/Q40,1/Q41,1/Q42,1/Q43,1/Q44)</f>
        <v>3.9009153283117263E-9</v>
      </c>
      <c r="R31" s="71"/>
      <c r="S31" s="71"/>
      <c r="T31" s="71"/>
      <c r="U31" s="72">
        <f>IFERROR(IF(SUM(R32:R44)&gt;0.01,1-EXP(-SUM(R32:R44)),SUM(R32:R44)),".")</f>
        <v>1</v>
      </c>
      <c r="V31" s="72">
        <f>IFERROR(IF(SUM(S32:S44)&gt;0.01,1-EXP(-SUM(S32:S44)),SUM(S32:S44)),".")</f>
        <v>1</v>
      </c>
      <c r="W31" s="72">
        <f>IFERROR(IF(SUM(T32:T44)&gt;0.01,1-EXP(-SUM(T32:T44)),SUM(T32:T44)),".")</f>
        <v>1</v>
      </c>
      <c r="X31" s="72">
        <f>IFERROR(IF(SUM(R32:T44)&gt;0.01,1-EXP(-SUM(R32:T44)),SUM(R32:T44)),".")</f>
        <v>1</v>
      </c>
      <c r="Y31" s="53">
        <f t="shared" ref="Y31:AC31" si="11">1/SUM(1/Y32,1/Y33,1/Y34,1/Y35,1/Y36,1/Y37,1/Y38,1/Y39,1/Y40,1/Y41,1/Y42,1/Y43)</f>
        <v>1.5830138135291565E-5</v>
      </c>
      <c r="Z31" s="53">
        <f t="shared" si="11"/>
        <v>2.9254739663590391E-5</v>
      </c>
      <c r="AA31" s="53">
        <f t="shared" si="11"/>
        <v>2.0669999225221915E-5</v>
      </c>
      <c r="AB31" s="53">
        <f t="shared" si="11"/>
        <v>1.7956401677147793E-5</v>
      </c>
      <c r="AC31" s="53">
        <f t="shared" si="11"/>
        <v>6.1803173960821962E-5</v>
      </c>
      <c r="AD31" s="71"/>
      <c r="AE31" s="63"/>
      <c r="AF31" s="63"/>
      <c r="AG31" s="63"/>
      <c r="AH31" s="63"/>
      <c r="AI31" s="72">
        <f>IFERROR(IF(SUM(AD32:AD44)&gt;0.01,1-EXP(-SUM(AD32:AD44)),SUM(AD32:AD44)),".")</f>
        <v>1</v>
      </c>
      <c r="AJ31" s="72">
        <f t="shared" ref="AJ31:AM31" si="12">IFERROR(IF(SUM(AE32:AE44)&gt;0.01,1-EXP(-SUM(AE32:AE44)),SUM(AE32:AE44)),".")</f>
        <v>1</v>
      </c>
      <c r="AK31" s="72">
        <f t="shared" si="12"/>
        <v>1</v>
      </c>
      <c r="AL31" s="72">
        <f t="shared" si="12"/>
        <v>1</v>
      </c>
      <c r="AM31" s="72">
        <f t="shared" si="12"/>
        <v>1</v>
      </c>
      <c r="AN31" s="53">
        <f>1/SUM(1/AN32,1/AN33,1/AN34,1/AN35,1/AN36,1/AN37,1/AN38,1/AN41,1/AN44)</f>
        <v>4.7408671638651103E-11</v>
      </c>
      <c r="AO31" s="53">
        <f t="shared" ref="AO31:AP31" si="13">1/SUM(1/AO32,1/AO33,1/AO34,1/AO35,1/AO36,1/AO37,1/AO38,1/AO39,1/AO40,1/AO41,1/AO42,1/AO43,1/AO44)</f>
        <v>1.9467250684187186E-7</v>
      </c>
      <c r="AP31" s="54">
        <f t="shared" si="13"/>
        <v>3.5550129079962005E-11</v>
      </c>
      <c r="AQ31" s="71"/>
      <c r="AR31" s="71"/>
      <c r="AS31" s="72">
        <f>IFERROR(IF(SUM(AQ32:AQ44)&gt;0.01,1-EXP(-SUM(AQ32:AQ44)),SUM(AQ32:AQ44)),".")</f>
        <v>1</v>
      </c>
      <c r="AT31" s="72">
        <f>IFERROR(IF(SUM(AR32:AR44)&gt;0.01,1-EXP(-SUM(AR32:AR44)),SUM(AR32:AR44)),".")</f>
        <v>1</v>
      </c>
      <c r="AU31" s="72">
        <f>IFERROR(IF(SUM(AQ32:AR44)&gt;0.01,1-EXP(-SUM(AQ32:AR44)),SUM(AQ32:AR44)),".")</f>
        <v>1</v>
      </c>
    </row>
    <row r="32" spans="1:47" x14ac:dyDescent="0.25">
      <c r="A32" s="55" t="s">
        <v>290</v>
      </c>
      <c r="B32" s="50">
        <v>1</v>
      </c>
      <c r="C32" s="56">
        <f>IFERROR(C3/$B32,0)</f>
        <v>4.848484848484848E-8</v>
      </c>
      <c r="D32" s="56">
        <f>IFERROR(D3/$B32,0)</f>
        <v>2.1694802535592706E-7</v>
      </c>
      <c r="E32" s="56">
        <f>IFERROR(E3/$B32,0)</f>
        <v>3.2537142857142869E-2</v>
      </c>
      <c r="F32" s="56">
        <f>IF(AND(C32&lt;&gt;0,D32&lt;&gt;0,E32&lt;&gt;0),1/((1/C32)+(1/D32)+(1/E32)),IF(AND(C32&lt;&gt;0,D32&lt;&gt;0,E32=0), 1/((1/C32)+(1/D32)),IF(AND(C32&lt;&gt;0,D32=0,E32&lt;&gt;0),1/((1/C32)+(1/E32)),IF(AND(C32=0,D32&lt;&gt;0,E32&lt;&gt;0),1/((1/D32)+(1/E32)),IF(AND(C32&lt;&gt;0,D32=0,E32=0),1/((1/C32)),IF(AND(C32=0,D32&lt;&gt;0,E32=0),1/((1/D32)),IF(AND(C32=0,D32=0,E32&lt;&gt;0),1/((1/E32)),IF(AND(C32=0,D32=0,E32=0),0))))))))</f>
        <v>3.9628397097519102E-8</v>
      </c>
      <c r="G32" s="64">
        <f>IFERROR(up_RadSpec!$I$3*G3,".")*$B$32</f>
        <v>1145821.875</v>
      </c>
      <c r="H32" s="64">
        <f>IFERROR(up_RadSpec!$G$3*H3,".")*$B$32</f>
        <v>256075.15859550191</v>
      </c>
      <c r="I32" s="64">
        <f>IFERROR(up_RadSpec!$F$3*I3,".")*$B$32</f>
        <v>1.7074332630839473</v>
      </c>
      <c r="J32" s="73">
        <f t="shared" ref="J32:L44" si="14">IFERROR(IF(G32&gt;0.01,1-EXP(-G32),G32),".")</f>
        <v>1</v>
      </c>
      <c r="K32" s="73">
        <f t="shared" si="14"/>
        <v>1</v>
      </c>
      <c r="L32" s="73">
        <f t="shared" si="14"/>
        <v>0.81866937618161206</v>
      </c>
      <c r="M32" s="73">
        <f>IFERROR(IF(SUM(G32:I32)&gt;0.01,1-EXP(-SUM(G32:I32)),SUM(G32:I32)),".")</f>
        <v>1</v>
      </c>
      <c r="N32" s="56">
        <f>IFERROR(N3/$B32,0)</f>
        <v>4.848484848484848E-8</v>
      </c>
      <c r="O32" s="56">
        <f>IFERROR(O3/$B32,0)</f>
        <v>1.3644722035813288E-6</v>
      </c>
      <c r="P32" s="56">
        <f>IFERROR(P3/$B32,0)</f>
        <v>3.2537142857142869E-2</v>
      </c>
      <c r="Q32" s="56">
        <f>IF(AND(N32&lt;&gt;0,O32&lt;&gt;0,P32&lt;&gt;0),1/((1/N32)+(1/O32)+(1/P32)),IF(AND(N32&lt;&gt;0,O32&lt;&gt;0,P32=0), 1/((1/N32)+(1/O32)),IF(AND(N32&lt;&gt;0,O32=0,P32&lt;&gt;0),1/((1/N32)+(1/P32)),IF(AND(N32=0,O32&lt;&gt;0,P32&lt;&gt;0),1/((1/O32)+(1/P32)),IF(AND(N32&lt;&gt;0,O32=0,P32=0),1/((1/N32)),IF(AND(N32=0,O32&lt;&gt;0,P32=0),1/((1/O32)),IF(AND(N32=0,O32=0,P32&lt;&gt;0),1/((1/P32)),IF(AND(N32=0,O32=0,P32=0),0))))))))</f>
        <v>4.6821050050083942E-8</v>
      </c>
      <c r="R32" s="64">
        <f>IFERROR(up_RadSpec!$I$3*R3,".")*$B$32</f>
        <v>1145821.875</v>
      </c>
      <c r="S32" s="64">
        <f>IFERROR(up_RadSpec!$G$3*S3,".")*$B$32</f>
        <v>40715.376871866531</v>
      </c>
      <c r="T32" s="64">
        <f>IFERROR(up_RadSpec!$F$3*T3,".")*$B$32</f>
        <v>1.7074332630839473</v>
      </c>
      <c r="U32" s="73">
        <f t="shared" ref="U32:W44" si="15">IFERROR(IF(R32&gt;0.01,1-EXP(-R32),R32),".")</f>
        <v>1</v>
      </c>
      <c r="V32" s="73">
        <f t="shared" si="15"/>
        <v>1</v>
      </c>
      <c r="W32" s="73">
        <f t="shared" si="15"/>
        <v>0.81866937618161206</v>
      </c>
      <c r="X32" s="73">
        <f>IFERROR(IF(SUM(R32:T32)&gt;0.01,1-EXP(-SUM(R32:T32)),SUM(R32:T32)),".")</f>
        <v>1</v>
      </c>
      <c r="Y32" s="56">
        <f t="shared" ref="Y32:AO32" si="16">IFERROR(Y3/$B32,0)</f>
        <v>3.2537142857142869E-2</v>
      </c>
      <c r="Z32" s="56">
        <f t="shared" si="16"/>
        <v>4.5622390194075588E-2</v>
      </c>
      <c r="AA32" s="56">
        <f t="shared" si="16"/>
        <v>3.4588287292817675E-2</v>
      </c>
      <c r="AB32" s="56">
        <f t="shared" si="16"/>
        <v>3.5654202520643184E-2</v>
      </c>
      <c r="AC32" s="56">
        <f t="shared" si="16"/>
        <v>7.0734671963921428E-2</v>
      </c>
      <c r="AD32" s="64">
        <f>IFERROR(up_RadSpec!$F$3*AD3,".")*$B$32</f>
        <v>1.7074332630839473</v>
      </c>
      <c r="AE32" s="64">
        <f>IFERROR(up_RadSpec!$M$3*AE3,".")*$B$32</f>
        <v>1.2177134903206848</v>
      </c>
      <c r="AF32" s="64">
        <f>IFERROR(up_RadSpec!$N$3*AF3,".")*$B$32</f>
        <v>1.6061795581169491</v>
      </c>
      <c r="AG32" s="64">
        <f>IFERROR(up_RadSpec!$O$3*AG3,".")*$B$32</f>
        <v>1.5581613406676138</v>
      </c>
      <c r="AH32" s="64">
        <f>IFERROR(up_RadSpec!$K$3*AH3,".")*$B$32</f>
        <v>0.78539983939327651</v>
      </c>
      <c r="AI32" s="73">
        <f>IFERROR(IF(AD32&gt;0.01,1-EXP(-AD32),AD32),".")</f>
        <v>0.81866937618161206</v>
      </c>
      <c r="AJ32" s="73">
        <f t="shared" ref="AJ32:AM44" si="17">IFERROR(IF(AE32&gt;0.01,1-EXP(-AE32),AE32),".")</f>
        <v>0.70409401410281525</v>
      </c>
      <c r="AK32" s="73">
        <f t="shared" si="17"/>
        <v>0.79934726629522646</v>
      </c>
      <c r="AL32" s="73">
        <f t="shared" si="17"/>
        <v>0.78947720473289296</v>
      </c>
      <c r="AM32" s="73">
        <f t="shared" si="17"/>
        <v>0.54406263638376351</v>
      </c>
      <c r="AN32" s="56">
        <f t="shared" si="16"/>
        <v>4.2666666666666664E-10</v>
      </c>
      <c r="AO32" s="56">
        <f t="shared" si="16"/>
        <v>2.3359999999999997E-6</v>
      </c>
      <c r="AP32" s="56">
        <f>IFERROR(IF(AND(AN32&lt;&gt;0,AO32&lt;&gt;0),1/((1/AN32)+(1/AO32)),IF(AND(AN32&lt;&gt;0,AO32=0),1/((1/AN32)),IF(AND(AN32=0,AO32&lt;&gt;0),1/((1/AO32)),IF(AND(AN32=0,AO32=0),0)))),0)</f>
        <v>4.2658875091307519E-10</v>
      </c>
      <c r="AQ32" s="64">
        <f>IFERROR(up_RadSpec!$G$3*AQ3,".")*$B$32</f>
        <v>130207031.25</v>
      </c>
      <c r="AR32" s="64">
        <f>IFERROR(up_RadSpec!$J$3*AR3,".")*$B$32</f>
        <v>23782.106164383556</v>
      </c>
      <c r="AS32" s="73">
        <f>IFERROR(IF(AQ32&gt;0.01,1-EXP(-AQ32),AQ32),".")</f>
        <v>1</v>
      </c>
      <c r="AT32" s="73">
        <f>IFERROR(IF(AR32&gt;0.01,1-EXP(-AR32),AR32),".")</f>
        <v>1</v>
      </c>
      <c r="AU32" s="73">
        <f>IFERROR(IF(SUM(AQ32:AR32)&gt;0.01,1-EXP(-SUM(AQ32:AR32)),SUM(AQ32:AR32)),".")</f>
        <v>1</v>
      </c>
    </row>
    <row r="33" spans="1:47" x14ac:dyDescent="0.25">
      <c r="A33" s="55" t="s">
        <v>291</v>
      </c>
      <c r="B33" s="50">
        <v>1</v>
      </c>
      <c r="C33" s="56">
        <f t="shared" ref="C33:E34" si="18">IFERROR(C13/$B33,0)</f>
        <v>4.848484848484848E-8</v>
      </c>
      <c r="D33" s="56">
        <f t="shared" si="18"/>
        <v>2.1694802535592706E-7</v>
      </c>
      <c r="E33" s="56">
        <f t="shared" si="18"/>
        <v>8.0359573132454535E-4</v>
      </c>
      <c r="F33" s="56">
        <f>IF(AND(C33&lt;&gt;0,D33&lt;&gt;0,E33&lt;&gt;0),1/((1/C33)+(1/D33)+(1/E33)),IF(AND(C33&lt;&gt;0,D33&lt;&gt;0,E33=0), 1/((1/C33)+(1/D33)),IF(AND(C33&lt;&gt;0,D33=0,E33&lt;&gt;0),1/((1/C33)+(1/E33)),IF(AND(C33=0,D33&lt;&gt;0,E33&lt;&gt;0),1/((1/D33)+(1/E33)),IF(AND(C33&lt;&gt;0,D33=0,E33=0),1/((1/C33)),IF(AND(C33=0,D33&lt;&gt;0,E33=0),1/((1/D33)),IF(AND(C33=0,D33=0,E33&lt;&gt;0),1/((1/E33)),IF(AND(C33=0,D33=0,E33=0),0))))))))</f>
        <v>3.9626491225607968E-8</v>
      </c>
      <c r="G33" s="64">
        <f>IFERROR(up_RadSpec!$I$13*G13,".")*$B$33</f>
        <v>1145821.875</v>
      </c>
      <c r="H33" s="64">
        <f>IFERROR(up_RadSpec!$G$13*H13,".")*$B$33</f>
        <v>256075.15859550191</v>
      </c>
      <c r="I33" s="64">
        <f>IFERROR(up_RadSpec!$F$13*I13,".")*$B$33</f>
        <v>69.133020291720769</v>
      </c>
      <c r="J33" s="73">
        <f t="shared" si="14"/>
        <v>1</v>
      </c>
      <c r="K33" s="73">
        <f t="shared" si="14"/>
        <v>1</v>
      </c>
      <c r="L33" s="73">
        <f t="shared" si="14"/>
        <v>1</v>
      </c>
      <c r="M33" s="73">
        <f t="shared" ref="M33:M44" si="19">IFERROR(IF(SUM(G33:I33)&gt;0.01,1-EXP(-SUM(G33:I33)),SUM(G33:I33)),".")</f>
        <v>1</v>
      </c>
      <c r="N33" s="56">
        <f t="shared" ref="N33:P34" si="20">IFERROR(N13/$B33,0)</f>
        <v>4.848484848484848E-8</v>
      </c>
      <c r="O33" s="56">
        <f t="shared" si="20"/>
        <v>1.3644722035813288E-6</v>
      </c>
      <c r="P33" s="56">
        <f t="shared" si="20"/>
        <v>8.0359573132454535E-4</v>
      </c>
      <c r="Q33" s="56">
        <f>IF(AND(N33&lt;&gt;0,O33&lt;&gt;0,P33&lt;&gt;0),1/((1/N33)+(1/O33)+(1/P33)),IF(AND(N33&lt;&gt;0,O33&lt;&gt;0,P33=0), 1/((1/N33)+(1/O33)),IF(AND(N33&lt;&gt;0,O33=0,P33&lt;&gt;0),1/((1/N33)+(1/P33)),IF(AND(N33=0,O33&lt;&gt;0,P33&lt;&gt;0),1/((1/O33)+(1/P33)),IF(AND(N33&lt;&gt;0,O33=0,P33=0),1/((1/N33)),IF(AND(N33=0,O33&lt;&gt;0,P33=0),1/((1/O33)),IF(AND(N33=0,O33=0,P33&lt;&gt;0),1/((1/P33)),IF(AND(N33=0,O33=0,P33=0),0))))))))</f>
        <v>4.6818389574946507E-8</v>
      </c>
      <c r="R33" s="64">
        <f>IFERROR(up_RadSpec!$I$13*R13,".")*$B$33</f>
        <v>1145821.875</v>
      </c>
      <c r="S33" s="64">
        <f>IFERROR(up_RadSpec!$G$13*S13,".")*$B$33</f>
        <v>40715.376871866531</v>
      </c>
      <c r="T33" s="64">
        <f>IFERROR(up_RadSpec!$F$13*T13,".")*$B$33</f>
        <v>69.133020291720769</v>
      </c>
      <c r="U33" s="73">
        <f t="shared" si="15"/>
        <v>1</v>
      </c>
      <c r="V33" s="73">
        <f t="shared" si="15"/>
        <v>1</v>
      </c>
      <c r="W33" s="73">
        <f t="shared" si="15"/>
        <v>1</v>
      </c>
      <c r="X33" s="73">
        <f t="shared" ref="X33:X44" si="21">IFERROR(IF(SUM(R33:T33)&gt;0.01,1-EXP(-SUM(R33:T33)),SUM(R33:T33)),".")</f>
        <v>1</v>
      </c>
      <c r="Y33" s="56">
        <f t="shared" ref="Y33:AO34" si="22">IFERROR(Y13/$B33,0)</f>
        <v>8.0359573132454535E-4</v>
      </c>
      <c r="Z33" s="56">
        <f t="shared" si="22"/>
        <v>1.752466081404629E-3</v>
      </c>
      <c r="AA33" s="56">
        <f t="shared" si="22"/>
        <v>1.0411276948590377E-3</v>
      </c>
      <c r="AB33" s="56">
        <f t="shared" si="22"/>
        <v>8.594708051379719E-4</v>
      </c>
      <c r="AC33" s="56">
        <f t="shared" si="22"/>
        <v>1.6859523809523803E-2</v>
      </c>
      <c r="AD33" s="64">
        <f>IFERROR(up_RadSpec!$F$13*AD13,".")*$B$33</f>
        <v>69.133020291720769</v>
      </c>
      <c r="AE33" s="64">
        <f>IFERROR(up_RadSpec!$M$13*AE13,".")*$B$33</f>
        <v>31.701041514864464</v>
      </c>
      <c r="AF33" s="64">
        <f>IFERROR(up_RadSpec!$N$13*AF13,".")*$B$33</f>
        <v>53.360409366040152</v>
      </c>
      <c r="AG33" s="64">
        <f>IFERROR(up_RadSpec!$O$13*AG13,".")*$B$33</f>
        <v>64.638612117931899</v>
      </c>
      <c r="AH33" s="64">
        <f>IFERROR(up_RadSpec!$K$13*AH13,".")*$B$33</f>
        <v>3.29517017370428</v>
      </c>
      <c r="AI33" s="73">
        <f t="shared" ref="AI33:AI44" si="23">IFERROR(IF(AD33&gt;0.01,1-EXP(-AD33),AD33),".")</f>
        <v>1</v>
      </c>
      <c r="AJ33" s="73">
        <f t="shared" si="17"/>
        <v>0.9999999999999829</v>
      </c>
      <c r="AK33" s="73">
        <f t="shared" si="17"/>
        <v>1</v>
      </c>
      <c r="AL33" s="73">
        <f t="shared" si="17"/>
        <v>1</v>
      </c>
      <c r="AM33" s="73">
        <f t="shared" si="17"/>
        <v>0.96293826242263858</v>
      </c>
      <c r="AN33" s="56">
        <f t="shared" si="22"/>
        <v>4.2666666666666664E-10</v>
      </c>
      <c r="AO33" s="56">
        <f t="shared" si="22"/>
        <v>2.3359999999999997E-6</v>
      </c>
      <c r="AP33" s="56">
        <f t="shared" ref="AP33:AP44" si="24">IFERROR(IF(AND(AN33&lt;&gt;0,AO33&lt;&gt;0),1/((1/AN33)+(1/AO33)),IF(AND(AN33&lt;&gt;0,AO33=0),1/((1/AN33)),IF(AND(AN33=0,AO33&lt;&gt;0),1/((1/AO33)),IF(AND(AN33=0,AO33=0),0)))),0)</f>
        <v>4.2658875091307519E-10</v>
      </c>
      <c r="AQ33" s="64">
        <f>IFERROR(up_RadSpec!$G$13*AQ13,".")*$B$33</f>
        <v>130207031.25</v>
      </c>
      <c r="AR33" s="64">
        <f>IFERROR(up_RadSpec!$J$13*AR13,".")*$B$33</f>
        <v>23782.106164383556</v>
      </c>
      <c r="AS33" s="73">
        <f t="shared" ref="AS33:AT44" si="25">IFERROR(IF(AQ33&gt;0.01,1-EXP(-AQ33),AQ33),".")</f>
        <v>1</v>
      </c>
      <c r="AT33" s="73">
        <f t="shared" si="25"/>
        <v>1</v>
      </c>
      <c r="AU33" s="73">
        <f t="shared" ref="AU33:AU44" si="26">IFERROR(IF(SUM(AQ33:AR33)&gt;0.01,1-EXP(-SUM(AQ33:AR33)),SUM(AQ33:AR33)),".")</f>
        <v>1</v>
      </c>
    </row>
    <row r="34" spans="1:47" x14ac:dyDescent="0.25">
      <c r="A34" s="55" t="s">
        <v>292</v>
      </c>
      <c r="B34" s="50">
        <v>1</v>
      </c>
      <c r="C34" s="56">
        <f t="shared" si="18"/>
        <v>4.848484848484848E-8</v>
      </c>
      <c r="D34" s="56">
        <f t="shared" si="18"/>
        <v>2.1694802535592706E-7</v>
      </c>
      <c r="E34" s="56">
        <f t="shared" si="18"/>
        <v>1.2063359650429509E-4</v>
      </c>
      <c r="F34" s="56">
        <f>IF(AND(C34&lt;&gt;0,D34&lt;&gt;0,E34&lt;&gt;0),1/((1/C34)+(1/D34)+(1/E34)),IF(AND(C34&lt;&gt;0,D34&lt;&gt;0,E34=0), 1/((1/C34)+(1/D34)),IF(AND(C34&lt;&gt;0,D34=0,E34&lt;&gt;0),1/((1/C34)+(1/E34)),IF(AND(C34=0,D34&lt;&gt;0,E34&lt;&gt;0),1/((1/D34)+(1/E34)),IF(AND(C34&lt;&gt;0,D34=0,E34=0),1/((1/C34)),IF(AND(C34=0,D34&lt;&gt;0,E34=0),1/((1/D34)),IF(AND(C34=0,D34=0,E34&lt;&gt;0),1/((1/E34)),IF(AND(C34=0,D34=0,E34=0),0))))))))</f>
        <v>3.9615431591998271E-8</v>
      </c>
      <c r="G34" s="64">
        <f>IFERROR(up_RadSpec!$I$14*G14,".")*$B$34</f>
        <v>1145821.875</v>
      </c>
      <c r="H34" s="64">
        <f>IFERROR(up_RadSpec!$G$14*H14,".")*$B$33</f>
        <v>256075.15859550191</v>
      </c>
      <c r="I34" s="64">
        <f>IFERROR(up_RadSpec!$F$14*I14,".")*$B$33</f>
        <v>460.52676542742381</v>
      </c>
      <c r="J34" s="73">
        <f t="shared" si="14"/>
        <v>1</v>
      </c>
      <c r="K34" s="73">
        <f t="shared" si="14"/>
        <v>1</v>
      </c>
      <c r="L34" s="73">
        <f t="shared" si="14"/>
        <v>1</v>
      </c>
      <c r="M34" s="73">
        <f t="shared" si="19"/>
        <v>1</v>
      </c>
      <c r="N34" s="56">
        <f t="shared" si="20"/>
        <v>4.848484848484848E-8</v>
      </c>
      <c r="O34" s="56">
        <f t="shared" si="20"/>
        <v>1.3644722035813288E-6</v>
      </c>
      <c r="P34" s="56">
        <f t="shared" si="20"/>
        <v>1.2063359650429509E-4</v>
      </c>
      <c r="Q34" s="56">
        <f>IF(AND(N34&lt;&gt;0,O34&lt;&gt;0,P34&lt;&gt;0),1/((1/N34)+(1/O34)+(1/P34)),IF(AND(N34&lt;&gt;0,O34&lt;&gt;0,P34=0), 1/((1/N34)+(1/O34)),IF(AND(N34&lt;&gt;0,O34=0,P34&lt;&gt;0),1/((1/N34)+(1/P34)),IF(AND(N34=0,O34&lt;&gt;0,P34&lt;&gt;0),1/((1/O34)+(1/P34)),IF(AND(N34&lt;&gt;0,O34=0,P34=0),1/((1/N34)),IF(AND(N34=0,O34&lt;&gt;0,P34=0),1/((1/O34)),IF(AND(N34=0,O34=0,P34&lt;&gt;0),1/((1/P34)),IF(AND(N34=0,O34=0,P34=0),0))))))))</f>
        <v>4.6802951951416999E-8</v>
      </c>
      <c r="R34" s="64">
        <f>IFERROR(up_RadSpec!$I$14*R14,".")*$B$34</f>
        <v>1145821.875</v>
      </c>
      <c r="S34" s="64">
        <f>IFERROR(up_RadSpec!$G$14*S14,".")*$B$33</f>
        <v>40715.376871866531</v>
      </c>
      <c r="T34" s="64">
        <f>IFERROR(up_RadSpec!$F$14*T14,".")*$B$33</f>
        <v>460.52676542742381</v>
      </c>
      <c r="U34" s="73">
        <f t="shared" si="15"/>
        <v>1</v>
      </c>
      <c r="V34" s="73">
        <f t="shared" si="15"/>
        <v>1</v>
      </c>
      <c r="W34" s="73">
        <f t="shared" si="15"/>
        <v>1</v>
      </c>
      <c r="X34" s="73">
        <f t="shared" si="21"/>
        <v>1</v>
      </c>
      <c r="Y34" s="56">
        <f t="shared" si="22"/>
        <v>1.2063359650429509E-4</v>
      </c>
      <c r="Z34" s="56">
        <f t="shared" si="22"/>
        <v>2.1908308672888695E-4</v>
      </c>
      <c r="AA34" s="56">
        <f t="shared" si="22"/>
        <v>1.6197769068435343E-4</v>
      </c>
      <c r="AB34" s="56">
        <f t="shared" si="22"/>
        <v>1.4194050165273187E-4</v>
      </c>
      <c r="AC34" s="56">
        <f t="shared" si="22"/>
        <v>6.1130081300813017E-4</v>
      </c>
      <c r="AD34" s="64">
        <f>IFERROR(up_RadSpec!$F$14*AD14,".")*$B$33</f>
        <v>460.52676542742381</v>
      </c>
      <c r="AE34" s="64">
        <f>IFERROR(up_RadSpec!$M$14*AE14,".")*$B$33</f>
        <v>253.57959315567211</v>
      </c>
      <c r="AF34" s="64">
        <f>IFERROR(up_RadSpec!$N$14*AF14,".")*$B$33</f>
        <v>342.9793310750444</v>
      </c>
      <c r="AG34" s="64">
        <f>IFERROR(up_RadSpec!$O$14*AG14,".")*$B$33</f>
        <v>391.39639041095876</v>
      </c>
      <c r="AH34" s="64">
        <f>IFERROR(up_RadSpec!$K$14*AH14,".")*$B$33</f>
        <v>90.879970740789972</v>
      </c>
      <c r="AI34" s="73">
        <f t="shared" si="23"/>
        <v>1</v>
      </c>
      <c r="AJ34" s="73">
        <f t="shared" si="17"/>
        <v>1</v>
      </c>
      <c r="AK34" s="73">
        <f t="shared" si="17"/>
        <v>1</v>
      </c>
      <c r="AL34" s="73">
        <f t="shared" si="17"/>
        <v>1</v>
      </c>
      <c r="AM34" s="73">
        <f t="shared" si="17"/>
        <v>1</v>
      </c>
      <c r="AN34" s="56">
        <f t="shared" si="22"/>
        <v>4.2666666666666664E-10</v>
      </c>
      <c r="AO34" s="56">
        <f t="shared" si="22"/>
        <v>2.3359999999999997E-6</v>
      </c>
      <c r="AP34" s="56">
        <f t="shared" si="24"/>
        <v>4.2658875091307519E-10</v>
      </c>
      <c r="AQ34" s="64">
        <f>IFERROR(up_RadSpec!$G$14*AQ14,".")*$B$33</f>
        <v>130207031.25</v>
      </c>
      <c r="AR34" s="64">
        <f>IFERROR(up_RadSpec!$J$14*AR14,".")*$B$33</f>
        <v>23782.106164383556</v>
      </c>
      <c r="AS34" s="73">
        <f t="shared" si="25"/>
        <v>1</v>
      </c>
      <c r="AT34" s="73">
        <f t="shared" si="25"/>
        <v>1</v>
      </c>
      <c r="AU34" s="73">
        <f t="shared" si="26"/>
        <v>1</v>
      </c>
    </row>
    <row r="35" spans="1:47" x14ac:dyDescent="0.25">
      <c r="A35" s="55" t="s">
        <v>293</v>
      </c>
      <c r="B35" s="50">
        <v>1</v>
      </c>
      <c r="C35" s="56">
        <f>IFERROR(C30/$B35,0)</f>
        <v>4.848484848484848E-8</v>
      </c>
      <c r="D35" s="56">
        <f>IFERROR(D30/$B35,0)</f>
        <v>2.1694802535592706E-7</v>
      </c>
      <c r="E35" s="56">
        <f>IFERROR(E30/$B35,0)</f>
        <v>3.8933333333333327E-4</v>
      </c>
      <c r="F35" s="56">
        <f t="shared" ref="F35:F61" si="27">IF(AND(C35&lt;&gt;0,D35&lt;&gt;0,E35&lt;&gt;0),1/((1/C35)+(1/D35)+(1/E35)),IF(AND(C35&lt;&gt;0,D35&lt;&gt;0,E35=0), 1/((1/C35)+(1/D35)),IF(AND(C35&lt;&gt;0,D35=0,E35&lt;&gt;0),1/((1/C35)+(1/E35)),IF(AND(C35=0,D35&lt;&gt;0,E35&lt;&gt;0),1/((1/D35)+(1/E35)),IF(AND(C35&lt;&gt;0,D35=0,E35=0),1/((1/C35)),IF(AND(C35=0,D35&lt;&gt;0,E35=0),1/((1/D35)),IF(AND(C35=0,D35=0,E35&lt;&gt;0),1/((1/E35)),IF(AND(C35=0,D35=0,E35=0),0))))))))</f>
        <v>3.962441217645482E-8</v>
      </c>
      <c r="G35" s="64">
        <f>IFERROR(up_RadSpec!$I$30*G30,".")*$B$35</f>
        <v>1145821.875</v>
      </c>
      <c r="H35" s="64">
        <f>IFERROR(up_RadSpec!$G$30*H30,".")*$B$35</f>
        <v>256075.15859550191</v>
      </c>
      <c r="I35" s="64">
        <f>IFERROR(up_RadSpec!$F$30*I30,".")*$B$35</f>
        <v>142.69263698630135</v>
      </c>
      <c r="J35" s="73">
        <f t="shared" si="14"/>
        <v>1</v>
      </c>
      <c r="K35" s="73">
        <f t="shared" si="14"/>
        <v>1</v>
      </c>
      <c r="L35" s="73">
        <f t="shared" si="14"/>
        <v>1</v>
      </c>
      <c r="M35" s="73">
        <f t="shared" si="19"/>
        <v>1</v>
      </c>
      <c r="N35" s="56">
        <f>IFERROR(N30/$B35,0)</f>
        <v>4.848484848484848E-8</v>
      </c>
      <c r="O35" s="56">
        <f>IFERROR(O30/$B35,0)</f>
        <v>1.3644722035813288E-6</v>
      </c>
      <c r="P35" s="56">
        <f>IFERROR(P30/$B35,0)</f>
        <v>3.8933333333333327E-4</v>
      </c>
      <c r="Q35" s="56">
        <f t="shared" ref="Q35:Q44" si="28">IF(AND(N35&lt;&gt;0,O35&lt;&gt;0,P35&lt;&gt;0),1/((1/N35)+(1/O35)+(1/P35)),IF(AND(N35&lt;&gt;0,O35&lt;&gt;0,P35=0), 1/((1/N35)+(1/O35)),IF(AND(N35&lt;&gt;0,O35=0,P35&lt;&gt;0),1/((1/N35)+(1/P35)),IF(AND(N35=0,O35&lt;&gt;0,P35&lt;&gt;0),1/((1/O35)+(1/P35)),IF(AND(N35&lt;&gt;0,O35=0,P35=0),1/((1/N35)),IF(AND(N35=0,O35&lt;&gt;0,P35=0),1/((1/O35)),IF(AND(N35=0,O35=0,P35&lt;&gt;0),1/((1/P35)),IF(AND(N35=0,O35=0,P35=0),0))))))))</f>
        <v>4.6815487408437903E-8</v>
      </c>
      <c r="R35" s="64">
        <f>IFERROR(up_RadSpec!$I$30*R30,".")*$B$35</f>
        <v>1145821.875</v>
      </c>
      <c r="S35" s="64">
        <f>IFERROR(up_RadSpec!$G$30*S30,".")*$B$35</f>
        <v>40715.376871866531</v>
      </c>
      <c r="T35" s="64">
        <f>IFERROR(up_RadSpec!$F$30*T30,".")*$B$35</f>
        <v>142.69263698630135</v>
      </c>
      <c r="U35" s="73">
        <f t="shared" si="15"/>
        <v>1</v>
      </c>
      <c r="V35" s="73">
        <f t="shared" si="15"/>
        <v>1</v>
      </c>
      <c r="W35" s="73">
        <f t="shared" si="15"/>
        <v>1</v>
      </c>
      <c r="X35" s="73">
        <f t="shared" si="21"/>
        <v>1</v>
      </c>
      <c r="Y35" s="56">
        <f t="shared" ref="Y35:AO35" si="29">IFERROR(Y30/$B35,0)</f>
        <v>3.8933333333333327E-4</v>
      </c>
      <c r="Z35" s="56">
        <f t="shared" si="29"/>
        <v>1.9073319587628859E-3</v>
      </c>
      <c r="AA35" s="56">
        <f t="shared" si="29"/>
        <v>6.8733766233766193E-4</v>
      </c>
      <c r="AB35" s="56">
        <f t="shared" si="29"/>
        <v>5.1161969439728376E-4</v>
      </c>
      <c r="AC35" s="56">
        <f t="shared" si="29"/>
        <v>4.6719999999999991E-2</v>
      </c>
      <c r="AD35" s="64">
        <f>IFERROR(up_RadSpec!$F$30*AD30,".")*$B$35</f>
        <v>142.69263698630135</v>
      </c>
      <c r="AE35" s="64">
        <f>IFERROR(up_RadSpec!$M$30*AE30,".")*$B$35</f>
        <v>29.127074469005123</v>
      </c>
      <c r="AF35" s="64">
        <f>IFERROR(up_RadSpec!$N$30*AF30,".")*$B$35</f>
        <v>80.826358053849802</v>
      </c>
      <c r="AG35" s="64">
        <f>IFERROR(up_RadSpec!$O$30*AG30,".")*$B$35</f>
        <v>108.5865157428055</v>
      </c>
      <c r="AH35" s="64">
        <f>IFERROR(up_RadSpec!$K$30*AH30,".")*$B$35</f>
        <v>1.189105308219178</v>
      </c>
      <c r="AI35" s="73">
        <f t="shared" si="23"/>
        <v>1</v>
      </c>
      <c r="AJ35" s="73">
        <f t="shared" si="17"/>
        <v>0.99999999999977596</v>
      </c>
      <c r="AK35" s="73">
        <f t="shared" si="17"/>
        <v>1</v>
      </c>
      <c r="AL35" s="73">
        <f t="shared" si="17"/>
        <v>1</v>
      </c>
      <c r="AM35" s="73">
        <f t="shared" si="17"/>
        <v>0.69550642987195122</v>
      </c>
      <c r="AN35" s="56">
        <f t="shared" si="29"/>
        <v>4.2666666666666664E-10</v>
      </c>
      <c r="AO35" s="56">
        <f t="shared" si="29"/>
        <v>2.3359999999999997E-6</v>
      </c>
      <c r="AP35" s="56">
        <f t="shared" si="24"/>
        <v>4.2658875091307519E-10</v>
      </c>
      <c r="AQ35" s="64">
        <f>IFERROR(up_RadSpec!$G$30*AQ30,".")*$B$35</f>
        <v>130207031.25</v>
      </c>
      <c r="AR35" s="64">
        <f>IFERROR(up_RadSpec!$J$30*AR30,".")*$B$35</f>
        <v>23782.106164383556</v>
      </c>
      <c r="AS35" s="73">
        <f t="shared" si="25"/>
        <v>1</v>
      </c>
      <c r="AT35" s="73">
        <f t="shared" si="25"/>
        <v>1</v>
      </c>
      <c r="AU35" s="73">
        <f t="shared" si="26"/>
        <v>1</v>
      </c>
    </row>
    <row r="36" spans="1:47" x14ac:dyDescent="0.25">
      <c r="A36" s="55" t="s">
        <v>294</v>
      </c>
      <c r="B36" s="50">
        <v>1</v>
      </c>
      <c r="C36" s="56">
        <f>IFERROR(C26/$B36,0)</f>
        <v>4.848484848484848E-8</v>
      </c>
      <c r="D36" s="56">
        <f>IFERROR(D26/$B36,0)</f>
        <v>2.1694802535592706E-7</v>
      </c>
      <c r="E36" s="56">
        <f>IFERROR(E26/$B36,0)</f>
        <v>4.0919727891156445E-4</v>
      </c>
      <c r="F36" s="56">
        <f t="shared" si="27"/>
        <v>3.9624607943236994E-8</v>
      </c>
      <c r="G36" s="64">
        <f>IFERROR(up_RadSpec!$I$26*G26,".")*$B$37</f>
        <v>1145821.875</v>
      </c>
      <c r="H36" s="64">
        <f>IFERROR(up_RadSpec!$G$26*H26,".")*$B$37</f>
        <v>256075.15859550191</v>
      </c>
      <c r="I36" s="64">
        <f>IFERROR(up_RadSpec!$F$26*I26,".")*$B$37</f>
        <v>135.76580994813145</v>
      </c>
      <c r="J36" s="73">
        <f t="shared" si="14"/>
        <v>1</v>
      </c>
      <c r="K36" s="73">
        <f t="shared" si="14"/>
        <v>1</v>
      </c>
      <c r="L36" s="73">
        <f t="shared" si="14"/>
        <v>1</v>
      </c>
      <c r="M36" s="73">
        <f t="shared" si="19"/>
        <v>1</v>
      </c>
      <c r="N36" s="56">
        <f>IFERROR(N26/$B36,0)</f>
        <v>4.848484848484848E-8</v>
      </c>
      <c r="O36" s="56">
        <f>IFERROR(O26/$B36,0)</f>
        <v>1.3644722035813288E-6</v>
      </c>
      <c r="P36" s="56">
        <f>IFERROR(P26/$B36,0)</f>
        <v>4.0919727891156445E-4</v>
      </c>
      <c r="Q36" s="56">
        <f t="shared" si="28"/>
        <v>4.681576067898434E-8</v>
      </c>
      <c r="R36" s="64">
        <f>IFERROR(up_RadSpec!$I$26*R26,".")*$B$37</f>
        <v>1145821.875</v>
      </c>
      <c r="S36" s="64">
        <f>IFERROR(up_RadSpec!$G$26*S26,".")*$B$37</f>
        <v>40715.376871866531</v>
      </c>
      <c r="T36" s="64">
        <f>IFERROR(up_RadSpec!$F$26*T26,".")*$B$37</f>
        <v>135.76580994813145</v>
      </c>
      <c r="U36" s="73">
        <f t="shared" si="15"/>
        <v>1</v>
      </c>
      <c r="V36" s="73">
        <f t="shared" si="15"/>
        <v>1</v>
      </c>
      <c r="W36" s="73">
        <f t="shared" si="15"/>
        <v>1</v>
      </c>
      <c r="X36" s="73">
        <f t="shared" si="21"/>
        <v>1</v>
      </c>
      <c r="Y36" s="56">
        <f t="shared" ref="Y36:AO36" si="30">IFERROR(Y26/$B36,0)</f>
        <v>4.0919727891156445E-4</v>
      </c>
      <c r="Z36" s="56">
        <f t="shared" si="30"/>
        <v>7.4709308966304977E-4</v>
      </c>
      <c r="AA36" s="56">
        <f t="shared" si="30"/>
        <v>5.3998484210526299E-4</v>
      </c>
      <c r="AB36" s="56">
        <f t="shared" si="30"/>
        <v>4.6189090909090879E-4</v>
      </c>
      <c r="AC36" s="56">
        <f t="shared" si="30"/>
        <v>4.3544594207054789E-3</v>
      </c>
      <c r="AD36" s="64">
        <f>IFERROR(up_RadSpec!$F$26*AD26,".")*$B$37</f>
        <v>135.76580994813145</v>
      </c>
      <c r="AE36" s="64">
        <f>IFERROR(up_RadSpec!$M$26*AE26,".")*$B$37</f>
        <v>74.361549810420712</v>
      </c>
      <c r="AF36" s="64">
        <f>IFERROR(up_RadSpec!$N$26*AF26,".")*$B$37</f>
        <v>102.88251755994713</v>
      </c>
      <c r="AG36" s="64">
        <f>IFERROR(up_RadSpec!$O$26*AG26,".")*$B$37</f>
        <v>120.27731853251461</v>
      </c>
      <c r="AH36" s="64">
        <f>IFERROR(up_RadSpec!$K$26*AH26,".")*$B$37</f>
        <v>12.758185260800836</v>
      </c>
      <c r="AI36" s="73">
        <f t="shared" si="23"/>
        <v>1</v>
      </c>
      <c r="AJ36" s="73">
        <f t="shared" si="17"/>
        <v>1</v>
      </c>
      <c r="AK36" s="73">
        <f t="shared" si="17"/>
        <v>1</v>
      </c>
      <c r="AL36" s="73">
        <f t="shared" si="17"/>
        <v>1</v>
      </c>
      <c r="AM36" s="73">
        <f t="shared" si="17"/>
        <v>0.99999712133887997</v>
      </c>
      <c r="AN36" s="56">
        <f t="shared" si="30"/>
        <v>4.2666666666666664E-10</v>
      </c>
      <c r="AO36" s="56">
        <f t="shared" si="30"/>
        <v>2.3359999999999997E-6</v>
      </c>
      <c r="AP36" s="56">
        <f t="shared" si="24"/>
        <v>4.2658875091307519E-10</v>
      </c>
      <c r="AQ36" s="64">
        <f>IFERROR(up_RadSpec!$G$26*AQ26,".")*$B$37</f>
        <v>130207031.25</v>
      </c>
      <c r="AR36" s="64">
        <f>IFERROR(up_RadSpec!$J$26*AR26,".")*$B$37</f>
        <v>23782.106164383556</v>
      </c>
      <c r="AS36" s="73">
        <f t="shared" si="25"/>
        <v>1</v>
      </c>
      <c r="AT36" s="73">
        <f t="shared" si="25"/>
        <v>1</v>
      </c>
      <c r="AU36" s="73">
        <f t="shared" si="26"/>
        <v>1</v>
      </c>
    </row>
    <row r="37" spans="1:47" x14ac:dyDescent="0.25">
      <c r="A37" s="55" t="s">
        <v>295</v>
      </c>
      <c r="B37" s="50">
        <v>1</v>
      </c>
      <c r="C37" s="56">
        <f>IFERROR(C22/$B37,0)</f>
        <v>4.848484848484848E-8</v>
      </c>
      <c r="D37" s="56">
        <f>IFERROR(D22/$B37,0)</f>
        <v>2.1694802535592706E-7</v>
      </c>
      <c r="E37" s="56">
        <f>IFERROR(E22/$B37,0)</f>
        <v>224.1806451612903</v>
      </c>
      <c r="F37" s="56">
        <f t="shared" si="27"/>
        <v>3.9628445355715869E-8</v>
      </c>
      <c r="G37" s="64">
        <f>IFERROR(up_RadSpec!$I$22*G22,".")*$B$37</f>
        <v>1145821.875</v>
      </c>
      <c r="H37" s="64">
        <f>IFERROR(up_RadSpec!$G$22*H22,".")*$B$37</f>
        <v>256075.15859550191</v>
      </c>
      <c r="I37" s="64">
        <f>IFERROR(up_RadSpec!$F$22*I22,".")*$B$37</f>
        <v>2.4781354322550927E-4</v>
      </c>
      <c r="J37" s="73">
        <f t="shared" si="14"/>
        <v>1</v>
      </c>
      <c r="K37" s="73">
        <f t="shared" si="14"/>
        <v>1</v>
      </c>
      <c r="L37" s="73">
        <f t="shared" si="14"/>
        <v>2.4781354322550927E-4</v>
      </c>
      <c r="M37" s="73">
        <f t="shared" si="19"/>
        <v>1</v>
      </c>
      <c r="N37" s="56">
        <f>IFERROR(N22/$B37,0)</f>
        <v>4.848484848484848E-8</v>
      </c>
      <c r="O37" s="56">
        <f>IFERROR(O22/$B37,0)</f>
        <v>1.3644722035813288E-6</v>
      </c>
      <c r="P37" s="56">
        <f>IFERROR(P22/$B37,0)</f>
        <v>224.1806451612903</v>
      </c>
      <c r="Q37" s="56">
        <f t="shared" si="28"/>
        <v>4.6821117416039145E-8</v>
      </c>
      <c r="R37" s="64">
        <f>IFERROR(up_RadSpec!$I$22*R22,".")*$B$37</f>
        <v>1145821.875</v>
      </c>
      <c r="S37" s="64">
        <f>IFERROR(up_RadSpec!$G$22*S22,".")*$B$37</f>
        <v>40715.376871866531</v>
      </c>
      <c r="T37" s="64">
        <f>IFERROR(up_RadSpec!$F$22*T22,".")*$B$37</f>
        <v>2.4781354322550927E-4</v>
      </c>
      <c r="U37" s="73">
        <f t="shared" si="15"/>
        <v>1</v>
      </c>
      <c r="V37" s="73">
        <f t="shared" si="15"/>
        <v>1</v>
      </c>
      <c r="W37" s="73">
        <f t="shared" si="15"/>
        <v>2.4781354322550927E-4</v>
      </c>
      <c r="X37" s="73">
        <f t="shared" si="21"/>
        <v>1</v>
      </c>
      <c r="Y37" s="56">
        <f t="shared" ref="Y37:AO37" si="31">IFERROR(Y22/$B37,0)</f>
        <v>224.1806451612903</v>
      </c>
      <c r="Z37" s="56">
        <f t="shared" si="31"/>
        <v>205.42137953579609</v>
      </c>
      <c r="AA37" s="56">
        <f t="shared" si="31"/>
        <v>157.81862446743759</v>
      </c>
      <c r="AB37" s="56">
        <f t="shared" si="31"/>
        <v>162.62777777777771</v>
      </c>
      <c r="AC37" s="56">
        <f t="shared" si="31"/>
        <v>1153.9567159051874</v>
      </c>
      <c r="AD37" s="64">
        <f>IFERROR(up_RadSpec!$F$22*AD22,".")*$B$37</f>
        <v>2.4781354322550927E-4</v>
      </c>
      <c r="AE37" s="64">
        <f>IFERROR(up_RadSpec!$M$22*AE22,".")*$B$37</f>
        <v>2.7044409946784108E-4</v>
      </c>
      <c r="AF37" s="64">
        <f>IFERROR(up_RadSpec!$N$22*AF22,".")*$B$37</f>
        <v>3.5201802187461427E-4</v>
      </c>
      <c r="AG37" s="64">
        <f>IFERROR(up_RadSpec!$O$22*AG22,".")*$B$37</f>
        <v>3.4160830799713054E-4</v>
      </c>
      <c r="AH37" s="64">
        <f>IFERROR(up_RadSpec!$K$22*AH22,".")*$B$37</f>
        <v>4.8143053577552534E-5</v>
      </c>
      <c r="AI37" s="73">
        <f t="shared" si="23"/>
        <v>2.4781354322550927E-4</v>
      </c>
      <c r="AJ37" s="73">
        <f t="shared" si="17"/>
        <v>2.7044409946784108E-4</v>
      </c>
      <c r="AK37" s="73">
        <f t="shared" si="17"/>
        <v>3.5201802187461427E-4</v>
      </c>
      <c r="AL37" s="73">
        <f t="shared" si="17"/>
        <v>3.4160830799713054E-4</v>
      </c>
      <c r="AM37" s="73">
        <f t="shared" si="17"/>
        <v>4.8143053577552534E-5</v>
      </c>
      <c r="AN37" s="56">
        <f t="shared" si="31"/>
        <v>4.2666666666666664E-10</v>
      </c>
      <c r="AO37" s="56">
        <f t="shared" si="31"/>
        <v>2.3359999999999997E-6</v>
      </c>
      <c r="AP37" s="56">
        <f t="shared" si="24"/>
        <v>4.2658875091307519E-10</v>
      </c>
      <c r="AQ37" s="64">
        <f>IFERROR(up_RadSpec!$G$22*AQ22,".")*$B$37</f>
        <v>130207031.25</v>
      </c>
      <c r="AR37" s="64">
        <f>IFERROR(up_RadSpec!$J$22*AR22,".")*$B$37</f>
        <v>23782.106164383556</v>
      </c>
      <c r="AS37" s="73">
        <f t="shared" si="25"/>
        <v>1</v>
      </c>
      <c r="AT37" s="73">
        <f t="shared" si="25"/>
        <v>1</v>
      </c>
      <c r="AU37" s="73">
        <f t="shared" si="26"/>
        <v>1</v>
      </c>
    </row>
    <row r="38" spans="1:47" x14ac:dyDescent="0.25">
      <c r="A38" s="55" t="s">
        <v>296</v>
      </c>
      <c r="B38" s="50">
        <v>1</v>
      </c>
      <c r="C38" s="56">
        <f>IFERROR(C2/$B38,0)</f>
        <v>4.848484848484848E-8</v>
      </c>
      <c r="D38" s="56">
        <f>IFERROR(D2/$B38,0)</f>
        <v>2.1694802535592706E-7</v>
      </c>
      <c r="E38" s="56">
        <f>IFERROR(E2/$B38,0)</f>
        <v>2.4800240601503755E-4</v>
      </c>
      <c r="F38" s="56">
        <f t="shared" si="27"/>
        <v>3.9622114122593566E-8</v>
      </c>
      <c r="G38" s="64">
        <f>IFERROR(up_RadSpec!$I$2*G2,".")*$B$38</f>
        <v>1145821.875</v>
      </c>
      <c r="H38" s="64">
        <f>IFERROR(up_RadSpec!$G$2*H2,".")*$B$38</f>
        <v>256075.15859550191</v>
      </c>
      <c r="I38" s="64">
        <f>IFERROR(up_RadSpec!$F$2*I2,".")*$B$38</f>
        <v>224.00992350304622</v>
      </c>
      <c r="J38" s="73">
        <f t="shared" si="14"/>
        <v>1</v>
      </c>
      <c r="K38" s="73">
        <f t="shared" si="14"/>
        <v>1</v>
      </c>
      <c r="L38" s="73">
        <f t="shared" si="14"/>
        <v>1</v>
      </c>
      <c r="M38" s="73">
        <f t="shared" si="19"/>
        <v>1</v>
      </c>
      <c r="N38" s="56">
        <f>IFERROR(N2/$B38,0)</f>
        <v>4.848484848484848E-8</v>
      </c>
      <c r="O38" s="56">
        <f>IFERROR(O2/$B38,0)</f>
        <v>1.3644722035813288E-6</v>
      </c>
      <c r="P38" s="56">
        <f>IFERROR(P2/$B38,0)</f>
        <v>2.4800240601503755E-4</v>
      </c>
      <c r="Q38" s="56">
        <f t="shared" si="28"/>
        <v>4.6812279595269777E-8</v>
      </c>
      <c r="R38" s="64">
        <f>IFERROR(up_RadSpec!$I$2*R2,".")*$B$38</f>
        <v>1145821.875</v>
      </c>
      <c r="S38" s="64">
        <f>IFERROR(up_RadSpec!$G$2*S2,".")*$B$38</f>
        <v>40715.376871866531</v>
      </c>
      <c r="T38" s="64">
        <f>IFERROR(up_RadSpec!$F$2*T2,".")*$B$38</f>
        <v>224.00992350304622</v>
      </c>
      <c r="U38" s="73">
        <f t="shared" si="15"/>
        <v>1</v>
      </c>
      <c r="V38" s="73">
        <f t="shared" si="15"/>
        <v>1</v>
      </c>
      <c r="W38" s="73">
        <f t="shared" si="15"/>
        <v>1</v>
      </c>
      <c r="X38" s="73">
        <f t="shared" si="21"/>
        <v>1</v>
      </c>
      <c r="Y38" s="56">
        <f t="shared" ref="Y38:AO38" si="32">IFERROR(Y2/$B38,0)</f>
        <v>2.4800240601503755E-4</v>
      </c>
      <c r="Z38" s="56">
        <f t="shared" si="32"/>
        <v>5.0144502617801027E-4</v>
      </c>
      <c r="AA38" s="56">
        <f t="shared" si="32"/>
        <v>3.4057570093457928E-4</v>
      </c>
      <c r="AB38" s="56">
        <f t="shared" si="32"/>
        <v>2.8309368191721128E-4</v>
      </c>
      <c r="AC38" s="56">
        <f t="shared" si="32"/>
        <v>3.9680945347119649E-3</v>
      </c>
      <c r="AD38" s="64">
        <f>IFERROR(up_RadSpec!$F$2*AD2,".")*$B$38</f>
        <v>224.00992350304622</v>
      </c>
      <c r="AE38" s="64">
        <f>IFERROR(up_RadSpec!$M$2*AE2,".")*$B$38</f>
        <v>110.78981164383563</v>
      </c>
      <c r="AF38" s="64">
        <f>IFERROR(up_RadSpec!$N$2*AF2,".")*$B$38</f>
        <v>163.12085638391295</v>
      </c>
      <c r="AG38" s="64">
        <f>IFERROR(up_RadSpec!$O$2*AG2,".")*$B$38</f>
        <v>196.24245805756505</v>
      </c>
      <c r="AH38" s="64">
        <f>IFERROR(up_RadSpec!$K$2*AH2,".")*$B$38</f>
        <v>14.000422498511016</v>
      </c>
      <c r="AI38" s="73">
        <f t="shared" si="23"/>
        <v>1</v>
      </c>
      <c r="AJ38" s="73">
        <f t="shared" si="17"/>
        <v>1</v>
      </c>
      <c r="AK38" s="73">
        <f t="shared" si="17"/>
        <v>1</v>
      </c>
      <c r="AL38" s="73">
        <f t="shared" si="17"/>
        <v>1</v>
      </c>
      <c r="AM38" s="73">
        <f t="shared" si="17"/>
        <v>0.99999916882252637</v>
      </c>
      <c r="AN38" s="56">
        <f t="shared" si="32"/>
        <v>4.2666666666666664E-10</v>
      </c>
      <c r="AO38" s="56">
        <f t="shared" si="32"/>
        <v>2.3359999999999997E-6</v>
      </c>
      <c r="AP38" s="56">
        <f t="shared" si="24"/>
        <v>4.2658875091307519E-10</v>
      </c>
      <c r="AQ38" s="64">
        <f>IFERROR(up_RadSpec!$G$2*AQ2,".")*$B$38</f>
        <v>130207031.25</v>
      </c>
      <c r="AR38" s="64">
        <f>IFERROR(up_RadSpec!$J$2*AR2,".")*$B$38</f>
        <v>23782.106164383556</v>
      </c>
      <c r="AS38" s="73">
        <f t="shared" si="25"/>
        <v>1</v>
      </c>
      <c r="AT38" s="73">
        <f t="shared" si="25"/>
        <v>1</v>
      </c>
      <c r="AU38" s="73">
        <f t="shared" si="26"/>
        <v>1</v>
      </c>
    </row>
    <row r="39" spans="1:47" x14ac:dyDescent="0.25">
      <c r="A39" s="55" t="s">
        <v>297</v>
      </c>
      <c r="B39" s="50">
        <v>1</v>
      </c>
      <c r="C39" s="56">
        <f>IFERROR(C11/$B39,0)</f>
        <v>4.848484848484848E-8</v>
      </c>
      <c r="D39" s="56">
        <f>IFERROR(D11/$B39,0)</f>
        <v>2.1694802535592706E-7</v>
      </c>
      <c r="E39" s="56">
        <f>IFERROR(E11/$B39,0)</f>
        <v>2.1819780219780213E-4</v>
      </c>
      <c r="F39" s="56">
        <f t="shared" si="27"/>
        <v>3.9621249467510728E-8</v>
      </c>
      <c r="G39" s="64">
        <f>IFERROR(up_RadSpec!$I$11*G11,".")*$B$39</f>
        <v>1145821.875</v>
      </c>
      <c r="H39" s="64">
        <f>IFERROR(up_RadSpec!$G$11*H11,".")*$B$39</f>
        <v>256075.15859550191</v>
      </c>
      <c r="I39" s="64">
        <f>IFERROR(up_RadSpec!$F$11*I11,".")*$B$39</f>
        <v>254.6084307010475</v>
      </c>
      <c r="J39" s="73">
        <f t="shared" si="14"/>
        <v>1</v>
      </c>
      <c r="K39" s="73">
        <f t="shared" si="14"/>
        <v>1</v>
      </c>
      <c r="L39" s="73">
        <f t="shared" si="14"/>
        <v>1</v>
      </c>
      <c r="M39" s="73">
        <f t="shared" si="19"/>
        <v>1</v>
      </c>
      <c r="N39" s="56">
        <f>IFERROR(N11/$B39,0)</f>
        <v>4.848484848484848E-8</v>
      </c>
      <c r="O39" s="56">
        <f>IFERROR(O11/$B39,0)</f>
        <v>1.3644722035813288E-6</v>
      </c>
      <c r="P39" s="56">
        <f>IFERROR(P11/$B39,0)</f>
        <v>2.1819780219780213E-4</v>
      </c>
      <c r="Q39" s="56">
        <f t="shared" si="28"/>
        <v>4.6811072655854307E-8</v>
      </c>
      <c r="R39" s="64">
        <f>IFERROR(up_RadSpec!$I$11*R11,".")*$B$39</f>
        <v>1145821.875</v>
      </c>
      <c r="S39" s="64">
        <f>IFERROR(up_RadSpec!$G$11*S11,".")*$B$39</f>
        <v>40715.376871866531</v>
      </c>
      <c r="T39" s="64">
        <f>IFERROR(up_RadSpec!$F$11*T11,".")*$B$39</f>
        <v>254.6084307010475</v>
      </c>
      <c r="U39" s="73">
        <f t="shared" si="15"/>
        <v>1</v>
      </c>
      <c r="V39" s="73">
        <f t="shared" si="15"/>
        <v>1</v>
      </c>
      <c r="W39" s="73">
        <f t="shared" si="15"/>
        <v>1</v>
      </c>
      <c r="X39" s="73">
        <f t="shared" si="21"/>
        <v>1</v>
      </c>
      <c r="Y39" s="56">
        <f t="shared" ref="Y39:AO39" si="33">IFERROR(Y11/$B39,0)</f>
        <v>2.1819780219780213E-4</v>
      </c>
      <c r="Z39" s="56">
        <f t="shared" si="33"/>
        <v>2.7609233610341645E-4</v>
      </c>
      <c r="AA39" s="56">
        <f t="shared" si="33"/>
        <v>2.1427338129496393E-4</v>
      </c>
      <c r="AB39" s="56">
        <f t="shared" si="33"/>
        <v>2.0410702341137126E-4</v>
      </c>
      <c r="AC39" s="56">
        <f t="shared" si="33"/>
        <v>5.1397959183673459E-4</v>
      </c>
      <c r="AD39" s="64">
        <f>IFERROR(up_RadSpec!$F$11*AD11,".")*$B$39</f>
        <v>254.6084307010475</v>
      </c>
      <c r="AE39" s="64">
        <f>IFERROR(up_RadSpec!$M$11*AE11,".")*$B$39</f>
        <v>201.21891387521401</v>
      </c>
      <c r="AF39" s="64">
        <f>IFERROR(up_RadSpec!$N$11*AF11,".")*$B$39</f>
        <v>259.27158877249531</v>
      </c>
      <c r="AG39" s="64">
        <f>IFERROR(up_RadSpec!$O$11*AG11,".")*$B$39</f>
        <v>272.18563610146151</v>
      </c>
      <c r="AH39" s="64">
        <f>IFERROR(up_RadSpec!$K$11*AH11,".")*$B$39</f>
        <v>108.08794917609687</v>
      </c>
      <c r="AI39" s="73">
        <f t="shared" si="23"/>
        <v>1</v>
      </c>
      <c r="AJ39" s="73">
        <f t="shared" si="17"/>
        <v>1</v>
      </c>
      <c r="AK39" s="73">
        <f t="shared" si="17"/>
        <v>1</v>
      </c>
      <c r="AL39" s="73">
        <f t="shared" si="17"/>
        <v>1</v>
      </c>
      <c r="AM39" s="73">
        <f t="shared" si="17"/>
        <v>1</v>
      </c>
      <c r="AN39" s="56">
        <f t="shared" si="33"/>
        <v>4.2666666666666664E-10</v>
      </c>
      <c r="AO39" s="56">
        <f t="shared" si="33"/>
        <v>2.3359999999999997E-6</v>
      </c>
      <c r="AP39" s="56">
        <f t="shared" si="24"/>
        <v>4.2658875091307519E-10</v>
      </c>
      <c r="AQ39" s="64">
        <f>IFERROR(up_RadSpec!$G$11*AQ11,".")*$B$39</f>
        <v>130207031.25</v>
      </c>
      <c r="AR39" s="64">
        <f>IFERROR(up_RadSpec!$J$11*AR11,".")*$B$39</f>
        <v>23782.106164383556</v>
      </c>
      <c r="AS39" s="73">
        <f t="shared" si="25"/>
        <v>1</v>
      </c>
      <c r="AT39" s="73">
        <f t="shared" si="25"/>
        <v>1</v>
      </c>
      <c r="AU39" s="73">
        <f t="shared" si="26"/>
        <v>1</v>
      </c>
    </row>
    <row r="40" spans="1:47" x14ac:dyDescent="0.25">
      <c r="A40" s="55" t="s">
        <v>298</v>
      </c>
      <c r="B40" s="50">
        <v>1</v>
      </c>
      <c r="C40" s="56">
        <f>IFERROR(C4/$B40,0)</f>
        <v>4.848484848484848E-8</v>
      </c>
      <c r="D40" s="56">
        <f>IFERROR(D4/$B40,0)</f>
        <v>2.1694802535592706E-7</v>
      </c>
      <c r="E40" s="56">
        <f>IFERROR(E4/$B40,0)</f>
        <v>1.2112592592592593E-4</v>
      </c>
      <c r="F40" s="56">
        <f t="shared" si="27"/>
        <v>3.9615484470576238E-8</v>
      </c>
      <c r="G40" s="64">
        <f>IFERROR(up_RadSpec!$I$4*G4,".")*$B$40</f>
        <v>1145821.875</v>
      </c>
      <c r="H40" s="64">
        <f>IFERROR(up_RadSpec!$G$4*H4,".")*$B$40</f>
        <v>256075.15859550191</v>
      </c>
      <c r="I40" s="64">
        <f>IFERROR(up_RadSpec!$F$4*I4,".")*$B$40</f>
        <v>458.65490459882574</v>
      </c>
      <c r="J40" s="73">
        <f t="shared" si="14"/>
        <v>1</v>
      </c>
      <c r="K40" s="73">
        <f t="shared" si="14"/>
        <v>1</v>
      </c>
      <c r="L40" s="73">
        <f t="shared" si="14"/>
        <v>1</v>
      </c>
      <c r="M40" s="73">
        <f t="shared" si="19"/>
        <v>1</v>
      </c>
      <c r="N40" s="56">
        <f>IFERROR(N4/$B40,0)</f>
        <v>4.848484848484848E-8</v>
      </c>
      <c r="O40" s="56">
        <f>IFERROR(O4/$B40,0)</f>
        <v>1.3644722035813288E-6</v>
      </c>
      <c r="P40" s="56">
        <f>IFERROR(P4/$B40,0)</f>
        <v>1.2112592592592593E-4</v>
      </c>
      <c r="Q40" s="56">
        <f t="shared" si="28"/>
        <v>4.6803025758421658E-8</v>
      </c>
      <c r="R40" s="64">
        <f>IFERROR(up_RadSpec!$I$4*R4,".")*$B$40</f>
        <v>1145821.875</v>
      </c>
      <c r="S40" s="64">
        <f>IFERROR(up_RadSpec!$G$4*S4,".")*$B$40</f>
        <v>40715.376871866531</v>
      </c>
      <c r="T40" s="64">
        <f>IFERROR(up_RadSpec!$F$4*T4,".")*$B$40</f>
        <v>458.65490459882574</v>
      </c>
      <c r="U40" s="73">
        <f t="shared" si="15"/>
        <v>1</v>
      </c>
      <c r="V40" s="73">
        <f t="shared" si="15"/>
        <v>1</v>
      </c>
      <c r="W40" s="73">
        <f t="shared" si="15"/>
        <v>1</v>
      </c>
      <c r="X40" s="73">
        <f t="shared" si="21"/>
        <v>1</v>
      </c>
      <c r="Y40" s="56">
        <f t="shared" ref="Y40:AO40" si="34">IFERROR(Y4/$B40,0)</f>
        <v>1.2112592592592593E-4</v>
      </c>
      <c r="Z40" s="56">
        <f t="shared" si="34"/>
        <v>1.9766153846153848E-4</v>
      </c>
      <c r="AA40" s="56">
        <f t="shared" si="34"/>
        <v>1.4219130434782603E-4</v>
      </c>
      <c r="AB40" s="56">
        <f t="shared" si="34"/>
        <v>1.2377701096541674E-4</v>
      </c>
      <c r="AC40" s="56">
        <f t="shared" si="34"/>
        <v>3.6503374942209872E-4</v>
      </c>
      <c r="AD40" s="64">
        <f>IFERROR(up_RadSpec!$F$4*AD4,".")*$B$40</f>
        <v>458.65490459882574</v>
      </c>
      <c r="AE40" s="64">
        <f>IFERROR(up_RadSpec!$M$4*AE4,".")*$B$40</f>
        <v>281.06125466998742</v>
      </c>
      <c r="AF40" s="64">
        <f>IFERROR(up_RadSpec!$N$4*AF4,".")*$B$40</f>
        <v>390.70602984344424</v>
      </c>
      <c r="AG40" s="64">
        <f>IFERROR(up_RadSpec!$O$4*AG4,".")*$B$40</f>
        <v>448.83132632377135</v>
      </c>
      <c r="AH40" s="64">
        <f>IFERROR(up_RadSpec!$K$4*AH4,".")*$B$40</f>
        <v>152.19140719988656</v>
      </c>
      <c r="AI40" s="73">
        <f t="shared" si="23"/>
        <v>1</v>
      </c>
      <c r="AJ40" s="73">
        <f t="shared" si="17"/>
        <v>1</v>
      </c>
      <c r="AK40" s="73">
        <f t="shared" si="17"/>
        <v>1</v>
      </c>
      <c r="AL40" s="73">
        <f t="shared" si="17"/>
        <v>1</v>
      </c>
      <c r="AM40" s="73">
        <f t="shared" si="17"/>
        <v>1</v>
      </c>
      <c r="AN40" s="56">
        <f t="shared" si="34"/>
        <v>4.2666666666666664E-10</v>
      </c>
      <c r="AO40" s="56">
        <f t="shared" si="34"/>
        <v>2.3359999999999997E-6</v>
      </c>
      <c r="AP40" s="56">
        <f t="shared" si="24"/>
        <v>4.2658875091307519E-10</v>
      </c>
      <c r="AQ40" s="64">
        <f>IFERROR(up_RadSpec!$G$4*AQ4,".")*$B$40</f>
        <v>130207031.25</v>
      </c>
      <c r="AR40" s="64">
        <f>IFERROR(up_RadSpec!$J$4*AR4,".")*$B$40</f>
        <v>23782.106164383556</v>
      </c>
      <c r="AS40" s="73">
        <f t="shared" si="25"/>
        <v>1</v>
      </c>
      <c r="AT40" s="73">
        <f t="shared" si="25"/>
        <v>1</v>
      </c>
      <c r="AU40" s="73">
        <f t="shared" si="26"/>
        <v>1</v>
      </c>
    </row>
    <row r="41" spans="1:47" x14ac:dyDescent="0.25">
      <c r="A41" s="55" t="s">
        <v>299</v>
      </c>
      <c r="B41" s="57">
        <v>0.99987999999999999</v>
      </c>
      <c r="C41" s="56">
        <f>IFERROR(C8/$B41,0)</f>
        <v>4.8490667364932271E-8</v>
      </c>
      <c r="D41" s="56">
        <f>IFERROR(D8/$B41,0)</f>
        <v>2.1697406224339628E-7</v>
      </c>
      <c r="E41" s="56">
        <f>IFERROR(E8/$B41,0)</f>
        <v>7.7445757579307339E-5</v>
      </c>
      <c r="F41" s="56">
        <f t="shared" si="27"/>
        <v>3.9612929259032554E-8</v>
      </c>
      <c r="G41" s="64">
        <f>IFERROR(up_RadSpec!$I$8*G8,".")*$B$41</f>
        <v>1145684.376375</v>
      </c>
      <c r="H41" s="64">
        <f>IFERROR(up_RadSpec!$G$8*H8,".")*$B$41</f>
        <v>256044.42957647046</v>
      </c>
      <c r="I41" s="64">
        <f>IFERROR(up_RadSpec!$F$8*I8,".")*$B$41</f>
        <v>717.34077806792186</v>
      </c>
      <c r="J41" s="73">
        <f t="shared" si="14"/>
        <v>1</v>
      </c>
      <c r="K41" s="73">
        <f t="shared" si="14"/>
        <v>1</v>
      </c>
      <c r="L41" s="73">
        <f t="shared" si="14"/>
        <v>1</v>
      </c>
      <c r="M41" s="73">
        <f t="shared" si="19"/>
        <v>1</v>
      </c>
      <c r="N41" s="56">
        <f>IFERROR(N8/$B41,0)</f>
        <v>4.8490667364932271E-8</v>
      </c>
      <c r="O41" s="56">
        <f>IFERROR(O8/$B41,0)</f>
        <v>1.3646359598965163E-6</v>
      </c>
      <c r="P41" s="56">
        <f>IFERROR(P8/$B41,0)</f>
        <v>7.7445757579307339E-5</v>
      </c>
      <c r="Q41" s="56">
        <f t="shared" si="28"/>
        <v>4.6798440465191356E-8</v>
      </c>
      <c r="R41" s="64">
        <f>IFERROR(up_RadSpec!$I$8*R8,".")*$B$41</f>
        <v>1145684.376375</v>
      </c>
      <c r="S41" s="64">
        <f>IFERROR(up_RadSpec!$G$8*S8,".")*$B$41</f>
        <v>40710.491026641903</v>
      </c>
      <c r="T41" s="64">
        <f>IFERROR(up_RadSpec!$F$8*T8,".")*$B$41</f>
        <v>717.34077806792186</v>
      </c>
      <c r="U41" s="73">
        <f t="shared" si="15"/>
        <v>1</v>
      </c>
      <c r="V41" s="73">
        <f t="shared" si="15"/>
        <v>1</v>
      </c>
      <c r="W41" s="73">
        <f t="shared" si="15"/>
        <v>1</v>
      </c>
      <c r="X41" s="73">
        <f t="shared" si="21"/>
        <v>1</v>
      </c>
      <c r="Y41" s="56">
        <f t="shared" ref="Y41:AO41" si="35">IFERROR(Y8/$B41,0)</f>
        <v>7.7445757579307339E-5</v>
      </c>
      <c r="Z41" s="56">
        <f t="shared" si="35"/>
        <v>1.4216716147925578E-4</v>
      </c>
      <c r="AA41" s="56">
        <f t="shared" si="35"/>
        <v>1.0376879743335698E-4</v>
      </c>
      <c r="AB41" s="56">
        <f t="shared" si="35"/>
        <v>9.5139607174426756E-5</v>
      </c>
      <c r="AC41" s="56">
        <f t="shared" si="35"/>
        <v>2.6341952980666396E-4</v>
      </c>
      <c r="AD41" s="64">
        <f>IFERROR(up_RadSpec!$F$8*AD8,".")*$B$41</f>
        <v>717.34077806792186</v>
      </c>
      <c r="AE41" s="64">
        <f>IFERROR(up_RadSpec!$M$8*AE8,".")*$B$41</f>
        <v>390.77237965468038</v>
      </c>
      <c r="AF41" s="64">
        <f>IFERROR(up_RadSpec!$N$8*AF8,".")*$B$41</f>
        <v>535.37288061643824</v>
      </c>
      <c r="AG41" s="64">
        <f>IFERROR(up_RadSpec!$O$8*AG8,".")*$B$41</f>
        <v>583.93135782184538</v>
      </c>
      <c r="AH41" s="64">
        <f>IFERROR(up_RadSpec!$K$8*AH8,".")*$B$41</f>
        <v>210.89932109731737</v>
      </c>
      <c r="AI41" s="73">
        <f t="shared" si="23"/>
        <v>1</v>
      </c>
      <c r="AJ41" s="73">
        <f t="shared" si="17"/>
        <v>1</v>
      </c>
      <c r="AK41" s="73">
        <f t="shared" si="17"/>
        <v>1</v>
      </c>
      <c r="AL41" s="73">
        <f t="shared" si="17"/>
        <v>1</v>
      </c>
      <c r="AM41" s="73">
        <f t="shared" si="17"/>
        <v>1</v>
      </c>
      <c r="AN41" s="56">
        <f t="shared" si="35"/>
        <v>4.2671787281140402E-10</v>
      </c>
      <c r="AO41" s="56">
        <f t="shared" si="35"/>
        <v>2.336280353642437E-6</v>
      </c>
      <c r="AP41" s="56">
        <f t="shared" si="24"/>
        <v>4.2663994770680002E-10</v>
      </c>
      <c r="AQ41" s="64">
        <f>IFERROR(up_RadSpec!$G$8*AQ8,".")*$B$41</f>
        <v>130191406.40625</v>
      </c>
      <c r="AR41" s="64">
        <f>IFERROR(up_RadSpec!$J$8*AR8,".")*$B$41</f>
        <v>23779.252311643831</v>
      </c>
      <c r="AS41" s="73">
        <f t="shared" si="25"/>
        <v>1</v>
      </c>
      <c r="AT41" s="73">
        <f t="shared" si="25"/>
        <v>1</v>
      </c>
      <c r="AU41" s="73">
        <f t="shared" si="26"/>
        <v>1</v>
      </c>
    </row>
    <row r="42" spans="1:47" x14ac:dyDescent="0.25">
      <c r="A42" s="55" t="s">
        <v>300</v>
      </c>
      <c r="B42" s="50">
        <v>0.97898250799999997</v>
      </c>
      <c r="C42" s="56">
        <f>IFERROR(C19/$B42,0)</f>
        <v>4.9525755658188408E-8</v>
      </c>
      <c r="D42" s="56">
        <f>IFERROR(D19/$B42,0)</f>
        <v>2.2160561969502224E-7</v>
      </c>
      <c r="E42" s="56">
        <f>IFERROR(E19/$B42,0)</f>
        <v>5.4756937953319643E-5</v>
      </c>
      <c r="F42" s="56">
        <f t="shared" si="27"/>
        <v>4.0449314714650407E-8</v>
      </c>
      <c r="G42" s="74">
        <f>IFERROR(up_RadSpec!$I$19*G19,".")*$B$42</f>
        <v>1121739.5729087624</v>
      </c>
      <c r="H42" s="74">
        <f>IFERROR(up_RadSpec!$G$19*H19,".")*$B$42</f>
        <v>250693.10099832222</v>
      </c>
      <c r="I42" s="74">
        <f>IFERROR(up_RadSpec!$F$19*I19,".")*$B$42</f>
        <v>1014.5746288326183</v>
      </c>
      <c r="J42" s="73">
        <f t="shared" si="14"/>
        <v>1</v>
      </c>
      <c r="K42" s="73">
        <f t="shared" si="14"/>
        <v>1</v>
      </c>
      <c r="L42" s="73">
        <f t="shared" si="14"/>
        <v>1</v>
      </c>
      <c r="M42" s="73">
        <f t="shared" si="19"/>
        <v>1</v>
      </c>
      <c r="N42" s="56">
        <f>IFERROR(N19/$B42,0)</f>
        <v>4.9525755658188408E-8</v>
      </c>
      <c r="O42" s="56">
        <f>IFERROR(O19/$B42,0)</f>
        <v>1.3937656622372754E-6</v>
      </c>
      <c r="P42" s="56">
        <f>IFERROR(P19/$B42,0)</f>
        <v>5.4756937953319643E-5</v>
      </c>
      <c r="Q42" s="56">
        <f t="shared" si="28"/>
        <v>4.7784570001843967E-8</v>
      </c>
      <c r="R42" s="74">
        <f>IFERROR(up_RadSpec!$I$19*R19,".")*$B$42</f>
        <v>1121739.5729087624</v>
      </c>
      <c r="S42" s="74">
        <f>IFERROR(up_RadSpec!$G$19*S19,".")*$B$42</f>
        <v>39859.641764185093</v>
      </c>
      <c r="T42" s="74">
        <f>IFERROR(up_RadSpec!$F$19*T19,".")*$B$42</f>
        <v>1014.5746288326183</v>
      </c>
      <c r="U42" s="73">
        <f t="shared" si="15"/>
        <v>1</v>
      </c>
      <c r="V42" s="73">
        <f t="shared" si="15"/>
        <v>1</v>
      </c>
      <c r="W42" s="73">
        <f t="shared" si="15"/>
        <v>1</v>
      </c>
      <c r="X42" s="73">
        <f t="shared" si="21"/>
        <v>1</v>
      </c>
      <c r="Y42" s="56">
        <f t="shared" ref="Y42:AO42" si="36">IFERROR(Y19/$B42,0)</f>
        <v>5.4756937953319643E-5</v>
      </c>
      <c r="Z42" s="56">
        <f t="shared" si="36"/>
        <v>1.086051071658582E-4</v>
      </c>
      <c r="AA42" s="56">
        <f t="shared" si="36"/>
        <v>7.5284975159935609E-5</v>
      </c>
      <c r="AB42" s="56">
        <f t="shared" si="36"/>
        <v>6.2878300943816976E-5</v>
      </c>
      <c r="AC42" s="56">
        <f t="shared" si="36"/>
        <v>1.8702098326107229E-4</v>
      </c>
      <c r="AD42" s="74">
        <f>IFERROR(up_RadSpec!$F$19*AD19,".")*$B$42</f>
        <v>1014.5746288326183</v>
      </c>
      <c r="AE42" s="74">
        <f>IFERROR(up_RadSpec!$M$19*AE19,".")*$B$42</f>
        <v>511.53211344986016</v>
      </c>
      <c r="AF42" s="74">
        <f>IFERROR(up_RadSpec!$N$19*AF19,".")*$B$42</f>
        <v>737.92944584199938</v>
      </c>
      <c r="AG42" s="74">
        <f>IFERROR(up_RadSpec!$O$19*AG19,".")*$B$42</f>
        <v>883.53214330074661</v>
      </c>
      <c r="AH42" s="74">
        <f>IFERROR(up_RadSpec!$K$19*AH19,".")*$B$42</f>
        <v>297.05222928086039</v>
      </c>
      <c r="AI42" s="73">
        <f t="shared" si="23"/>
        <v>1</v>
      </c>
      <c r="AJ42" s="73">
        <f t="shared" si="17"/>
        <v>1</v>
      </c>
      <c r="AK42" s="73">
        <f t="shared" si="17"/>
        <v>1</v>
      </c>
      <c r="AL42" s="73">
        <f t="shared" si="17"/>
        <v>1</v>
      </c>
      <c r="AM42" s="73">
        <f t="shared" si="17"/>
        <v>1</v>
      </c>
      <c r="AN42" s="56">
        <f t="shared" si="36"/>
        <v>4.3582664979205801E-10</v>
      </c>
      <c r="AO42" s="56">
        <f t="shared" si="36"/>
        <v>2.3861509076115176E-6</v>
      </c>
      <c r="AP42" s="56">
        <f t="shared" si="24"/>
        <v>4.3574706128771327E-10</v>
      </c>
      <c r="AQ42" s="74">
        <f>IFERROR(up_RadSpec!$G$19*AQ19,".")*$B$42</f>
        <v>127470406.01235937</v>
      </c>
      <c r="AR42" s="74">
        <f>IFERROR(up_RadSpec!$J$19*AR19,".")*$B$42</f>
        <v>23282.265938330474</v>
      </c>
      <c r="AS42" s="73">
        <f t="shared" si="25"/>
        <v>1</v>
      </c>
      <c r="AT42" s="73">
        <f t="shared" si="25"/>
        <v>1</v>
      </c>
      <c r="AU42" s="73">
        <f t="shared" si="26"/>
        <v>1</v>
      </c>
    </row>
    <row r="43" spans="1:47" x14ac:dyDescent="0.25">
      <c r="A43" s="55" t="s">
        <v>301</v>
      </c>
      <c r="B43" s="50">
        <v>2.0897492E-2</v>
      </c>
      <c r="C43" s="56">
        <f>IFERROR(C28/$B43,0)</f>
        <v>2.3201276251163766E-6</v>
      </c>
      <c r="D43" s="56">
        <f>IFERROR(D28/$B43,0)</f>
        <v>1.03815340786314E-5</v>
      </c>
      <c r="E43" s="56">
        <f>IFERROR(E28/$B43,0)</f>
        <v>1.825636925985743E-3</v>
      </c>
      <c r="F43" s="56">
        <f t="shared" si="27"/>
        <v>1.8943577162194825E-6</v>
      </c>
      <c r="G43" s="74">
        <f>IFERROR(up_RadSpec!$I$28*G28,".")*$B$43</f>
        <v>23944.803466237499</v>
      </c>
      <c r="H43" s="74">
        <f>IFERROR(up_RadSpec!$G$28*H28,".")*$B$43</f>
        <v>5351.3285781482327</v>
      </c>
      <c r="I43" s="74">
        <f>IFERROR(up_RadSpec!$F$28*I28,".")*$B$43</f>
        <v>30.430475637976794</v>
      </c>
      <c r="J43" s="73">
        <f t="shared" si="14"/>
        <v>1</v>
      </c>
      <c r="K43" s="73">
        <f t="shared" si="14"/>
        <v>1</v>
      </c>
      <c r="L43" s="73">
        <f t="shared" si="14"/>
        <v>0.99999999999993916</v>
      </c>
      <c r="M43" s="73">
        <f t="shared" si="19"/>
        <v>1</v>
      </c>
      <c r="N43" s="56">
        <f>IFERROR(N28/$B43,0)</f>
        <v>2.3201276251163766E-6</v>
      </c>
      <c r="O43" s="56">
        <f>IFERROR(O28/$B43,0)</f>
        <v>6.5293586597919435E-5</v>
      </c>
      <c r="P43" s="56">
        <f>IFERROR(P28/$B43,0)</f>
        <v>1.825636925985743E-3</v>
      </c>
      <c r="Q43" s="56">
        <f t="shared" si="28"/>
        <v>2.2377674135203627E-6</v>
      </c>
      <c r="R43" s="74">
        <f>IFERROR(up_RadSpec!$I$28*R28,".")*$B$43</f>
        <v>23944.803466237499</v>
      </c>
      <c r="S43" s="74">
        <f>IFERROR(up_RadSpec!$G$28*S28,".")*$B$43</f>
        <v>850.84926245681584</v>
      </c>
      <c r="T43" s="74">
        <f>IFERROR(up_RadSpec!$F$28*T28,".")*$B$43</f>
        <v>30.430475637976794</v>
      </c>
      <c r="U43" s="73">
        <f t="shared" si="15"/>
        <v>1</v>
      </c>
      <c r="V43" s="73">
        <f t="shared" si="15"/>
        <v>1</v>
      </c>
      <c r="W43" s="73">
        <f t="shared" si="15"/>
        <v>0.99999999999993916</v>
      </c>
      <c r="X43" s="73">
        <f t="shared" si="21"/>
        <v>1</v>
      </c>
      <c r="Y43" s="56">
        <f t="shared" ref="Y43:AO43" si="37">IFERROR(Y28/$B43,0)</f>
        <v>1.825636925985743E-3</v>
      </c>
      <c r="Z43" s="56">
        <f t="shared" si="37"/>
        <v>4.0709152742828721E-3</v>
      </c>
      <c r="AA43" s="56">
        <f t="shared" si="37"/>
        <v>2.8263906189154734E-3</v>
      </c>
      <c r="AB43" s="56">
        <f t="shared" si="37"/>
        <v>2.4470969595207317E-3</v>
      </c>
      <c r="AC43" s="56">
        <f t="shared" si="37"/>
        <v>7.1565257282280199E-3</v>
      </c>
      <c r="AD43" s="74">
        <f>IFERROR(up_RadSpec!$F$28*AD28,".")*$B$43</f>
        <v>30.430475637976794</v>
      </c>
      <c r="AE43" s="74">
        <f>IFERROR(up_RadSpec!$M$28*AE28,".")*$B$43</f>
        <v>13.646808213120204</v>
      </c>
      <c r="AF43" s="74">
        <f>IFERROR(up_RadSpec!$N$28*AF28,".")*$B$43</f>
        <v>19.655811064543244</v>
      </c>
      <c r="AG43" s="74">
        <f>IFERROR(up_RadSpec!$O$28*AG28,".")*$B$43</f>
        <v>22.702410619185489</v>
      </c>
      <c r="AH43" s="74">
        <f>IFERROR(up_RadSpec!$K$28*AH28,".")*$B$43</f>
        <v>7.7628450046466329</v>
      </c>
      <c r="AI43" s="73">
        <f t="shared" si="23"/>
        <v>0.99999999999993916</v>
      </c>
      <c r="AJ43" s="73">
        <f t="shared" si="17"/>
        <v>0.99999881623226805</v>
      </c>
      <c r="AK43" s="73">
        <f t="shared" si="17"/>
        <v>0.99999999709203136</v>
      </c>
      <c r="AL43" s="73">
        <f t="shared" si="17"/>
        <v>0.99999999986181265</v>
      </c>
      <c r="AM43" s="73">
        <f t="shared" si="17"/>
        <v>0.99957475496602277</v>
      </c>
      <c r="AN43" s="56">
        <f t="shared" si="37"/>
        <v>2.0417123101024114E-8</v>
      </c>
      <c r="AO43" s="56">
        <f t="shared" si="37"/>
        <v>1.1178374897810703E-4</v>
      </c>
      <c r="AP43" s="56">
        <f t="shared" si="24"/>
        <v>2.0413394627119618E-8</v>
      </c>
      <c r="AQ43" s="74">
        <f>IFERROR(up_RadSpec!$G$28*AQ28,".")*$B$43</f>
        <v>2721000.3938906249</v>
      </c>
      <c r="AR43" s="74">
        <f>IFERROR(up_RadSpec!$J$28*AR28,".")*$B$43</f>
        <v>496.98637331335607</v>
      </c>
      <c r="AS43" s="73">
        <f t="shared" si="25"/>
        <v>1</v>
      </c>
      <c r="AT43" s="73">
        <f t="shared" si="25"/>
        <v>1</v>
      </c>
      <c r="AU43" s="73">
        <f t="shared" si="26"/>
        <v>1</v>
      </c>
    </row>
    <row r="44" spans="1:47" x14ac:dyDescent="0.25">
      <c r="A44" s="55" t="s">
        <v>302</v>
      </c>
      <c r="B44" s="50">
        <v>0.99987999999999999</v>
      </c>
      <c r="C44" s="56">
        <f>IFERROR(C15/$B44,0)</f>
        <v>4.8490667364932271E-8</v>
      </c>
      <c r="D44" s="56">
        <f>IFERROR(D15/$B44,0)</f>
        <v>2.1697406224339628E-7</v>
      </c>
      <c r="E44" s="56">
        <f>IFERROR(E15/$B44,0)</f>
        <v>0</v>
      </c>
      <c r="F44" s="56">
        <f t="shared" si="27"/>
        <v>3.963320134688262E-8</v>
      </c>
      <c r="G44" s="64">
        <f>IFERROR(up_RadSpec!$I$15*G15,".")*$B$44</f>
        <v>1145684.376375</v>
      </c>
      <c r="H44" s="64">
        <f>IFERROR(up_RadSpec!$G$15*H15,".")*$B$44</f>
        <v>256044.42957647046</v>
      </c>
      <c r="I44" s="64">
        <f>IFERROR(up_RadSpec!$F$15*I15,".")*$B$44</f>
        <v>0</v>
      </c>
      <c r="J44" s="73">
        <f t="shared" si="14"/>
        <v>1</v>
      </c>
      <c r="K44" s="73">
        <f t="shared" si="14"/>
        <v>1</v>
      </c>
      <c r="L44" s="73">
        <f t="shared" si="14"/>
        <v>0</v>
      </c>
      <c r="M44" s="73">
        <f t="shared" si="19"/>
        <v>1</v>
      </c>
      <c r="N44" s="56">
        <f>IFERROR(N15/$B44,0)</f>
        <v>4.8490667364932271E-8</v>
      </c>
      <c r="O44" s="56">
        <f>IFERROR(O15/$B44,0)</f>
        <v>1.3646359598965163E-6</v>
      </c>
      <c r="P44" s="56">
        <f>IFERROR(P15/$B44,0)</f>
        <v>0</v>
      </c>
      <c r="Q44" s="56">
        <f t="shared" si="28"/>
        <v>4.6826736634214055E-8</v>
      </c>
      <c r="R44" s="64">
        <f>IFERROR(up_RadSpec!$I$15*R15,".")*$B$44</f>
        <v>1145684.376375</v>
      </c>
      <c r="S44" s="64">
        <f>IFERROR(up_RadSpec!$G$15*S15,".")*$B$44</f>
        <v>40710.491026641903</v>
      </c>
      <c r="T44" s="64">
        <f>IFERROR(up_RadSpec!$F$15*T15,".")*$B$44</f>
        <v>0</v>
      </c>
      <c r="U44" s="73">
        <f t="shared" si="15"/>
        <v>1</v>
      </c>
      <c r="V44" s="73">
        <f t="shared" si="15"/>
        <v>1</v>
      </c>
      <c r="W44" s="73">
        <f t="shared" si="15"/>
        <v>0</v>
      </c>
      <c r="X44" s="73">
        <f t="shared" si="21"/>
        <v>1</v>
      </c>
      <c r="Y44" s="56">
        <f t="shared" ref="Y44:AO44" si="38">IFERROR(Y15/$B44,0)</f>
        <v>0</v>
      </c>
      <c r="Z44" s="56">
        <f t="shared" si="38"/>
        <v>0</v>
      </c>
      <c r="AA44" s="56">
        <f t="shared" si="38"/>
        <v>0</v>
      </c>
      <c r="AB44" s="56">
        <f t="shared" si="38"/>
        <v>0</v>
      </c>
      <c r="AC44" s="56">
        <f t="shared" si="38"/>
        <v>0</v>
      </c>
      <c r="AD44" s="64">
        <f>IFERROR(up_RadSpec!$F$15*AD15,".")*$B$44</f>
        <v>0</v>
      </c>
      <c r="AE44" s="64">
        <f>IFERROR(up_RadSpec!$M$15*AE15,".")*$B$44</f>
        <v>0</v>
      </c>
      <c r="AF44" s="64">
        <f>IFERROR(up_RadSpec!$N$15*AF15,".")*$B$44</f>
        <v>0</v>
      </c>
      <c r="AG44" s="64">
        <f>IFERROR(up_RadSpec!$O$15*AG15,".")*$B$44</f>
        <v>0</v>
      </c>
      <c r="AH44" s="64">
        <f>IFERROR(up_RadSpec!$K$15*AH15,".")*$B$44</f>
        <v>0</v>
      </c>
      <c r="AI44" s="73">
        <f t="shared" si="23"/>
        <v>0</v>
      </c>
      <c r="AJ44" s="73">
        <f t="shared" si="17"/>
        <v>0</v>
      </c>
      <c r="AK44" s="73">
        <f t="shared" si="17"/>
        <v>0</v>
      </c>
      <c r="AL44" s="73">
        <f t="shared" si="17"/>
        <v>0</v>
      </c>
      <c r="AM44" s="73">
        <f t="shared" si="17"/>
        <v>0</v>
      </c>
      <c r="AN44" s="56">
        <f t="shared" si="38"/>
        <v>4.2671787281140402E-10</v>
      </c>
      <c r="AO44" s="56">
        <f t="shared" si="38"/>
        <v>2.336280353642437E-6</v>
      </c>
      <c r="AP44" s="56">
        <f t="shared" si="24"/>
        <v>4.2663994770680002E-10</v>
      </c>
      <c r="AQ44" s="64">
        <f>IFERROR(up_RadSpec!$G$15*AQ15,".")*$B$44</f>
        <v>130191406.40625</v>
      </c>
      <c r="AR44" s="64">
        <f>IFERROR(up_RadSpec!$J$15*AR15,".")*$B$44</f>
        <v>23779.252311643831</v>
      </c>
      <c r="AS44" s="73">
        <f t="shared" si="25"/>
        <v>1</v>
      </c>
      <c r="AT44" s="73">
        <f t="shared" si="25"/>
        <v>1</v>
      </c>
      <c r="AU44" s="73">
        <f t="shared" si="26"/>
        <v>1</v>
      </c>
    </row>
    <row r="45" spans="1:47" x14ac:dyDescent="0.25">
      <c r="A45" s="52" t="s">
        <v>20</v>
      </c>
      <c r="B45" s="52" t="s">
        <v>289</v>
      </c>
      <c r="C45" s="53">
        <f>IFERROR(IF(AND(C46&lt;&gt;0,C47&lt;&gt;0),1/SUM(1/C46,1/C47),IF(AND(C46&lt;&gt;0,C47=0),1/(1/C46),IF(AND(C46=0,C47&lt;&gt;0),1/(1/C47),IF(AND(C46=0,C47=0),".")))),".")</f>
        <v>2.4940893978286142E-8</v>
      </c>
      <c r="D45" s="53">
        <f t="shared" ref="D45:F45" si="39">IFERROR(IF(AND(D46&lt;&gt;0,D47&lt;&gt;0),1/SUM(1/D46,1/D47),IF(AND(D46&lt;&gt;0,D47=0),1/(1/D46),IF(AND(D46=0,D47&lt;&gt;0),1/(1/D47),IF(AND(D46=0,D47=0),".")))),".")</f>
        <v>1.1159935254601468E-7</v>
      </c>
      <c r="E45" s="53">
        <f t="shared" si="39"/>
        <v>3.4641534774011995E-5</v>
      </c>
      <c r="F45" s="54">
        <f t="shared" si="39"/>
        <v>2.0373118884093647E-8</v>
      </c>
      <c r="G45" s="71"/>
      <c r="H45" s="71"/>
      <c r="I45" s="71"/>
      <c r="J45" s="72">
        <f>IFERROR(IF(SUM(G46:G47)&gt;0.01,1-EXP(-SUM(G46:G47)),SUM(G46:G47)),".")</f>
        <v>1</v>
      </c>
      <c r="K45" s="72">
        <f>IFERROR(IF(SUM(H46:H47)&gt;0.01,1-EXP(-SUM(H46:H47)),SUM(H46:H47)),".")</f>
        <v>1</v>
      </c>
      <c r="L45" s="72">
        <f>IFERROR(IF(SUM(I46:I47)&gt;0.01,1-EXP(-SUM(I46:I47)),SUM(I46:I47)),".")</f>
        <v>1</v>
      </c>
      <c r="M45" s="72">
        <f>IFERROR(IF(SUM(G46:I47)&gt;0.01,1-EXP(-SUM(G46:I47)),SUM(G46:I47)),".")</f>
        <v>1</v>
      </c>
      <c r="N45" s="53">
        <f>IFERROR(IF(AND(N46&lt;&gt;0,N47&lt;&gt;0),1/SUM(1/N46,1/N47),IF(AND(N46&lt;&gt;0,N47=0),1/(1/N46),IF(AND(N46=0,N47&lt;&gt;0),1/(1/N47),IF(AND(N46=0,N47=0),".")))),".")</f>
        <v>2.4940893978286142E-8</v>
      </c>
      <c r="O45" s="53">
        <f t="shared" ref="O45:Q45" si="40">IFERROR(IF(AND(O46&lt;&gt;0,O47&lt;&gt;0),1/SUM(1/O46,1/O47),IF(AND(O46&lt;&gt;0,O47=0),1/(1/O46),IF(AND(O46=0,O47&lt;&gt;0),1/(1/O47),IF(AND(O46=0,O47=0),".")))),".")</f>
        <v>7.0189260417045804E-7</v>
      </c>
      <c r="P45" s="53">
        <f t="shared" si="40"/>
        <v>3.4641534774011995E-5</v>
      </c>
      <c r="Q45" s="54">
        <f t="shared" si="40"/>
        <v>2.406832696659161E-8</v>
      </c>
      <c r="R45" s="71"/>
      <c r="S45" s="71"/>
      <c r="T45" s="71"/>
      <c r="U45" s="72">
        <f>IFERROR(IF(SUM(R46:R47)&gt;0.01,1-EXP(-SUM(R46:R47)),SUM(R46:R47)),".")</f>
        <v>1</v>
      </c>
      <c r="V45" s="72">
        <f>IFERROR(IF(SUM(S46:S47)&gt;0.01,1-EXP(-SUM(S46:S47)),SUM(S46:S47)),".")</f>
        <v>1</v>
      </c>
      <c r="W45" s="72">
        <f>IFERROR(IF(SUM(T46:T47)&gt;0.01,1-EXP(-SUM(T46:T47)),SUM(T46:T47)),".")</f>
        <v>1</v>
      </c>
      <c r="X45" s="72">
        <f>IFERROR(IF(SUM(R46:T47)&gt;0.01,1-EXP(-SUM(R46:T47)),SUM(R46:T47)),".")</f>
        <v>1</v>
      </c>
      <c r="Y45" s="53">
        <f t="shared" ref="Y45:AP45" si="41">IFERROR(IF(AND(Y46&lt;&gt;0,Y47&lt;&gt;0),1/SUM(1/Y46,1/Y47),IF(AND(Y46&lt;&gt;0,Y47=0),1/(1/Y46),IF(AND(Y46=0,Y47&lt;&gt;0),1/(1/Y47),IF(AND(Y46=0,Y47=0),".")))),".")</f>
        <v>3.4641534774011995E-5</v>
      </c>
      <c r="Z45" s="53">
        <f t="shared" si="41"/>
        <v>5.9113082677451516E-5</v>
      </c>
      <c r="AA45" s="53">
        <f t="shared" si="41"/>
        <v>4.2001322273272596E-5</v>
      </c>
      <c r="AB45" s="53">
        <f t="shared" si="41"/>
        <v>3.6545066097107439E-5</v>
      </c>
      <c r="AC45" s="53">
        <f t="shared" si="41"/>
        <v>9.9336293782325126E-5</v>
      </c>
      <c r="AD45" s="71"/>
      <c r="AE45" s="71"/>
      <c r="AF45" s="71"/>
      <c r="AG45" s="71"/>
      <c r="AH45" s="71"/>
      <c r="AI45" s="72">
        <f>IFERROR(IF(SUM(AD46:AD47)&gt;0.01,1-EXP(-SUM(AD46:AD47)),SUM(AD46:AD47)),".")</f>
        <v>1</v>
      </c>
      <c r="AJ45" s="72">
        <f t="shared" ref="AJ45:AM45" si="42">IFERROR(IF(SUM(AE46:AE47)&gt;0.01,1-EXP(-SUM(AE46:AE47)),SUM(AE46:AE47)),".")</f>
        <v>1</v>
      </c>
      <c r="AK45" s="72">
        <f t="shared" si="42"/>
        <v>1</v>
      </c>
      <c r="AL45" s="72">
        <f t="shared" si="42"/>
        <v>1</v>
      </c>
      <c r="AM45" s="72">
        <f t="shared" si="42"/>
        <v>1</v>
      </c>
      <c r="AN45" s="53">
        <f t="shared" si="41"/>
        <v>2.1947986700891808E-10</v>
      </c>
      <c r="AO45" s="53">
        <f t="shared" si="41"/>
        <v>1.2016522718738266E-6</v>
      </c>
      <c r="AP45" s="54">
        <f t="shared" si="41"/>
        <v>2.1943978668258335E-10</v>
      </c>
      <c r="AQ45" s="71"/>
      <c r="AR45" s="71"/>
      <c r="AS45" s="72">
        <f>IFERROR(IF(SUM(AQ46:AQ47)&gt;0.01,1-EXP(-SUM(AQ46:AQ47)),SUM(AQ46:AQ47)),".")</f>
        <v>1</v>
      </c>
      <c r="AT45" s="72">
        <f>IFERROR(IF(SUM(AR46:AR47)&gt;0.01,1-EXP(-SUM(AR46:AR47)),SUM(AR46:AR47)),".")</f>
        <v>1</v>
      </c>
      <c r="AU45" s="72">
        <f>IFERROR(IF(SUM(AQ46:AR47)&gt;0.01,1-EXP(-SUM(AQ46:AR47)),SUM(AQ46:AR47)),".")</f>
        <v>1</v>
      </c>
    </row>
    <row r="46" spans="1:47" x14ac:dyDescent="0.25">
      <c r="A46" s="55" t="s">
        <v>303</v>
      </c>
      <c r="B46" s="50">
        <v>1</v>
      </c>
      <c r="C46" s="56">
        <f>IFERROR(C10/$B46,0)</f>
        <v>4.848484848484848E-8</v>
      </c>
      <c r="D46" s="56">
        <f>IFERROR(D10/$B46,0)</f>
        <v>2.1694802535592706E-7</v>
      </c>
      <c r="E46" s="56">
        <f>IFERROR(E10/$B46,0)</f>
        <v>7.2972190476190463E-5</v>
      </c>
      <c r="F46" s="56">
        <f t="shared" si="27"/>
        <v>3.96069363289089E-8</v>
      </c>
      <c r="G46" s="64">
        <f>IFERROR(up_RadSpec!$I$10*G10,".")*$B$46</f>
        <v>1145821.875</v>
      </c>
      <c r="H46" s="64">
        <f>IFERROR(up_RadSpec!$G$10*H10,".")*$B$46</f>
        <v>256075.15859550191</v>
      </c>
      <c r="I46" s="64">
        <f>IFERROR(up_RadSpec!$F$10*I10,".")*$B$46</f>
        <v>761.31742294520541</v>
      </c>
      <c r="J46" s="73">
        <f t="shared" ref="J46:L47" si="43">IFERROR(IF(G46&gt;0.01,1-EXP(-G46),G46),".")</f>
        <v>1</v>
      </c>
      <c r="K46" s="73">
        <f t="shared" si="43"/>
        <v>1</v>
      </c>
      <c r="L46" s="73">
        <f t="shared" si="43"/>
        <v>1</v>
      </c>
      <c r="M46" s="73">
        <f t="shared" ref="M46:M47" si="44">IFERROR(IF(SUM(G46:I46)&gt;0.01,1-EXP(-SUM(G46:I46)),SUM(G46:I46)),".")</f>
        <v>1</v>
      </c>
      <c r="N46" s="56">
        <f>IFERROR(N10/$B46,0)</f>
        <v>4.848484848484848E-8</v>
      </c>
      <c r="O46" s="56">
        <f>IFERROR(O10/$B46,0)</f>
        <v>1.3644722035813288E-6</v>
      </c>
      <c r="P46" s="56">
        <f>IFERROR(P10/$B46,0)</f>
        <v>7.2972190476190463E-5</v>
      </c>
      <c r="Q46" s="56">
        <f t="shared" ref="Q46:Q47" si="45">IF(AND(N46&lt;&gt;0,O46&lt;&gt;0,P46&lt;&gt;0),1/((1/N46)+(1/O46)+(1/P46)),IF(AND(N46&lt;&gt;0,O46&lt;&gt;0,P46=0), 1/((1/N46)+(1/O46)),IF(AND(N46&lt;&gt;0,O46=0,P46&lt;&gt;0),1/((1/N46)+(1/P46)),IF(AND(N46=0,O46&lt;&gt;0,P46&lt;&gt;0),1/((1/O46)+(1/P46)),IF(AND(N46&lt;&gt;0,O46=0,P46=0),1/((1/N46)),IF(AND(N46=0,O46&lt;&gt;0,P46=0),1/((1/O46)),IF(AND(N46=0,O46=0,P46&lt;&gt;0),1/((1/P46)),IF(AND(N46=0,O46=0,P46=0),0))))))))</f>
        <v>4.6791094874304882E-8</v>
      </c>
      <c r="R46" s="64">
        <f>IFERROR(up_RadSpec!$I$10*R10,".")*$B$46</f>
        <v>1145821.875</v>
      </c>
      <c r="S46" s="64">
        <f>IFERROR(up_RadSpec!$G$10*S10,".")*$B$46</f>
        <v>40715.376871866531</v>
      </c>
      <c r="T46" s="64">
        <f>IFERROR(up_RadSpec!$F$10*T10,".")*$B$46</f>
        <v>761.31742294520541</v>
      </c>
      <c r="U46" s="73">
        <f t="shared" ref="U46:W47" si="46">IFERROR(IF(R46&gt;0.01,1-EXP(-R46),R46),".")</f>
        <v>1</v>
      </c>
      <c r="V46" s="73">
        <f t="shared" si="46"/>
        <v>1</v>
      </c>
      <c r="W46" s="73">
        <f t="shared" si="46"/>
        <v>1</v>
      </c>
      <c r="X46" s="73">
        <f t="shared" ref="X46:X47" si="47">IFERROR(IF(SUM(R46:T46)&gt;0.01,1-EXP(-SUM(R46:T46)),SUM(R46:T46)),".")</f>
        <v>1</v>
      </c>
      <c r="Y46" s="56">
        <f t="shared" ref="Y46:AO46" si="48">IFERROR(Y10/$B46,0)</f>
        <v>7.2972190476190463E-5</v>
      </c>
      <c r="Z46" s="56">
        <f t="shared" si="48"/>
        <v>1.1371005291005285E-4</v>
      </c>
      <c r="AA46" s="56">
        <f t="shared" si="48"/>
        <v>8.1203855944581246E-5</v>
      </c>
      <c r="AB46" s="56">
        <f t="shared" si="48"/>
        <v>7.4270414993306557E-5</v>
      </c>
      <c r="AC46" s="56">
        <f t="shared" si="48"/>
        <v>1.9115609850688385E-4</v>
      </c>
      <c r="AD46" s="64">
        <f>IFERROR(up_RadSpec!$F$10*AD10,".")*$B46</f>
        <v>761.31742294520541</v>
      </c>
      <c r="AE46" s="64">
        <f>IFERROR(up_RadSpec!$M$10*AE10,".")*$B46</f>
        <v>488.56718098570593</v>
      </c>
      <c r="AF46" s="64">
        <f>IFERROR(up_RadSpec!$N$10*AF10,".")*$B46</f>
        <v>684.14238897613814</v>
      </c>
      <c r="AG46" s="64">
        <f>IFERROR(up_RadSpec!$O$10*AG10,".")*$B46</f>
        <v>748.00982335976926</v>
      </c>
      <c r="AH46" s="64">
        <f>IFERROR(up_RadSpec!$K$10*AH10,".")*$B46</f>
        <v>290.62635424105684</v>
      </c>
      <c r="AI46" s="73">
        <f t="shared" ref="AI46:AM47" si="49">IFERROR(IF(AD46&gt;0.01,1-EXP(-AD46),AD46),".")</f>
        <v>1</v>
      </c>
      <c r="AJ46" s="73">
        <f t="shared" si="49"/>
        <v>1</v>
      </c>
      <c r="AK46" s="73">
        <f t="shared" si="49"/>
        <v>1</v>
      </c>
      <c r="AL46" s="73">
        <f t="shared" si="49"/>
        <v>1</v>
      </c>
      <c r="AM46" s="73">
        <f t="shared" si="49"/>
        <v>1</v>
      </c>
      <c r="AN46" s="56">
        <f t="shared" si="48"/>
        <v>4.2666666666666664E-10</v>
      </c>
      <c r="AO46" s="56">
        <f t="shared" si="48"/>
        <v>2.3359999999999997E-6</v>
      </c>
      <c r="AP46" s="56">
        <f t="shared" ref="AP46:AP47" si="50">IFERROR(IF(AND(AN46&lt;&gt;0,AO46&lt;&gt;0),1/((1/AN46)+(1/AO46)),IF(AND(AN46&lt;&gt;0,AO46=0),1/((1/AN46)),IF(AND(AN46=0,AO46&lt;&gt;0),1/((1/AO46)),IF(AND(AN46=0,AO46=0),0)))),0)</f>
        <v>4.2658875091307519E-10</v>
      </c>
      <c r="AQ46" s="64">
        <f>IFERROR(up_RadSpec!$G$10*AQ10,".")*$B$46</f>
        <v>130207031.25</v>
      </c>
      <c r="AR46" s="64">
        <f>IFERROR(up_RadSpec!$J$10*AR10,".")*$B$46</f>
        <v>23782.106164383556</v>
      </c>
      <c r="AS46" s="73">
        <f>IFERROR(IF(AQ46&gt;0.01,1-EXP(-AQ46),AQ46),".")</f>
        <v>1</v>
      </c>
      <c r="AT46" s="73">
        <f>IFERROR(IF(AR46&gt;0.01,1-EXP(-AR46),AR46),".")</f>
        <v>1</v>
      </c>
      <c r="AU46" s="73">
        <f>IFERROR(IF(SUM(AQ46:AR46)&gt;0.01,1-EXP(-SUM(AQ46:AR46)),SUM(AQ46:AR46)),".")</f>
        <v>1</v>
      </c>
    </row>
    <row r="47" spans="1:47" x14ac:dyDescent="0.25">
      <c r="A47" s="55" t="s">
        <v>304</v>
      </c>
      <c r="B47" s="58">
        <v>0.94399</v>
      </c>
      <c r="C47" s="56">
        <f>IFERROR(C6/$B$47,0)</f>
        <v>5.1361612395097912E-8</v>
      </c>
      <c r="D47" s="56">
        <f>IFERROR(D6/$B$47,0)</f>
        <v>2.2982025800689314E-7</v>
      </c>
      <c r="E47" s="56">
        <f>IFERROR(E6/$B$47,0)</f>
        <v>6.5949006809531592E-5</v>
      </c>
      <c r="F47" s="56">
        <f t="shared" si="27"/>
        <v>4.1953024914516095E-8</v>
      </c>
      <c r="G47" s="64">
        <f>IFERROR(up_RadSpec!$I$6*G6,".")*$B$47</f>
        <v>1081644.39178125</v>
      </c>
      <c r="H47" s="64">
        <f>IFERROR(up_RadSpec!$G$6*H6,".")*$B$47</f>
        <v>241732.38896256784</v>
      </c>
      <c r="I47" s="64">
        <f>IFERROR(up_RadSpec!$F$6*I6,".")*$B$47</f>
        <v>842.39327758868728</v>
      </c>
      <c r="J47" s="73">
        <f t="shared" si="43"/>
        <v>1</v>
      </c>
      <c r="K47" s="73">
        <f t="shared" si="43"/>
        <v>1</v>
      </c>
      <c r="L47" s="73">
        <f t="shared" si="43"/>
        <v>1</v>
      </c>
      <c r="M47" s="73">
        <f t="shared" si="44"/>
        <v>1</v>
      </c>
      <c r="N47" s="56">
        <f>IFERROR(N6/$B$47,0)</f>
        <v>5.1361612395097912E-8</v>
      </c>
      <c r="O47" s="56">
        <f>IFERROR(O6/$B$47,0)</f>
        <v>1.4454307816622302E-6</v>
      </c>
      <c r="P47" s="56">
        <f>IFERROR(P6/$B$47,0)</f>
        <v>6.5949006809531592E-5</v>
      </c>
      <c r="Q47" s="56">
        <f t="shared" si="45"/>
        <v>4.956189206937656E-8</v>
      </c>
      <c r="R47" s="64">
        <f>IFERROR(up_RadSpec!$I$6*R6,".")*$B$47</f>
        <v>1081644.39178125</v>
      </c>
      <c r="S47" s="64">
        <f>IFERROR(up_RadSpec!$G$6*S6,".")*$B$47</f>
        <v>38434.908613273285</v>
      </c>
      <c r="T47" s="64">
        <f>IFERROR(up_RadSpec!$F$6*T6,".")*$B$47</f>
        <v>842.39327758868728</v>
      </c>
      <c r="U47" s="73">
        <f t="shared" si="46"/>
        <v>1</v>
      </c>
      <c r="V47" s="73">
        <f t="shared" si="46"/>
        <v>1</v>
      </c>
      <c r="W47" s="73">
        <f t="shared" si="46"/>
        <v>1</v>
      </c>
      <c r="X47" s="73">
        <f t="shared" si="47"/>
        <v>1</v>
      </c>
      <c r="Y47" s="56">
        <f t="shared" ref="Y47:AO47" si="51">IFERROR(Y6/$B$47,0)</f>
        <v>6.5949006809531592E-5</v>
      </c>
      <c r="Z47" s="56">
        <f t="shared" si="51"/>
        <v>1.2311583830187708E-4</v>
      </c>
      <c r="AA47" s="56">
        <f t="shared" si="51"/>
        <v>8.7001247214206018E-5</v>
      </c>
      <c r="AB47" s="56">
        <f t="shared" si="51"/>
        <v>7.1946775958470945E-5</v>
      </c>
      <c r="AC47" s="56">
        <f t="shared" si="51"/>
        <v>2.0680438622719093E-4</v>
      </c>
      <c r="AD47" s="64">
        <f>IFERROR(up_RadSpec!$F$6*AD6,".")*$B47</f>
        <v>842.39327758868728</v>
      </c>
      <c r="AE47" s="64">
        <f>IFERROR(up_RadSpec!$M$6*AE6,".")*$B47</f>
        <v>451.24169860079627</v>
      </c>
      <c r="AF47" s="64">
        <f>IFERROR(up_RadSpec!$N$6*AF6,".")*$B47</f>
        <v>638.55406421034252</v>
      </c>
      <c r="AG47" s="64">
        <f>IFERROR(up_RadSpec!$O$6*AG6,".")*$B47</f>
        <v>772.1680264320305</v>
      </c>
      <c r="AH47" s="64">
        <f>IFERROR(up_RadSpec!$K$6*AH6,".")*$B47</f>
        <v>268.63550146837042</v>
      </c>
      <c r="AI47" s="73">
        <f t="shared" si="49"/>
        <v>1</v>
      </c>
      <c r="AJ47" s="73">
        <f t="shared" si="49"/>
        <v>1</v>
      </c>
      <c r="AK47" s="73">
        <f t="shared" si="49"/>
        <v>1</v>
      </c>
      <c r="AL47" s="73">
        <f t="shared" si="49"/>
        <v>1</v>
      </c>
      <c r="AM47" s="73">
        <f t="shared" si="49"/>
        <v>1</v>
      </c>
      <c r="AN47" s="56">
        <f t="shared" si="51"/>
        <v>4.5198218907686169E-10</v>
      </c>
      <c r="AO47" s="56">
        <f t="shared" si="51"/>
        <v>2.4746024851958175E-6</v>
      </c>
      <c r="AP47" s="56">
        <f t="shared" si="50"/>
        <v>4.5189965032794341E-10</v>
      </c>
      <c r="AQ47" s="64">
        <f>IFERROR(up_RadSpec!$G$6*AQ6,".")*$B$47</f>
        <v>122914135.4296875</v>
      </c>
      <c r="AR47" s="64">
        <f>IFERROR(up_RadSpec!$J$6*AR6,".")*$B$47</f>
        <v>22450.070398116433</v>
      </c>
      <c r="AS47" s="73">
        <f>IFERROR(IF(AQ47&gt;0.01,1-EXP(-AQ47),AQ47),".")</f>
        <v>1</v>
      </c>
      <c r="AT47" s="73">
        <f>IFERROR(IF(AR47&gt;0.01,1-EXP(-AR47),AR47),".")</f>
        <v>1</v>
      </c>
      <c r="AU47" s="73">
        <f>IFERROR(IF(SUM(AQ47:AR47)&gt;0.01,1-EXP(-SUM(AQ47:AR47)),SUM(AQ47:AR47)),".")</f>
        <v>1</v>
      </c>
    </row>
    <row r="48" spans="1:47" x14ac:dyDescent="0.25">
      <c r="A48" s="52" t="s">
        <v>33</v>
      </c>
      <c r="B48" s="52" t="s">
        <v>289</v>
      </c>
      <c r="C48" s="53">
        <f>1/SUM(1/C49,1/C52,1/C54,1/C58,1/C59,1/C61)</f>
        <v>8.0810777194346512E-9</v>
      </c>
      <c r="D48" s="53">
        <f>1/SUM(1/D49,1/D50,1/D51,1/D52,1/D54,1/D58,1/D59,1/D61)</f>
        <v>2.7119181827016104E-8</v>
      </c>
      <c r="E48" s="53">
        <f>1/SUM(1/E49,1/E50,1/E52,1/E54,1/E55,1/E56,1/E57,1/E58,1/E59,1/E60,1/E61,1/E62)</f>
        <v>8.760488477779509E-6</v>
      </c>
      <c r="F48" s="54">
        <f>1/SUM(1/F49,1/F50,1/F51,1/F52,1/F54,1/F55,1/F56,1/F57,1/F58,1/F59,1/F60,1/F61,1/F62)</f>
        <v>4.4010463518275959E-9</v>
      </c>
      <c r="G48" s="71"/>
      <c r="H48" s="71"/>
      <c r="I48" s="71"/>
      <c r="J48" s="72">
        <f>IFERROR(IF(SUM(G49:G62)&gt;0.01,1-EXP(-SUM(G49:G62)),SUM(G49:G62)),".")</f>
        <v>1</v>
      </c>
      <c r="K48" s="72">
        <f>IFERROR(IF(SUM(H49:H62)&gt;0.01,1-EXP(-SUM(H49:H62)),SUM(H49:H62)),".")</f>
        <v>1</v>
      </c>
      <c r="L48" s="72">
        <f>IFERROR(IF(SUM(I49:I62)&gt;0.01,1-EXP(-SUM(I49:I62)),SUM(I49:I62)),".")</f>
        <v>1</v>
      </c>
      <c r="M48" s="72">
        <f>IFERROR(IF(SUM(G49:I62)&gt;0.01,1-EXP(-SUM(G49:I62)),SUM(G49:I62)),".")</f>
        <v>1</v>
      </c>
      <c r="N48" s="53">
        <f>1/SUM(1/N49,1/N52,1/N54,1/N58,1/N59,1/N61)</f>
        <v>8.0810777194346512E-9</v>
      </c>
      <c r="O48" s="53">
        <f>1/SUM(1/O49,1/O50,1/O51,1/O52,1/O54,1/O58,1/O59,1/O61)</f>
        <v>1.7056329379409328E-7</v>
      </c>
      <c r="P48" s="53">
        <f>1/SUM(1/P49,1/P50,1/P52,1/P54,1/P55,1/P56,1/P57,1/P58,1/P59,1/P60,1/P61,1/P62)</f>
        <v>8.760488477779509E-6</v>
      </c>
      <c r="Q48" s="54">
        <f>1/SUM(1/Q49,1/Q50,1/Q51,1/Q52,1/Q54,1/Q55,1/Q56,1/Q57,1/Q58,1/Q59,1/Q60,1/Q61,1/Q62)</f>
        <v>5.1993743042656341E-9</v>
      </c>
      <c r="R48" s="71"/>
      <c r="S48" s="71"/>
      <c r="T48" s="71"/>
      <c r="U48" s="72">
        <f>IFERROR(IF(SUM(R49:R62)&gt;0.01,1-EXP(-SUM(R49:R62)),SUM(R49:R62)),".")</f>
        <v>1</v>
      </c>
      <c r="V48" s="72">
        <f>IFERROR(IF(SUM(S49:S62)&gt;0.01,1-EXP(-SUM(S49:S62)),SUM(S49:S62)),".")</f>
        <v>1</v>
      </c>
      <c r="W48" s="72">
        <f>IFERROR(IF(SUM(T49:T62)&gt;0.01,1-EXP(-SUM(T49:T62)),SUM(T49:T62)),".")</f>
        <v>1</v>
      </c>
      <c r="X48" s="72">
        <f>IFERROR(IF(SUM(R49:T62)&gt;0.01,1-EXP(-SUM(R49:T62)),SUM(R49:T62)),".")</f>
        <v>1</v>
      </c>
      <c r="Y48" s="53">
        <f t="shared" ref="Y48:AC48" si="52">1/SUM(1/Y49,1/Y50,1/Y52,1/Y54,1/Y55,1/Y56,1/Y57,1/Y58,1/Y59,1/Y60,1/Y61,1/Y62)</f>
        <v>8.760488477779509E-6</v>
      </c>
      <c r="Z48" s="53">
        <f t="shared" si="52"/>
        <v>1.6491081725269444E-5</v>
      </c>
      <c r="AA48" s="53">
        <f t="shared" si="52"/>
        <v>1.1728715330277473E-5</v>
      </c>
      <c r="AB48" s="53">
        <f t="shared" si="52"/>
        <v>9.9248426208661143E-6</v>
      </c>
      <c r="AC48" s="53">
        <f t="shared" si="52"/>
        <v>2.8364244370149097E-5</v>
      </c>
      <c r="AD48" s="71"/>
      <c r="AE48" s="71"/>
      <c r="AF48" s="71"/>
      <c r="AG48" s="71"/>
      <c r="AH48" s="71"/>
      <c r="AI48" s="72">
        <f>IFERROR(IF(SUM(AD49:AD62)&gt;0.01,1-EXP(-SUM(AD49:AD62)),SUM(AD49:AD62)),".")</f>
        <v>1</v>
      </c>
      <c r="AJ48" s="72">
        <f t="shared" ref="AJ48:AM48" si="53">IFERROR(IF(SUM(AE49:AE62)&gt;0.01,1-EXP(-SUM(AE49:AE62)),SUM(AE49:AE62)),".")</f>
        <v>1</v>
      </c>
      <c r="AK48" s="72">
        <f t="shared" si="53"/>
        <v>1</v>
      </c>
      <c r="AL48" s="72">
        <f t="shared" si="53"/>
        <v>1</v>
      </c>
      <c r="AM48" s="72">
        <f t="shared" si="53"/>
        <v>1</v>
      </c>
      <c r="AN48" s="53">
        <f>1/SUM(1/AN49,1/AN50,1/AN51,1/AN52,1/AN54,1/AN58,1/AN59,1/AN61)</f>
        <v>5.3334668033400866E-11</v>
      </c>
      <c r="AO48" s="53">
        <f t="shared" ref="AO48:AP48" si="54">1/SUM(1/AO49,1/AO50,1/AO51,1/AO52,1/AO53,1/AO54,1/AO55,1/AO56,1/AO57,1/AO58,1/AO59,1/AO60,1/AO61,1/AO62)</f>
        <v>2.5955551639151204E-7</v>
      </c>
      <c r="AP48" s="54">
        <f t="shared" si="54"/>
        <v>4.7398742949509151E-11</v>
      </c>
      <c r="AQ48" s="71"/>
      <c r="AR48" s="71"/>
      <c r="AS48" s="72">
        <f>IFERROR(IF(SUM(AQ49:AQ62)&gt;0.01,1-EXP(-SUM(AQ49:AQ62)),SUM(AQ49:AQ62)),".")</f>
        <v>1</v>
      </c>
      <c r="AT48" s="72">
        <f>IFERROR(IF(SUM(AR49:AR62)&gt;0.01,1-EXP(-SUM(AR49:AR62)),SUM(AR49:AR62)),".")</f>
        <v>1</v>
      </c>
      <c r="AU48" s="72">
        <f>IFERROR(IF(SUM(AQ49:AR62)&gt;0.01,1-EXP(-SUM(AQ49:AR62)),SUM(AQ49:AR62)),".")</f>
        <v>1</v>
      </c>
    </row>
    <row r="49" spans="1:47" x14ac:dyDescent="0.25">
      <c r="A49" s="55" t="s">
        <v>305</v>
      </c>
      <c r="B49" s="50">
        <v>1</v>
      </c>
      <c r="C49" s="56">
        <f>IFERROR(C23/$B49,0)</f>
        <v>4.848484848484848E-8</v>
      </c>
      <c r="D49" s="56">
        <f>IFERROR(D23/$B49,0)</f>
        <v>2.1694802535592706E-7</v>
      </c>
      <c r="E49" s="56">
        <f>IFERROR(E23/$B49,0)</f>
        <v>5.1339087848178741E-5</v>
      </c>
      <c r="F49" s="56">
        <f t="shared" si="27"/>
        <v>3.9597879910814925E-8</v>
      </c>
      <c r="G49" s="64">
        <f>IFERROR(up_RadSpec!$I$23*G23,".")*$B$49</f>
        <v>1145821.875</v>
      </c>
      <c r="H49" s="64">
        <f>IFERROR(up_RadSpec!$G$23*H23,".")*$B$49</f>
        <v>256075.15859550191</v>
      </c>
      <c r="I49" s="64">
        <f>IFERROR(up_RadSpec!$F$23*I23,".")*$B$49</f>
        <v>1082.1189531899877</v>
      </c>
      <c r="J49" s="73">
        <f t="shared" ref="J49:L62" si="55">IFERROR(IF(G49&gt;0.01,1-EXP(-G49),G49),".")</f>
        <v>1</v>
      </c>
      <c r="K49" s="73">
        <f t="shared" si="55"/>
        <v>1</v>
      </c>
      <c r="L49" s="73">
        <f t="shared" si="55"/>
        <v>1</v>
      </c>
      <c r="M49" s="73">
        <f t="shared" ref="M49:M62" si="56">IFERROR(IF(SUM(G49:I49)&gt;0.01,1-EXP(-SUM(G49:I49)),SUM(G49:I49)),".")</f>
        <v>1</v>
      </c>
      <c r="N49" s="56">
        <f>IFERROR(N23/$B49,0)</f>
        <v>4.848484848484848E-8</v>
      </c>
      <c r="O49" s="56">
        <f>IFERROR(O23/$B49,0)</f>
        <v>1.3644722035813288E-6</v>
      </c>
      <c r="P49" s="56">
        <f>IFERROR(P23/$B49,0)</f>
        <v>5.1339087848178741E-5</v>
      </c>
      <c r="Q49" s="56">
        <f t="shared" ref="Q49:Q61" si="57">IF(AND(N49&lt;&gt;0,O49&lt;&gt;0,P49&lt;&gt;0),1/((1/N49)+(1/O49)+(1/P49)),IF(AND(N49&lt;&gt;0,O49&lt;&gt;0,P49=0), 1/((1/N49)+(1/O49)),IF(AND(N49&lt;&gt;0,O49=0,P49&lt;&gt;0),1/((1/N49)+(1/P49)),IF(AND(N49=0,O49&lt;&gt;0,P49&lt;&gt;0),1/((1/O49)+(1/P49)),IF(AND(N49&lt;&gt;0,O49=0,P49=0),1/((1/N49)),IF(AND(N49=0,O49&lt;&gt;0,P49=0),1/((1/O49)),IF(AND(N49=0,O49=0,P49&lt;&gt;0),1/((1/P49)),IF(AND(N49=0,O49=0,P49=0),0))))))))</f>
        <v>4.6778455593398685E-8</v>
      </c>
      <c r="R49" s="64">
        <f>IFERROR(up_RadSpec!$I$23*R23,".")*$B$49</f>
        <v>1145821.875</v>
      </c>
      <c r="S49" s="64">
        <f>IFERROR(up_RadSpec!$G$23*S23,".")*$B$49</f>
        <v>40715.376871866531</v>
      </c>
      <c r="T49" s="64">
        <f>IFERROR(up_RadSpec!$F$23*T23,".")*$B$49</f>
        <v>1082.1189531899877</v>
      </c>
      <c r="U49" s="73">
        <f t="shared" ref="U49:W62" si="58">IFERROR(IF(R49&gt;0.01,1-EXP(-R49),R49),".")</f>
        <v>1</v>
      </c>
      <c r="V49" s="73">
        <f t="shared" si="58"/>
        <v>1</v>
      </c>
      <c r="W49" s="73">
        <f t="shared" si="58"/>
        <v>1</v>
      </c>
      <c r="X49" s="73">
        <f t="shared" ref="X49:X62" si="59">IFERROR(IF(SUM(R49:T49)&gt;0.01,1-EXP(-SUM(R49:T49)),SUM(R49:T49)),".")</f>
        <v>1</v>
      </c>
      <c r="Y49" s="56">
        <f t="shared" ref="Y49:AO49" si="60">IFERROR(Y23/$B49,0)</f>
        <v>5.1339087848178741E-5</v>
      </c>
      <c r="Z49" s="56">
        <f t="shared" si="60"/>
        <v>9.138454221165286E-5</v>
      </c>
      <c r="AA49" s="56">
        <f t="shared" si="60"/>
        <v>6.4620326152322301E-5</v>
      </c>
      <c r="AB49" s="56">
        <f t="shared" si="60"/>
        <v>5.2880879120879109E-5</v>
      </c>
      <c r="AC49" s="56">
        <f t="shared" si="60"/>
        <v>1.4385353675450759E-4</v>
      </c>
      <c r="AD49" s="64">
        <f>IFERROR(up_RadSpec!$F$23*AD23,".")*$B$49</f>
        <v>1082.1189531899877</v>
      </c>
      <c r="AE49" s="64">
        <f>IFERROR(up_RadSpec!$M$23*AE23,".")*$B$49</f>
        <v>607.92557094974347</v>
      </c>
      <c r="AF49" s="64">
        <f>IFERROR(up_RadSpec!$N$23*AF23,".")*$B$49</f>
        <v>859.71401427232627</v>
      </c>
      <c r="AG49" s="64">
        <f>IFERROR(up_RadSpec!$O$23*AG23,".")*$B$49</f>
        <v>1050.5687674557787</v>
      </c>
      <c r="AH49" s="64">
        <f>IFERROR(up_RadSpec!$K$23*AH23,".")*$B$49</f>
        <v>386.1914086603727</v>
      </c>
      <c r="AI49" s="73">
        <f t="shared" ref="AI49:AM62" si="61">IFERROR(IF(AD49&gt;0.01,1-EXP(-AD49),AD49),".")</f>
        <v>1</v>
      </c>
      <c r="AJ49" s="73">
        <f t="shared" si="61"/>
        <v>1</v>
      </c>
      <c r="AK49" s="73">
        <f t="shared" si="61"/>
        <v>1</v>
      </c>
      <c r="AL49" s="73">
        <f t="shared" si="61"/>
        <v>1</v>
      </c>
      <c r="AM49" s="73">
        <f t="shared" si="61"/>
        <v>1</v>
      </c>
      <c r="AN49" s="56">
        <f t="shared" si="60"/>
        <v>4.2666666666666664E-10</v>
      </c>
      <c r="AO49" s="56">
        <f t="shared" si="60"/>
        <v>2.3359999999999997E-6</v>
      </c>
      <c r="AP49" s="56">
        <f t="shared" ref="AP49:AP62" si="62">IFERROR(IF(AND(AN49&lt;&gt;0,AO49&lt;&gt;0),1/((1/AN49)+(1/AO49)),IF(AND(AN49&lt;&gt;0,AO49=0),1/((1/AN49)),IF(AND(AN49=0,AO49&lt;&gt;0),1/((1/AO49)),IF(AND(AN49=0,AO49=0),0)))),0)</f>
        <v>4.2658875091307519E-10</v>
      </c>
      <c r="AQ49" s="64">
        <f>IFERROR(up_RadSpec!$G$23*AQ23,".")*$B$49</f>
        <v>130207031.25</v>
      </c>
      <c r="AR49" s="64">
        <f>IFERROR(up_RadSpec!$J$23*AR23,".")*$B$49</f>
        <v>23782.106164383556</v>
      </c>
      <c r="AS49" s="73">
        <f t="shared" ref="AS49:AT62" si="63">IFERROR(IF(AQ49&gt;0.01,1-EXP(-AQ49),AQ49),".")</f>
        <v>1</v>
      </c>
      <c r="AT49" s="73">
        <f t="shared" si="63"/>
        <v>1</v>
      </c>
      <c r="AU49" s="73">
        <f t="shared" ref="AU49:AU62" si="64">IFERROR(IF(SUM(AQ49:AR49)&gt;0.01,1-EXP(-SUM(AQ49:AR49)),SUM(AQ49:AR49)),".")</f>
        <v>1</v>
      </c>
    </row>
    <row r="50" spans="1:47" x14ac:dyDescent="0.25">
      <c r="A50" s="55" t="s">
        <v>306</v>
      </c>
      <c r="B50" s="50">
        <v>1</v>
      </c>
      <c r="C50" s="56">
        <f>IFERROR(C25/$B50,0)</f>
        <v>4.848484848484848E-8</v>
      </c>
      <c r="D50" s="56">
        <f>IFERROR(D25/$B50,0)</f>
        <v>2.1694802535592706E-7</v>
      </c>
      <c r="E50" s="56">
        <f>IFERROR(E25/$B50,0)</f>
        <v>7.5052208835341366E-5</v>
      </c>
      <c r="F50" s="56">
        <f t="shared" si="27"/>
        <v>3.9607532121831762E-8</v>
      </c>
      <c r="G50" s="64">
        <f>IFERROR(up_RadSpec!$I$25*G25,".")*$B$50</f>
        <v>1145821.875</v>
      </c>
      <c r="H50" s="64">
        <f>IFERROR(up_RadSpec!$G$25*H25,".")*$B$50</f>
        <v>256075.15859550191</v>
      </c>
      <c r="I50" s="64">
        <f>IFERROR(up_RadSpec!$F$25*I25,".")*$B$50</f>
        <v>740.2180543664382</v>
      </c>
      <c r="J50" s="73">
        <f t="shared" si="55"/>
        <v>1</v>
      </c>
      <c r="K50" s="73">
        <f t="shared" si="55"/>
        <v>1</v>
      </c>
      <c r="L50" s="73">
        <f t="shared" si="55"/>
        <v>1</v>
      </c>
      <c r="M50" s="73">
        <f t="shared" si="56"/>
        <v>1</v>
      </c>
      <c r="N50" s="56">
        <f>IFERROR(N25/$B50,0)</f>
        <v>4.848484848484848E-8</v>
      </c>
      <c r="O50" s="56">
        <f>IFERROR(O25/$B50,0)</f>
        <v>1.3644722035813288E-6</v>
      </c>
      <c r="P50" s="56">
        <f>IFERROR(P25/$B50,0)</f>
        <v>7.5052208835341366E-5</v>
      </c>
      <c r="Q50" s="56">
        <f t="shared" si="57"/>
        <v>4.6791926409124639E-8</v>
      </c>
      <c r="R50" s="64">
        <f>IFERROR(up_RadSpec!$I$25*R25,".")*$B$50</f>
        <v>1145821.875</v>
      </c>
      <c r="S50" s="64">
        <f>IFERROR(up_RadSpec!$G$25*S25,".")*$B$50</f>
        <v>40715.376871866531</v>
      </c>
      <c r="T50" s="64">
        <f>IFERROR(up_RadSpec!$F$25*T25,".")*$B$50</f>
        <v>740.2180543664382</v>
      </c>
      <c r="U50" s="73">
        <f t="shared" si="58"/>
        <v>1</v>
      </c>
      <c r="V50" s="73">
        <f t="shared" si="58"/>
        <v>1</v>
      </c>
      <c r="W50" s="73">
        <f t="shared" si="58"/>
        <v>1</v>
      </c>
      <c r="X50" s="73">
        <f t="shared" si="59"/>
        <v>1</v>
      </c>
      <c r="Y50" s="56">
        <f t="shared" ref="Y50:AO50" si="65">IFERROR(Y25/$B50,0)</f>
        <v>7.5052208835341366E-5</v>
      </c>
      <c r="Z50" s="56">
        <f t="shared" si="65"/>
        <v>1.3440293174530455E-4</v>
      </c>
      <c r="AA50" s="56">
        <f t="shared" si="65"/>
        <v>9.640795159896285E-5</v>
      </c>
      <c r="AB50" s="56">
        <f t="shared" si="65"/>
        <v>8.6089873967840056E-5</v>
      </c>
      <c r="AC50" s="56">
        <f t="shared" si="65"/>
        <v>2.4096969696969694E-4</v>
      </c>
      <c r="AD50" s="64">
        <f>IFERROR(up_RadSpec!$F$25*AD25,".")*$B$50</f>
        <v>740.2180543664382</v>
      </c>
      <c r="AE50" s="64">
        <f>IFERROR(up_RadSpec!$M$25*AE25,".")*$B$50</f>
        <v>413.34663819147551</v>
      </c>
      <c r="AF50" s="64">
        <f>IFERROR(up_RadSpec!$N$25*AF25,".")*$B$50</f>
        <v>576.24914831815227</v>
      </c>
      <c r="AG50" s="64">
        <f>IFERROR(up_RadSpec!$O$25*AG25,".")*$B$50</f>
        <v>645.31398920102095</v>
      </c>
      <c r="AH50" s="64">
        <f>IFERROR(up_RadSpec!$K$25*AH25,".")*$B$50</f>
        <v>230.54766096579473</v>
      </c>
      <c r="AI50" s="73">
        <f t="shared" si="61"/>
        <v>1</v>
      </c>
      <c r="AJ50" s="73">
        <f t="shared" si="61"/>
        <v>1</v>
      </c>
      <c r="AK50" s="73">
        <f t="shared" si="61"/>
        <v>1</v>
      </c>
      <c r="AL50" s="73">
        <f t="shared" si="61"/>
        <v>1</v>
      </c>
      <c r="AM50" s="73">
        <f t="shared" si="61"/>
        <v>1</v>
      </c>
      <c r="AN50" s="56">
        <f t="shared" si="65"/>
        <v>4.2666666666666664E-10</v>
      </c>
      <c r="AO50" s="56">
        <f t="shared" si="65"/>
        <v>2.3359999999999997E-6</v>
      </c>
      <c r="AP50" s="56">
        <f t="shared" si="62"/>
        <v>4.2658875091307519E-10</v>
      </c>
      <c r="AQ50" s="64">
        <f>IFERROR(up_RadSpec!$G$25*AQ$25,".")*$B$50</f>
        <v>130207031.25</v>
      </c>
      <c r="AR50" s="64">
        <f>IFERROR(up_RadSpec!$J$25*AR25,".")*$B$50</f>
        <v>23782.106164383556</v>
      </c>
      <c r="AS50" s="73">
        <f t="shared" si="63"/>
        <v>1</v>
      </c>
      <c r="AT50" s="73">
        <f t="shared" si="63"/>
        <v>1</v>
      </c>
      <c r="AU50" s="73">
        <f t="shared" si="64"/>
        <v>1</v>
      </c>
    </row>
    <row r="51" spans="1:47" x14ac:dyDescent="0.25">
      <c r="A51" s="55" t="s">
        <v>307</v>
      </c>
      <c r="B51" s="50">
        <v>1</v>
      </c>
      <c r="C51" s="56">
        <f>IFERROR(C21/$B51,0)</f>
        <v>4.848484848484848E-8</v>
      </c>
      <c r="D51" s="56">
        <f>IFERROR(D21/$B51,0)</f>
        <v>2.1694802535592706E-7</v>
      </c>
      <c r="E51" s="56">
        <f>IFERROR(E21/$B51,0)</f>
        <v>0</v>
      </c>
      <c r="F51" s="56">
        <f t="shared" si="27"/>
        <v>3.9628445362720997E-8</v>
      </c>
      <c r="G51" s="64">
        <f>IFERROR(up_RadSpec!$I$21*G21,".")*$B$51</f>
        <v>1145821.875</v>
      </c>
      <c r="H51" s="64">
        <f>IFERROR(up_RadSpec!$G$21*H21,".")*$B$51</f>
        <v>256075.15859550191</v>
      </c>
      <c r="I51" s="64">
        <f>IFERROR(up_RadSpec!$F$21*I21,".")*$B$51</f>
        <v>0</v>
      </c>
      <c r="J51" s="73">
        <f t="shared" si="55"/>
        <v>1</v>
      </c>
      <c r="K51" s="73">
        <f t="shared" si="55"/>
        <v>1</v>
      </c>
      <c r="L51" s="73">
        <f t="shared" si="55"/>
        <v>0</v>
      </c>
      <c r="M51" s="73">
        <f t="shared" si="56"/>
        <v>1</v>
      </c>
      <c r="N51" s="56">
        <f>IFERROR(N21/$B51,0)</f>
        <v>4.848484848484848E-8</v>
      </c>
      <c r="O51" s="56">
        <f>IFERROR(O21/$B51,0)</f>
        <v>1.3644722035813288E-6</v>
      </c>
      <c r="P51" s="56">
        <f>IFERROR(P21/$B51,0)</f>
        <v>0</v>
      </c>
      <c r="Q51" s="56">
        <f t="shared" si="57"/>
        <v>4.6821117425817949E-8</v>
      </c>
      <c r="R51" s="64">
        <f>IFERROR(up_RadSpec!$I$21*R21,".")*$B$51</f>
        <v>1145821.875</v>
      </c>
      <c r="S51" s="64">
        <f>IFERROR(up_RadSpec!$G$21*S21,".")*$B$51</f>
        <v>40715.376871866531</v>
      </c>
      <c r="T51" s="64">
        <f>IFERROR(up_RadSpec!$F$21*T21,".")*$B$51</f>
        <v>0</v>
      </c>
      <c r="U51" s="73">
        <f t="shared" si="58"/>
        <v>1</v>
      </c>
      <c r="V51" s="73">
        <f t="shared" si="58"/>
        <v>1</v>
      </c>
      <c r="W51" s="73">
        <f t="shared" si="58"/>
        <v>0</v>
      </c>
      <c r="X51" s="73">
        <f t="shared" si="59"/>
        <v>1</v>
      </c>
      <c r="Y51" s="56">
        <f t="shared" ref="Y51:AO51" si="66">IFERROR(Y21/$B51,0)</f>
        <v>0</v>
      </c>
      <c r="Z51" s="56">
        <f t="shared" si="66"/>
        <v>0</v>
      </c>
      <c r="AA51" s="56">
        <f t="shared" si="66"/>
        <v>0</v>
      </c>
      <c r="AB51" s="56">
        <f t="shared" si="66"/>
        <v>0</v>
      </c>
      <c r="AC51" s="56">
        <f t="shared" si="66"/>
        <v>0</v>
      </c>
      <c r="AD51" s="64">
        <f>IFERROR(up_RadSpec!$F$21*AD21,".")*$B$51</f>
        <v>0</v>
      </c>
      <c r="AE51" s="64">
        <f>IFERROR(up_RadSpec!$M$21*AE21,".")*$B$51</f>
        <v>0</v>
      </c>
      <c r="AF51" s="64">
        <f>IFERROR(up_RadSpec!$N$21*AF21,".")*$B$51</f>
        <v>0</v>
      </c>
      <c r="AG51" s="64">
        <f>IFERROR(up_RadSpec!$O$21*AG21,".")*$B$51</f>
        <v>0</v>
      </c>
      <c r="AH51" s="64">
        <f>IFERROR(up_RadSpec!$K$21*AH21,".")*$B$51</f>
        <v>0</v>
      </c>
      <c r="AI51" s="73">
        <f t="shared" si="61"/>
        <v>0</v>
      </c>
      <c r="AJ51" s="73">
        <f t="shared" si="61"/>
        <v>0</v>
      </c>
      <c r="AK51" s="73">
        <f t="shared" si="61"/>
        <v>0</v>
      </c>
      <c r="AL51" s="73">
        <f t="shared" si="61"/>
        <v>0</v>
      </c>
      <c r="AM51" s="73">
        <f t="shared" si="61"/>
        <v>0</v>
      </c>
      <c r="AN51" s="56">
        <f t="shared" si="66"/>
        <v>4.2666666666666664E-10</v>
      </c>
      <c r="AO51" s="56">
        <f t="shared" si="66"/>
        <v>2.3359999999999997E-6</v>
      </c>
      <c r="AP51" s="56">
        <f t="shared" si="62"/>
        <v>4.2658875091307519E-10</v>
      </c>
      <c r="AQ51" s="64">
        <f>IFERROR(up_RadSpec!$G$21*AQ21,".")*$B$51</f>
        <v>130207031.25</v>
      </c>
      <c r="AR51" s="64">
        <f>IFERROR(up_RadSpec!$J$21*AR21,".")*$B$51</f>
        <v>23782.106164383556</v>
      </c>
      <c r="AS51" s="73">
        <f t="shared" si="63"/>
        <v>1</v>
      </c>
      <c r="AT51" s="73">
        <f t="shared" si="63"/>
        <v>1</v>
      </c>
      <c r="AU51" s="73">
        <f t="shared" si="64"/>
        <v>1</v>
      </c>
    </row>
    <row r="52" spans="1:47" x14ac:dyDescent="0.25">
      <c r="A52" s="55" t="s">
        <v>308</v>
      </c>
      <c r="B52" s="58">
        <v>0.99980000000000002</v>
      </c>
      <c r="C52" s="56">
        <f>IFERROR(C17/$B52,0)</f>
        <v>4.8494547394327344E-8</v>
      </c>
      <c r="D52" s="56">
        <f>IFERROR(D17/$B52,0)</f>
        <v>2.1699142364065518E-7</v>
      </c>
      <c r="E52" s="56">
        <f>IFERROR(E17/$B52,0)</f>
        <v>1.0316868568518891E-4</v>
      </c>
      <c r="F52" s="56">
        <f t="shared" si="27"/>
        <v>3.9621150589214775E-8</v>
      </c>
      <c r="G52" s="64">
        <f>IFERROR(up_RadSpec!$I$17*G17,".")*$B$52</f>
        <v>1145592.7106250001</v>
      </c>
      <c r="H52" s="64">
        <f>IFERROR(up_RadSpec!$G$17*H17,".")*$B$52</f>
        <v>256023.94356378281</v>
      </c>
      <c r="I52" s="64">
        <f>IFERROR(up_RadSpec!$F$17*I17,".")*$B$52</f>
        <v>538.48703830076556</v>
      </c>
      <c r="J52" s="73">
        <f t="shared" si="55"/>
        <v>1</v>
      </c>
      <c r="K52" s="73">
        <f t="shared" si="55"/>
        <v>1</v>
      </c>
      <c r="L52" s="73">
        <f t="shared" si="55"/>
        <v>1</v>
      </c>
      <c r="M52" s="73">
        <f t="shared" si="56"/>
        <v>1</v>
      </c>
      <c r="N52" s="56">
        <f>IFERROR(N17/$B52,0)</f>
        <v>4.8494547394327344E-8</v>
      </c>
      <c r="O52" s="56">
        <f>IFERROR(O17/$B52,0)</f>
        <v>1.364745152611851E-6</v>
      </c>
      <c r="P52" s="56">
        <f>IFERROR(P17/$B52,0)</f>
        <v>1.0316868568518891E-4</v>
      </c>
      <c r="Q52" s="56">
        <f t="shared" si="57"/>
        <v>4.6809235804462618E-8</v>
      </c>
      <c r="R52" s="64">
        <f>IFERROR(up_RadSpec!$I$17*R17,".")*$B$52</f>
        <v>1145592.7106250001</v>
      </c>
      <c r="S52" s="64">
        <f>IFERROR(up_RadSpec!$G$17*S17,".")*$B$52</f>
        <v>40707.233796492161</v>
      </c>
      <c r="T52" s="64">
        <f>IFERROR(up_RadSpec!$F$17*T17,".")*$B$52</f>
        <v>538.48703830076556</v>
      </c>
      <c r="U52" s="73">
        <f t="shared" si="58"/>
        <v>1</v>
      </c>
      <c r="V52" s="73">
        <f t="shared" si="58"/>
        <v>1</v>
      </c>
      <c r="W52" s="73">
        <f t="shared" si="58"/>
        <v>1</v>
      </c>
      <c r="X52" s="73">
        <f t="shared" si="59"/>
        <v>1</v>
      </c>
      <c r="Y52" s="56">
        <f t="shared" ref="Y52:AO52" si="67">IFERROR(Y17/$B52,0)</f>
        <v>1.0316868568518891E-4</v>
      </c>
      <c r="Z52" s="56">
        <f t="shared" si="67"/>
        <v>1.8030885430496009E-4</v>
      </c>
      <c r="AA52" s="56">
        <f t="shared" si="67"/>
        <v>1.3584729210207246E-4</v>
      </c>
      <c r="AB52" s="56">
        <f t="shared" si="67"/>
        <v>1.2079968772729121E-4</v>
      </c>
      <c r="AC52" s="56">
        <f t="shared" si="67"/>
        <v>3.4549630590707966E-4</v>
      </c>
      <c r="AD52" s="64">
        <f>IFERROR(up_RadSpec!$F$17*AD17,".")*$B$52</f>
        <v>538.48703830076556</v>
      </c>
      <c r="AE52" s="64">
        <f>IFERROR(up_RadSpec!$M$17*AE17,".")*$B$52</f>
        <v>308.11021574147804</v>
      </c>
      <c r="AF52" s="64">
        <f>IFERROR(up_RadSpec!$N$17*AF17,".")*$B$52</f>
        <v>408.95183952770486</v>
      </c>
      <c r="AG52" s="64">
        <f>IFERROR(up_RadSpec!$O$17*AG17,".")*$B$52</f>
        <v>459.89357294877288</v>
      </c>
      <c r="AH52" s="64">
        <f>IFERROR(up_RadSpec!$K$17*AH17,".")*$B$52</f>
        <v>160.79766715346986</v>
      </c>
      <c r="AI52" s="73">
        <f t="shared" si="61"/>
        <v>1</v>
      </c>
      <c r="AJ52" s="73">
        <f t="shared" si="61"/>
        <v>1</v>
      </c>
      <c r="AK52" s="73">
        <f t="shared" si="61"/>
        <v>1</v>
      </c>
      <c r="AL52" s="73">
        <f t="shared" si="61"/>
        <v>1</v>
      </c>
      <c r="AM52" s="73">
        <f t="shared" si="61"/>
        <v>1</v>
      </c>
      <c r="AN52" s="56">
        <f t="shared" si="67"/>
        <v>4.2675201707008062E-10</v>
      </c>
      <c r="AO52" s="56">
        <f t="shared" si="67"/>
        <v>2.3364672934586915E-6</v>
      </c>
      <c r="AP52" s="56">
        <f t="shared" si="62"/>
        <v>4.2667408573022117E-10</v>
      </c>
      <c r="AQ52" s="64">
        <f>IFERROR(up_RadSpec!$G$17*AQ17,".")*$B$52</f>
        <v>130180989.84375</v>
      </c>
      <c r="AR52" s="64">
        <f>IFERROR(up_RadSpec!$J$17*AR17,".")*$B$52</f>
        <v>23777.34974315068</v>
      </c>
      <c r="AS52" s="73">
        <f t="shared" si="63"/>
        <v>1</v>
      </c>
      <c r="AT52" s="73">
        <f t="shared" si="63"/>
        <v>1</v>
      </c>
      <c r="AU52" s="73">
        <f t="shared" si="64"/>
        <v>1</v>
      </c>
    </row>
    <row r="53" spans="1:47" x14ac:dyDescent="0.25">
      <c r="A53" s="55" t="s">
        <v>309</v>
      </c>
      <c r="B53" s="50">
        <v>2.0000000000000001E-4</v>
      </c>
      <c r="C53" s="56">
        <f>IFERROR(C5/$B53,0)</f>
        <v>2.4242424242424239E-4</v>
      </c>
      <c r="D53" s="56">
        <f>IFERROR(D5/$B53,0)</f>
        <v>1.0847401267796352E-3</v>
      </c>
      <c r="E53" s="56">
        <f>IFERROR(E5/$B53,0)</f>
        <v>0</v>
      </c>
      <c r="F53" s="56">
        <f t="shared" si="27"/>
        <v>1.9814222681360498E-4</v>
      </c>
      <c r="G53" s="64">
        <f>IFERROR(up_RadSpec!$I$5*G5,".")*$B$53</f>
        <v>229.16437500000001</v>
      </c>
      <c r="H53" s="64">
        <f>IFERROR(up_RadSpec!$G$5*H5,".")*$B$53</f>
        <v>51.215031719100388</v>
      </c>
      <c r="I53" s="64">
        <f>IFERROR(up_RadSpec!$F$5*I5,".")*$B$53</f>
        <v>0</v>
      </c>
      <c r="J53" s="73">
        <f t="shared" si="55"/>
        <v>1</v>
      </c>
      <c r="K53" s="73">
        <f t="shared" si="55"/>
        <v>1</v>
      </c>
      <c r="L53" s="73">
        <f t="shared" si="55"/>
        <v>0</v>
      </c>
      <c r="M53" s="73">
        <f t="shared" si="56"/>
        <v>1</v>
      </c>
      <c r="N53" s="56">
        <f>IFERROR(N5/$B53,0)</f>
        <v>2.4242424242424239E-4</v>
      </c>
      <c r="O53" s="56">
        <f>IFERROR(O5/$B53,0)</f>
        <v>6.8223610179066431E-3</v>
      </c>
      <c r="P53" s="56">
        <f>IFERROR(P5/$B53,0)</f>
        <v>0</v>
      </c>
      <c r="Q53" s="56">
        <f t="shared" si="57"/>
        <v>2.341055871290897E-4</v>
      </c>
      <c r="R53" s="64">
        <f>IFERROR(up_RadSpec!$I$5*R5,".")*$B$53</f>
        <v>229.16437500000001</v>
      </c>
      <c r="S53" s="64">
        <f>IFERROR(up_RadSpec!$G$5*S5,".")*$B$53</f>
        <v>8.1430753743733071</v>
      </c>
      <c r="T53" s="64">
        <f>IFERROR(up_RadSpec!$F$5*T5,".")*$B$53</f>
        <v>0</v>
      </c>
      <c r="U53" s="73">
        <f t="shared" si="58"/>
        <v>1</v>
      </c>
      <c r="V53" s="73">
        <f t="shared" si="58"/>
        <v>0.99970925831760116</v>
      </c>
      <c r="W53" s="73">
        <f t="shared" si="58"/>
        <v>0</v>
      </c>
      <c r="X53" s="73">
        <f t="shared" si="59"/>
        <v>1</v>
      </c>
      <c r="Y53" s="56">
        <f t="shared" ref="Y53:AO53" si="68">IFERROR(Y5/$B53,0)</f>
        <v>0</v>
      </c>
      <c r="Z53" s="56">
        <f t="shared" si="68"/>
        <v>0</v>
      </c>
      <c r="AA53" s="56">
        <f t="shared" si="68"/>
        <v>0</v>
      </c>
      <c r="AB53" s="56">
        <f t="shared" si="68"/>
        <v>0</v>
      </c>
      <c r="AC53" s="56">
        <f t="shared" si="68"/>
        <v>0</v>
      </c>
      <c r="AD53" s="64">
        <f>IFERROR(up_RadSpec!$F$5*AD5,".")*$B$53</f>
        <v>0</v>
      </c>
      <c r="AE53" s="64">
        <f>IFERROR(up_RadSpec!$M$5*AE5,".")*$B$53</f>
        <v>0</v>
      </c>
      <c r="AF53" s="64">
        <f>IFERROR(up_RadSpec!$N$5*AF5,".")*$B$53</f>
        <v>0</v>
      </c>
      <c r="AG53" s="64">
        <f>IFERROR(up_RadSpec!$O$5*AG5,".")*$B$53</f>
        <v>0</v>
      </c>
      <c r="AH53" s="64">
        <f>IFERROR(up_RadSpec!$K$5*AH5,".")*$B$53</f>
        <v>0</v>
      </c>
      <c r="AI53" s="73">
        <f t="shared" si="61"/>
        <v>0</v>
      </c>
      <c r="AJ53" s="73">
        <f t="shared" si="61"/>
        <v>0</v>
      </c>
      <c r="AK53" s="73">
        <f t="shared" si="61"/>
        <v>0</v>
      </c>
      <c r="AL53" s="73">
        <f t="shared" si="61"/>
        <v>0</v>
      </c>
      <c r="AM53" s="73">
        <f t="shared" si="61"/>
        <v>0</v>
      </c>
      <c r="AN53" s="56">
        <f t="shared" si="68"/>
        <v>2.133333333333333E-6</v>
      </c>
      <c r="AO53" s="56">
        <f t="shared" si="68"/>
        <v>1.1679999999999998E-2</v>
      </c>
      <c r="AP53" s="56">
        <f t="shared" si="62"/>
        <v>2.1329437545653759E-6</v>
      </c>
      <c r="AQ53" s="64">
        <f>IFERROR(up_RadSpec!$G$5*AQ5,".")*$B$53</f>
        <v>26041.40625</v>
      </c>
      <c r="AR53" s="64">
        <f>IFERROR(up_RadSpec!$J$5*AR5,".")*$B$53</f>
        <v>4.7564212328767113</v>
      </c>
      <c r="AS53" s="73">
        <f t="shared" si="63"/>
        <v>1</v>
      </c>
      <c r="AT53" s="73">
        <f t="shared" si="63"/>
        <v>0.99140368136336743</v>
      </c>
      <c r="AU53" s="73">
        <f t="shared" si="64"/>
        <v>1</v>
      </c>
    </row>
    <row r="54" spans="1:47" x14ac:dyDescent="0.25">
      <c r="A54" s="55" t="s">
        <v>310</v>
      </c>
      <c r="B54" s="50">
        <v>0.99999979999999999</v>
      </c>
      <c r="C54" s="56">
        <f>IFERROR(C9/$B54,0)</f>
        <v>4.8484858181820117E-8</v>
      </c>
      <c r="D54" s="56">
        <f>IFERROR(D9/$B54,0)</f>
        <v>2.169480687455408E-7</v>
      </c>
      <c r="E54" s="56">
        <f>IFERROR(E9/$B54,0)</f>
        <v>3.8136540207877301E-5</v>
      </c>
      <c r="F54" s="56">
        <f t="shared" si="27"/>
        <v>3.9587317303185631E-8</v>
      </c>
      <c r="G54" s="64">
        <f>IFERROR(up_RadSpec!$I$9*G9,".")*$B$54</f>
        <v>1145821.645835625</v>
      </c>
      <c r="H54" s="64">
        <f>IFERROR(up_RadSpec!$G$9*H9,".")*$B$54</f>
        <v>256075.1073804702</v>
      </c>
      <c r="I54" s="64">
        <f>IFERROR(up_RadSpec!$F$9*I9,".")*$B$54</f>
        <v>1456.7393816318138</v>
      </c>
      <c r="J54" s="73">
        <f t="shared" si="55"/>
        <v>1</v>
      </c>
      <c r="K54" s="73">
        <f t="shared" si="55"/>
        <v>1</v>
      </c>
      <c r="L54" s="73">
        <f t="shared" si="55"/>
        <v>1</v>
      </c>
      <c r="M54" s="73">
        <f t="shared" si="56"/>
        <v>1</v>
      </c>
      <c r="N54" s="56">
        <f>IFERROR(N9/$B54,0)</f>
        <v>4.8484858181820117E-8</v>
      </c>
      <c r="O54" s="56">
        <f>IFERROR(O9/$B54,0)</f>
        <v>1.3644724764758241E-6</v>
      </c>
      <c r="P54" s="56">
        <f>IFERROR(P9/$B54,0)</f>
        <v>3.8136540207877301E-5</v>
      </c>
      <c r="Q54" s="56">
        <f t="shared" si="57"/>
        <v>4.676371387936017E-8</v>
      </c>
      <c r="R54" s="64">
        <f>IFERROR(up_RadSpec!$I$9*R9,".")*$B$54</f>
        <v>1145821.645835625</v>
      </c>
      <c r="S54" s="64">
        <f>IFERROR(up_RadSpec!$G$9*S9,".")*$B$54</f>
        <v>40715.368728791153</v>
      </c>
      <c r="T54" s="64">
        <f>IFERROR(up_RadSpec!$F$9*T9,".")*$B$54</f>
        <v>1456.7393816318138</v>
      </c>
      <c r="U54" s="73">
        <f t="shared" si="58"/>
        <v>1</v>
      </c>
      <c r="V54" s="73">
        <f t="shared" si="58"/>
        <v>1</v>
      </c>
      <c r="W54" s="73">
        <f t="shared" si="58"/>
        <v>1</v>
      </c>
      <c r="X54" s="73">
        <f t="shared" si="59"/>
        <v>1</v>
      </c>
      <c r="Y54" s="56">
        <f t="shared" ref="Y54:AO54" si="69">IFERROR(Y9/$B54,0)</f>
        <v>3.8136540207877301E-5</v>
      </c>
      <c r="Z54" s="56">
        <f t="shared" si="69"/>
        <v>7.8110015622003144E-5</v>
      </c>
      <c r="AA54" s="56">
        <f t="shared" si="69"/>
        <v>5.4959735479893466E-5</v>
      </c>
      <c r="AB54" s="56">
        <f t="shared" si="69"/>
        <v>4.5304251485092718E-5</v>
      </c>
      <c r="AC54" s="56">
        <f t="shared" si="69"/>
        <v>1.3835466833543353E-4</v>
      </c>
      <c r="AD54" s="64">
        <f>IFERROR(up_RadSpec!$F$9*AD9,".")*$B$54</f>
        <v>1456.7393816318138</v>
      </c>
      <c r="AE54" s="64">
        <f>IFERROR(up_RadSpec!$M$9*AE9,".")*$B$54</f>
        <v>711.24041593905986</v>
      </c>
      <c r="AF54" s="64">
        <f>IFERROR(up_RadSpec!$N$9*AF9,".")*$B$54</f>
        <v>1010.8309203985214</v>
      </c>
      <c r="AG54" s="64">
        <f>IFERROR(up_RadSpec!$O$9*AG9,".")*$B$54</f>
        <v>1226.2646038480575</v>
      </c>
      <c r="AH54" s="64">
        <f>IFERROR(up_RadSpec!$K$9*AH9,".")*$B$54</f>
        <v>401.54048047955882</v>
      </c>
      <c r="AI54" s="73">
        <f t="shared" si="61"/>
        <v>1</v>
      </c>
      <c r="AJ54" s="73">
        <f t="shared" si="61"/>
        <v>1</v>
      </c>
      <c r="AK54" s="73">
        <f t="shared" si="61"/>
        <v>1</v>
      </c>
      <c r="AL54" s="73">
        <f t="shared" si="61"/>
        <v>1</v>
      </c>
      <c r="AM54" s="73">
        <f t="shared" si="61"/>
        <v>1</v>
      </c>
      <c r="AN54" s="56">
        <f t="shared" si="69"/>
        <v>4.2666675200001703E-10</v>
      </c>
      <c r="AO54" s="56">
        <f t="shared" si="69"/>
        <v>2.3360004672000932E-6</v>
      </c>
      <c r="AP54" s="56">
        <f t="shared" si="62"/>
        <v>4.2658883623084248E-10</v>
      </c>
      <c r="AQ54" s="64">
        <f>IFERROR(up_RadSpec!$G$9*AQ9,".")*$B$54</f>
        <v>130207005.20859376</v>
      </c>
      <c r="AR54" s="64">
        <f>IFERROR(up_RadSpec!$J$9*AR9,".")*$B$54</f>
        <v>23782.101407962324</v>
      </c>
      <c r="AS54" s="73">
        <f t="shared" si="63"/>
        <v>1</v>
      </c>
      <c r="AT54" s="73">
        <f t="shared" si="63"/>
        <v>1</v>
      </c>
      <c r="AU54" s="73">
        <f t="shared" si="64"/>
        <v>1</v>
      </c>
    </row>
    <row r="55" spans="1:47" x14ac:dyDescent="0.25">
      <c r="A55" s="55" t="s">
        <v>311</v>
      </c>
      <c r="B55" s="50">
        <v>1.9999999999999999E-7</v>
      </c>
      <c r="C55" s="56">
        <f>IFERROR(C24/$B55,0)</f>
        <v>0.2424242424242424</v>
      </c>
      <c r="D55" s="56">
        <f>IFERROR(D24/$B55,0)</f>
        <v>1.0847401267796353</v>
      </c>
      <c r="E55" s="56">
        <f>IFERROR(E24/$B55,0)</f>
        <v>336.50732335425732</v>
      </c>
      <c r="F55" s="56">
        <f t="shared" si="27"/>
        <v>0.19802562537389001</v>
      </c>
      <c r="G55" s="64">
        <f>IFERROR(up_RadSpec!$I$24*G24,".")*$B$55</f>
        <v>0.229164375</v>
      </c>
      <c r="H55" s="64">
        <f>IFERROR(up_RadSpec!$G$24*H24,".")*$B$55</f>
        <v>5.1215031719100378E-2</v>
      </c>
      <c r="I55" s="64">
        <f>IFERROR(up_RadSpec!$F$24*I24,".")*$B$55</f>
        <v>1.6509298949644131E-4</v>
      </c>
      <c r="J55" s="73">
        <f t="shared" si="55"/>
        <v>0.20480218787864291</v>
      </c>
      <c r="K55" s="73">
        <f t="shared" si="55"/>
        <v>4.9925647555499997E-2</v>
      </c>
      <c r="L55" s="73">
        <f t="shared" si="55"/>
        <v>1.6509298949644131E-4</v>
      </c>
      <c r="M55" s="73">
        <f t="shared" si="56"/>
        <v>0.24462767055423507</v>
      </c>
      <c r="N55" s="56">
        <f>IFERROR(N24/$B55,0)</f>
        <v>0.2424242424242424</v>
      </c>
      <c r="O55" s="56">
        <f>IFERROR(O24/$B55,0)</f>
        <v>6.8223610179066441</v>
      </c>
      <c r="P55" s="56">
        <f>IFERROR(P24/$B55,0)</f>
        <v>336.50732335425732</v>
      </c>
      <c r="Q55" s="56">
        <f t="shared" si="57"/>
        <v>0.23394283487702103</v>
      </c>
      <c r="R55" s="64">
        <f>IFERROR(up_RadSpec!$I$24*R24,".")*$B$55</f>
        <v>0.229164375</v>
      </c>
      <c r="S55" s="64">
        <f>IFERROR(up_RadSpec!$G$24*S24,".")*$B$55</f>
        <v>8.1430753743733063E-3</v>
      </c>
      <c r="T55" s="64">
        <f>IFERROR(up_RadSpec!$F$24*T24,".")*$B$55</f>
        <v>1.6509298949644131E-4</v>
      </c>
      <c r="U55" s="73">
        <f t="shared" si="58"/>
        <v>0.20480218787864291</v>
      </c>
      <c r="V55" s="73">
        <f t="shared" si="58"/>
        <v>8.1430753743733063E-3</v>
      </c>
      <c r="W55" s="73">
        <f t="shared" si="58"/>
        <v>1.6509298949644131E-4</v>
      </c>
      <c r="X55" s="73">
        <f t="shared" si="59"/>
        <v>0.21138145650378304</v>
      </c>
      <c r="Y55" s="56">
        <f t="shared" ref="Y55:AO55" si="70">IFERROR(Y24/$B55,0)</f>
        <v>336.50732335425732</v>
      </c>
      <c r="Z55" s="56">
        <f t="shared" si="70"/>
        <v>610.09281243254918</v>
      </c>
      <c r="AA55" s="56">
        <f t="shared" si="70"/>
        <v>430.76494855609099</v>
      </c>
      <c r="AB55" s="56">
        <f t="shared" si="70"/>
        <v>359.71666153372337</v>
      </c>
      <c r="AC55" s="56">
        <f t="shared" si="70"/>
        <v>1013.9780219780215</v>
      </c>
      <c r="AD55" s="64">
        <f>IFERROR(up_RadSpec!$F$24*AD24,".")*$B$55</f>
        <v>1.6509298949644131E-4</v>
      </c>
      <c r="AE55" s="64">
        <f>IFERROR(up_RadSpec!$M$24*AE24,".")*$B$55</f>
        <v>9.1059915586437203E-5</v>
      </c>
      <c r="AF55" s="64">
        <f>IFERROR(up_RadSpec!$N$24*AF24,".")*$B$55</f>
        <v>1.2896824633995497E-4</v>
      </c>
      <c r="AG55" s="64">
        <f>IFERROR(up_RadSpec!$O$24*AG24,".")*$B$55</f>
        <v>1.5444099743150682E-4</v>
      </c>
      <c r="AH55" s="64">
        <f>IFERROR(up_RadSpec!$K$24*AH24,".")*$B$55</f>
        <v>5.4789155973643154E-5</v>
      </c>
      <c r="AI55" s="73">
        <f t="shared" si="61"/>
        <v>1.6509298949644131E-4</v>
      </c>
      <c r="AJ55" s="73">
        <f t="shared" si="61"/>
        <v>9.1059915586437203E-5</v>
      </c>
      <c r="AK55" s="73">
        <f t="shared" si="61"/>
        <v>1.2896824633995497E-4</v>
      </c>
      <c r="AL55" s="73">
        <f t="shared" si="61"/>
        <v>1.5444099743150682E-4</v>
      </c>
      <c r="AM55" s="73">
        <f t="shared" si="61"/>
        <v>5.4789155973643154E-5</v>
      </c>
      <c r="AN55" s="56">
        <f t="shared" si="70"/>
        <v>2.1333333333333334E-3</v>
      </c>
      <c r="AO55" s="56">
        <f t="shared" si="70"/>
        <v>11.68</v>
      </c>
      <c r="AP55" s="56">
        <f t="shared" si="62"/>
        <v>2.1329437545653763E-3</v>
      </c>
      <c r="AQ55" s="64">
        <f>IFERROR(up_RadSpec!$G$24*AQ24,".")*$B$55</f>
        <v>26.041406249999998</v>
      </c>
      <c r="AR55" s="64">
        <f>IFERROR(up_RadSpec!$J$24*AR24,".")*$B$55</f>
        <v>4.7564212328767112E-3</v>
      </c>
      <c r="AS55" s="73">
        <f t="shared" si="63"/>
        <v>0.99999999999509814</v>
      </c>
      <c r="AT55" s="73">
        <f t="shared" si="63"/>
        <v>4.7564212328767112E-3</v>
      </c>
      <c r="AU55" s="73">
        <f t="shared" si="64"/>
        <v>0.99999999999512135</v>
      </c>
    </row>
    <row r="56" spans="1:47" x14ac:dyDescent="0.25">
      <c r="A56" s="55" t="s">
        <v>312</v>
      </c>
      <c r="B56" s="50">
        <v>0.99979000004200003</v>
      </c>
      <c r="C56" s="56">
        <f>IFERROR(C20/$B56,0)</f>
        <v>4.8495032439624005E-8</v>
      </c>
      <c r="D56" s="56">
        <f>IFERROR(D20/$B56,0)</f>
        <v>2.1699359400155364E-7</v>
      </c>
      <c r="E56" s="56">
        <f>IFERROR(E20/$B56,0)</f>
        <v>5.2722208620013986E-5</v>
      </c>
      <c r="F56" s="56">
        <f t="shared" si="27"/>
        <v>3.9606992385942796E-8</v>
      </c>
      <c r="G56" s="64">
        <f>IFERROR(up_RadSpec!$I$20*G20,".")*$B$56</f>
        <v>1145581.2524543745</v>
      </c>
      <c r="H56" s="64">
        <f>IFERROR(up_RadSpec!$G$20*H20,".")*$B$56</f>
        <v>256021.38282295203</v>
      </c>
      <c r="I56" s="64">
        <f>IFERROR(up_RadSpec!$F$20*I20,".")*$B$56</f>
        <v>1053.7305142203516</v>
      </c>
      <c r="J56" s="73">
        <f t="shared" si="55"/>
        <v>1</v>
      </c>
      <c r="K56" s="73">
        <f t="shared" si="55"/>
        <v>1</v>
      </c>
      <c r="L56" s="73">
        <f t="shared" si="55"/>
        <v>1</v>
      </c>
      <c r="M56" s="73">
        <f t="shared" si="56"/>
        <v>1</v>
      </c>
      <c r="N56" s="56">
        <f>IFERROR(N20/$B56,0)</f>
        <v>4.8495032439624005E-8</v>
      </c>
      <c r="O56" s="56">
        <f>IFERROR(O20/$B56,0)</f>
        <v>1.3647588028726122E-6</v>
      </c>
      <c r="P56" s="56">
        <f>IFERROR(P20/$B56,0)</f>
        <v>5.2722208620013986E-5</v>
      </c>
      <c r="Q56" s="56">
        <f t="shared" si="57"/>
        <v>4.6789390847868957E-8</v>
      </c>
      <c r="R56" s="64">
        <f>IFERROR(up_RadSpec!$I$20*R20,".")*$B$56</f>
        <v>1145581.2524543745</v>
      </c>
      <c r="S56" s="64">
        <f>IFERROR(up_RadSpec!$G$20*S20,".")*$B$56</f>
        <v>40706.826644433488</v>
      </c>
      <c r="T56" s="64">
        <f>IFERROR(up_RadSpec!$F$20*T20,".")*$B$56</f>
        <v>1053.7305142203516</v>
      </c>
      <c r="U56" s="73">
        <f t="shared" si="58"/>
        <v>1</v>
      </c>
      <c r="V56" s="73">
        <f t="shared" si="58"/>
        <v>1</v>
      </c>
      <c r="W56" s="73">
        <f t="shared" si="58"/>
        <v>1</v>
      </c>
      <c r="X56" s="73">
        <f t="shared" si="59"/>
        <v>1</v>
      </c>
      <c r="Y56" s="56">
        <f t="shared" ref="Y56:AO56" si="71">IFERROR(Y20/$B56,0)</f>
        <v>5.2722208620013986E-5</v>
      </c>
      <c r="Z56" s="56">
        <f t="shared" si="71"/>
        <v>1.0397318870467517E-4</v>
      </c>
      <c r="AA56" s="56">
        <f t="shared" si="71"/>
        <v>7.2747877783879952E-5</v>
      </c>
      <c r="AB56" s="56">
        <f t="shared" si="71"/>
        <v>6.1084723214146041E-5</v>
      </c>
      <c r="AC56" s="56">
        <f t="shared" si="71"/>
        <v>1.7716633405183906E-4</v>
      </c>
      <c r="AD56" s="64">
        <f>IFERROR(up_RadSpec!$F$20*AD20,".")*$B$56</f>
        <v>1053.7305142203516</v>
      </c>
      <c r="AE56" s="64">
        <f>IFERROR(up_RadSpec!$M$20*AE20,".")*$B$56</f>
        <v>534.32044060703083</v>
      </c>
      <c r="AF56" s="64">
        <f>IFERROR(up_RadSpec!$N$20*AF20,".")*$B$56</f>
        <v>763.66488882388137</v>
      </c>
      <c r="AG56" s="64">
        <f>IFERROR(up_RadSpec!$O$20*AG20,".")*$B$56</f>
        <v>909.4745310581111</v>
      </c>
      <c r="AH56" s="64">
        <f>IFERROR(up_RadSpec!$K$20*AH20,".")*$B$56</f>
        <v>313.57537704507973</v>
      </c>
      <c r="AI56" s="73">
        <f t="shared" si="61"/>
        <v>1</v>
      </c>
      <c r="AJ56" s="73">
        <f t="shared" si="61"/>
        <v>1</v>
      </c>
      <c r="AK56" s="73">
        <f t="shared" si="61"/>
        <v>1</v>
      </c>
      <c r="AL56" s="73">
        <f t="shared" si="61"/>
        <v>1</v>
      </c>
      <c r="AM56" s="73">
        <f t="shared" si="61"/>
        <v>1</v>
      </c>
      <c r="AN56" s="56">
        <f t="shared" si="71"/>
        <v>4.2675628546869127E-10</v>
      </c>
      <c r="AO56" s="56">
        <f t="shared" si="71"/>
        <v>2.3364906629410847E-6</v>
      </c>
      <c r="AP56" s="56">
        <f t="shared" si="62"/>
        <v>4.2667835334935807E-10</v>
      </c>
      <c r="AQ56" s="64">
        <f>IFERROR(up_RadSpec!$G$20*AQ20,".")*$B$56</f>
        <v>130179687.7789062</v>
      </c>
      <c r="AR56" s="64">
        <f>IFERROR(up_RadSpec!$J$20*AR20,".")*$B$56</f>
        <v>23777.111923087887</v>
      </c>
      <c r="AS56" s="73">
        <f t="shared" si="63"/>
        <v>1</v>
      </c>
      <c r="AT56" s="73">
        <f t="shared" si="63"/>
        <v>1</v>
      </c>
      <c r="AU56" s="73">
        <f t="shared" si="64"/>
        <v>1</v>
      </c>
    </row>
    <row r="57" spans="1:47" x14ac:dyDescent="0.25">
      <c r="A57" s="55" t="s">
        <v>313</v>
      </c>
      <c r="B57" s="50">
        <v>2.0999995799999999E-4</v>
      </c>
      <c r="C57" s="56">
        <f>IFERROR(C29/$B57,0)</f>
        <v>2.3088027705628629E-4</v>
      </c>
      <c r="D57" s="56">
        <f>IFERROR(D29/$B57,0)</f>
        <v>1.0330860416454324E-3</v>
      </c>
      <c r="E57" s="56">
        <f>IFERROR(E29/$B57,0)</f>
        <v>0.19755403378611261</v>
      </c>
      <c r="F57" s="56">
        <f t="shared" si="27"/>
        <v>1.8852683643062957E-4</v>
      </c>
      <c r="G57" s="64">
        <f>IFERROR(up_RadSpec!$I$29*G29,".")*$B$57</f>
        <v>240.62254562548122</v>
      </c>
      <c r="H57" s="64">
        <f>IFERROR(up_RadSpec!$G$29*H29,".")*$B$57</f>
        <v>53.77577254989874</v>
      </c>
      <c r="I57" s="64">
        <f>IFERROR(up_RadSpec!$F$29*I29,".")*$B$57</f>
        <v>0.28121420218707438</v>
      </c>
      <c r="J57" s="73">
        <f t="shared" si="55"/>
        <v>1</v>
      </c>
      <c r="K57" s="73">
        <f t="shared" si="55"/>
        <v>1</v>
      </c>
      <c r="L57" s="73">
        <f t="shared" si="55"/>
        <v>0.2451333759204688</v>
      </c>
      <c r="M57" s="73">
        <f t="shared" si="56"/>
        <v>1</v>
      </c>
      <c r="N57" s="56">
        <f>IFERROR(N29/$B57,0)</f>
        <v>2.3088027705628629E-4</v>
      </c>
      <c r="O57" s="56">
        <f>IFERROR(O29/$B57,0)</f>
        <v>6.4974879832182105E-3</v>
      </c>
      <c r="P57" s="56">
        <f>IFERROR(P29/$B57,0)</f>
        <v>0.19755403378611261</v>
      </c>
      <c r="Q57" s="56">
        <f t="shared" si="57"/>
        <v>2.2270640213073535E-4</v>
      </c>
      <c r="R57" s="64">
        <f>IFERROR(up_RadSpec!$I$29*R29,".")*$B$57</f>
        <v>240.62254562548122</v>
      </c>
      <c r="S57" s="64">
        <f>IFERROR(up_RadSpec!$G$29*S29,".")*$B$57</f>
        <v>8.5502274330461425</v>
      </c>
      <c r="T57" s="64">
        <f>IFERROR(up_RadSpec!$F$29*T29,".")*$B$57</f>
        <v>0.28121420218707438</v>
      </c>
      <c r="U57" s="73">
        <f t="shared" si="58"/>
        <v>1</v>
      </c>
      <c r="V57" s="73">
        <f t="shared" si="58"/>
        <v>0.99980649891398821</v>
      </c>
      <c r="W57" s="73">
        <f t="shared" si="58"/>
        <v>0.2451333759204688</v>
      </c>
      <c r="X57" s="73">
        <f t="shared" si="59"/>
        <v>1</v>
      </c>
      <c r="Y57" s="56">
        <f t="shared" ref="Y57:AO57" si="72">IFERROR(Y29/$B57,0)</f>
        <v>0.19755403378611261</v>
      </c>
      <c r="Z57" s="56">
        <f t="shared" si="72"/>
        <v>0.39421227600202063</v>
      </c>
      <c r="AA57" s="56">
        <f t="shared" si="72"/>
        <v>0.28083514882478244</v>
      </c>
      <c r="AB57" s="56">
        <f t="shared" si="72"/>
        <v>0.23822070698480061</v>
      </c>
      <c r="AC57" s="56">
        <f t="shared" si="72"/>
        <v>0.70787892945457365</v>
      </c>
      <c r="AD57" s="64">
        <f>IFERROR(up_RadSpec!$F$29*AD29,".")*$B$57</f>
        <v>0.28121420218707438</v>
      </c>
      <c r="AE57" s="64">
        <f>IFERROR(up_RadSpec!$M$29*AE29,".")*$B$57</f>
        <v>0.14092661081846988</v>
      </c>
      <c r="AF57" s="64">
        <f>IFERROR(up_RadSpec!$N$29*AF29,".")*$B$57</f>
        <v>0.19782067961393834</v>
      </c>
      <c r="AG57" s="64">
        <f>IFERROR(up_RadSpec!$O$29*AG29,".")*$B$57</f>
        <v>0.23320810647894105</v>
      </c>
      <c r="AH57" s="64">
        <f>IFERROR(up_RadSpec!$K$29*AH29,".")*$B$57</f>
        <v>7.848093464627566E-2</v>
      </c>
      <c r="AI57" s="73">
        <f t="shared" si="61"/>
        <v>0.2451333759204688</v>
      </c>
      <c r="AJ57" s="73">
        <f t="shared" si="61"/>
        <v>0.13144694824369219</v>
      </c>
      <c r="AK57" s="73">
        <f t="shared" si="61"/>
        <v>0.17948302463277765</v>
      </c>
      <c r="AL57" s="73">
        <f t="shared" si="61"/>
        <v>0.20801126161442762</v>
      </c>
      <c r="AM57" s="73">
        <f t="shared" si="61"/>
        <v>7.5480313941631794E-2</v>
      </c>
      <c r="AN57" s="56">
        <f t="shared" si="72"/>
        <v>2.0317464380953192E-6</v>
      </c>
      <c r="AO57" s="56">
        <f t="shared" si="72"/>
        <v>1.1123811748571874E-2</v>
      </c>
      <c r="AP57" s="56">
        <f t="shared" si="62"/>
        <v>2.0313754106230593E-6</v>
      </c>
      <c r="AQ57" s="64">
        <f>IFERROR(up_RadSpec!$G$29*AQ29,".")*$B$57</f>
        <v>27343.471093804685</v>
      </c>
      <c r="AR57" s="64">
        <f>IFERROR(up_RadSpec!$J$29*AR29,".")*$B$57</f>
        <v>4.9942412956720874</v>
      </c>
      <c r="AS57" s="73">
        <f t="shared" si="63"/>
        <v>1</v>
      </c>
      <c r="AT57" s="73">
        <f t="shared" si="63"/>
        <v>0.99322313921742333</v>
      </c>
      <c r="AU57" s="73">
        <f t="shared" si="64"/>
        <v>1</v>
      </c>
    </row>
    <row r="58" spans="1:47" x14ac:dyDescent="0.25">
      <c r="A58" s="55" t="s">
        <v>314</v>
      </c>
      <c r="B58" s="50">
        <v>1</v>
      </c>
      <c r="C58" s="56">
        <f>IFERROR(C16/$B58,0)</f>
        <v>4.848484848484848E-8</v>
      </c>
      <c r="D58" s="56">
        <f>IFERROR(D16/$B58,0)</f>
        <v>2.1694802535592706E-7</v>
      </c>
      <c r="E58" s="56">
        <f>IFERROR(E16/$B58,0)</f>
        <v>1.1219210977701548</v>
      </c>
      <c r="F58" s="56">
        <f t="shared" si="27"/>
        <v>3.9628443962966924E-8</v>
      </c>
      <c r="G58" s="64">
        <f>IFERROR(up_RadSpec!$I$16*G16,".")*$B$58</f>
        <v>1145821.875</v>
      </c>
      <c r="H58" s="64">
        <f>IFERROR(up_RadSpec!$G$16*H16,".")*$B$58</f>
        <v>256075.15859550191</v>
      </c>
      <c r="I58" s="64">
        <f>IFERROR(up_RadSpec!$F$16*I16,".")*$B$58</f>
        <v>4.9517742477984322E-2</v>
      </c>
      <c r="J58" s="73">
        <f t="shared" si="55"/>
        <v>1</v>
      </c>
      <c r="K58" s="73">
        <f t="shared" si="55"/>
        <v>1</v>
      </c>
      <c r="L58" s="73">
        <f t="shared" si="55"/>
        <v>4.8311727321558195E-2</v>
      </c>
      <c r="M58" s="73">
        <f t="shared" si="56"/>
        <v>1</v>
      </c>
      <c r="N58" s="56">
        <f>IFERROR(N16/$B58,0)</f>
        <v>4.848484848484848E-8</v>
      </c>
      <c r="O58" s="56">
        <f>IFERROR(O16/$B58,0)</f>
        <v>1.3644722035813288E-6</v>
      </c>
      <c r="P58" s="56">
        <f>IFERROR(P16/$B58,0)</f>
        <v>1.1219210977701548</v>
      </c>
      <c r="Q58" s="56">
        <f t="shared" si="57"/>
        <v>4.6821115471832986E-8</v>
      </c>
      <c r="R58" s="64">
        <f>IFERROR(up_RadSpec!$I$16*R16,".")*$B$58</f>
        <v>1145821.875</v>
      </c>
      <c r="S58" s="64">
        <f>IFERROR(up_RadSpec!$G$16*S16,".")*$B$58</f>
        <v>40715.376871866531</v>
      </c>
      <c r="T58" s="64">
        <f>IFERROR(up_RadSpec!$F$16*T16,".")*$B$58</f>
        <v>4.9517742477984322E-2</v>
      </c>
      <c r="U58" s="73">
        <f t="shared" si="58"/>
        <v>1</v>
      </c>
      <c r="V58" s="73">
        <f t="shared" si="58"/>
        <v>1</v>
      </c>
      <c r="W58" s="73">
        <f t="shared" si="58"/>
        <v>4.8311727321558195E-2</v>
      </c>
      <c r="X58" s="73">
        <f t="shared" si="59"/>
        <v>1</v>
      </c>
      <c r="Y58" s="56">
        <f t="shared" ref="Y58:AO58" si="73">IFERROR(Y16/$B58,0)</f>
        <v>1.1219210977701548</v>
      </c>
      <c r="Z58" s="56">
        <f t="shared" si="73"/>
        <v>1.9981029810298108</v>
      </c>
      <c r="AA58" s="56">
        <f t="shared" si="73"/>
        <v>1.2003402482423404</v>
      </c>
      <c r="AB58" s="56">
        <f t="shared" si="73"/>
        <v>1.2065423242467725</v>
      </c>
      <c r="AC58" s="56">
        <f t="shared" si="73"/>
        <v>46.719999999999992</v>
      </c>
      <c r="AD58" s="64">
        <f>IFERROR(up_RadSpec!$F$16*AD16,".")*$B$58</f>
        <v>4.9517742477984322E-2</v>
      </c>
      <c r="AE58" s="64">
        <f>IFERROR(up_RadSpec!$M$16*AE16,".")*$B$58</f>
        <v>2.7803872236538713E-2</v>
      </c>
      <c r="AF58" s="64">
        <f>IFERROR(up_RadSpec!$N$16*AF16,".")*$B$58</f>
        <v>4.628271032430116E-2</v>
      </c>
      <c r="AG58" s="64">
        <f>IFERROR(up_RadSpec!$O$16*AG16,".")*$B$58</f>
        <v>4.604479999048703E-2</v>
      </c>
      <c r="AH58" s="64">
        <f>IFERROR(up_RadSpec!$K$16*AH16,".")*$B$58</f>
        <v>1.1891053082191778E-3</v>
      </c>
      <c r="AI58" s="73">
        <f t="shared" si="61"/>
        <v>4.8311727321558195E-2</v>
      </c>
      <c r="AJ58" s="73">
        <f t="shared" si="61"/>
        <v>2.7420902139939973E-2</v>
      </c>
      <c r="AK58" s="73">
        <f t="shared" si="61"/>
        <v>4.5227999869808633E-2</v>
      </c>
      <c r="AL58" s="73">
        <f t="shared" si="61"/>
        <v>4.5000822721717237E-2</v>
      </c>
      <c r="AM58" s="73">
        <f t="shared" si="61"/>
        <v>1.1891053082191778E-3</v>
      </c>
      <c r="AN58" s="56">
        <f t="shared" si="73"/>
        <v>4.2666666666666664E-10</v>
      </c>
      <c r="AO58" s="56">
        <f t="shared" si="73"/>
        <v>2.3359999999999997E-6</v>
      </c>
      <c r="AP58" s="56">
        <f t="shared" si="62"/>
        <v>4.2658875091307519E-10</v>
      </c>
      <c r="AQ58" s="64">
        <f>IFERROR(up_RadSpec!$G$16*AQ16,".")*$B$58</f>
        <v>130207031.25</v>
      </c>
      <c r="AR58" s="64">
        <f>IFERROR(up_RadSpec!$J$16*AR16,".")*$B$58</f>
        <v>23782.106164383556</v>
      </c>
      <c r="AS58" s="73">
        <f t="shared" si="63"/>
        <v>1</v>
      </c>
      <c r="AT58" s="73">
        <f t="shared" si="63"/>
        <v>1</v>
      </c>
      <c r="AU58" s="73">
        <f t="shared" si="64"/>
        <v>1</v>
      </c>
    </row>
    <row r="59" spans="1:47" x14ac:dyDescent="0.25">
      <c r="A59" s="55" t="s">
        <v>315</v>
      </c>
      <c r="B59" s="50">
        <v>1</v>
      </c>
      <c r="C59" s="56">
        <f>IFERROR(C7/$B59,0)</f>
        <v>4.848484848484848E-8</v>
      </c>
      <c r="D59" s="56">
        <f>IFERROR(D7/$B59,0)</f>
        <v>2.1694802535592706E-7</v>
      </c>
      <c r="E59" s="56">
        <f>IFERROR(E7/$B59,0)</f>
        <v>1.3470364963503643E-4</v>
      </c>
      <c r="F59" s="56">
        <f t="shared" si="27"/>
        <v>3.96167905053935E-8</v>
      </c>
      <c r="G59" s="64">
        <f>IFERROR(up_RadSpec!$I$7*G7,".")*$B$59</f>
        <v>1145821.875</v>
      </c>
      <c r="H59" s="64">
        <f>IFERROR(up_RadSpec!$G$7*H7,".")*$B$59</f>
        <v>256075.15859550191</v>
      </c>
      <c r="I59" s="64">
        <f>IFERROR(up_RadSpec!$F$7*I7,".")*$B$59</f>
        <v>412.42386639500614</v>
      </c>
      <c r="J59" s="73">
        <f t="shared" si="55"/>
        <v>1</v>
      </c>
      <c r="K59" s="73">
        <f t="shared" si="55"/>
        <v>1</v>
      </c>
      <c r="L59" s="73">
        <f t="shared" si="55"/>
        <v>1</v>
      </c>
      <c r="M59" s="73">
        <f t="shared" si="56"/>
        <v>1</v>
      </c>
      <c r="N59" s="56">
        <f>IFERROR(N7/$B59,0)</f>
        <v>4.848484848484848E-8</v>
      </c>
      <c r="O59" s="56">
        <f>IFERROR(O7/$B59,0)</f>
        <v>1.3644722035813288E-6</v>
      </c>
      <c r="P59" s="56">
        <f>IFERROR(P7/$B59,0)</f>
        <v>1.3470364963503643E-4</v>
      </c>
      <c r="Q59" s="56">
        <f t="shared" si="57"/>
        <v>4.6804848710578877E-8</v>
      </c>
      <c r="R59" s="64">
        <f>IFERROR(up_RadSpec!$I$7*R7,".")*$B$59</f>
        <v>1145821.875</v>
      </c>
      <c r="S59" s="64">
        <f>IFERROR(up_RadSpec!$G$7*S7,".")*$B$59</f>
        <v>40715.376871866531</v>
      </c>
      <c r="T59" s="64">
        <f>IFERROR(up_RadSpec!$F$7*T7,".")*$B$59</f>
        <v>412.42386639500614</v>
      </c>
      <c r="U59" s="73">
        <f t="shared" si="58"/>
        <v>1</v>
      </c>
      <c r="V59" s="73">
        <f t="shared" si="58"/>
        <v>1</v>
      </c>
      <c r="W59" s="73">
        <f t="shared" si="58"/>
        <v>1</v>
      </c>
      <c r="X59" s="73">
        <f t="shared" si="59"/>
        <v>1</v>
      </c>
      <c r="Y59" s="56">
        <f t="shared" ref="Y59:AO59" si="74">IFERROR(Y7/$B59,0)</f>
        <v>1.3470364963503643E-4</v>
      </c>
      <c r="Z59" s="56">
        <f t="shared" si="74"/>
        <v>2.1429691876750703E-4</v>
      </c>
      <c r="AA59" s="56">
        <f t="shared" si="74"/>
        <v>1.5699999999999999E-4</v>
      </c>
      <c r="AB59" s="56">
        <f t="shared" si="74"/>
        <v>1.4442466086111779E-4</v>
      </c>
      <c r="AC59" s="56">
        <f t="shared" si="74"/>
        <v>3.6672880061115347E-4</v>
      </c>
      <c r="AD59" s="64">
        <f>IFERROR(up_RadSpec!$F$7*AD7,".")*$B$59</f>
        <v>412.42386639500614</v>
      </c>
      <c r="AE59" s="64">
        <f>IFERROR(up_RadSpec!$M$7*AE7,".")*$B$59</f>
        <v>259.24311147129549</v>
      </c>
      <c r="AF59" s="64">
        <f>IFERROR(up_RadSpec!$N$7*AF7,".")*$B$59</f>
        <v>353.8535031847133</v>
      </c>
      <c r="AG59" s="64">
        <f>IFERROR(up_RadSpec!$O$7*AG7,".")*$B$59</f>
        <v>384.6642233311041</v>
      </c>
      <c r="AH59" s="64">
        <f>IFERROR(up_RadSpec!$K$7*AH7,".")*$B$59</f>
        <v>151.48796578675467</v>
      </c>
      <c r="AI59" s="73">
        <f t="shared" si="61"/>
        <v>1</v>
      </c>
      <c r="AJ59" s="73">
        <f t="shared" si="61"/>
        <v>1</v>
      </c>
      <c r="AK59" s="73">
        <f t="shared" si="61"/>
        <v>1</v>
      </c>
      <c r="AL59" s="73">
        <f t="shared" si="61"/>
        <v>1</v>
      </c>
      <c r="AM59" s="73">
        <f t="shared" si="61"/>
        <v>1</v>
      </c>
      <c r="AN59" s="56">
        <f t="shared" si="74"/>
        <v>4.2666666666666664E-10</v>
      </c>
      <c r="AO59" s="56">
        <f t="shared" si="74"/>
        <v>2.3359999999999997E-6</v>
      </c>
      <c r="AP59" s="56">
        <f t="shared" si="62"/>
        <v>4.2658875091307519E-10</v>
      </c>
      <c r="AQ59" s="64">
        <f>IFERROR(up_RadSpec!$G$7*AQ7,".")*$B$59</f>
        <v>130207031.25</v>
      </c>
      <c r="AR59" s="64">
        <f>IFERROR(up_RadSpec!$J$7*AR7,".")*$B$59</f>
        <v>23782.106164383556</v>
      </c>
      <c r="AS59" s="73">
        <f t="shared" si="63"/>
        <v>1</v>
      </c>
      <c r="AT59" s="73">
        <f t="shared" si="63"/>
        <v>1</v>
      </c>
      <c r="AU59" s="73">
        <f t="shared" si="64"/>
        <v>1</v>
      </c>
    </row>
    <row r="60" spans="1:47" x14ac:dyDescent="0.25">
      <c r="A60" s="55" t="s">
        <v>316</v>
      </c>
      <c r="B60" s="59">
        <v>1.9000000000000001E-8</v>
      </c>
      <c r="C60" s="56">
        <f>IFERROR(C12/$B60,0)</f>
        <v>2.5518341307814989</v>
      </c>
      <c r="D60" s="56">
        <f>IFERROR(D12/$B60,0)</f>
        <v>11.418317123996161</v>
      </c>
      <c r="E60" s="56">
        <f>IFERROR(E12/$B60,0)</f>
        <v>5502.4746772591843</v>
      </c>
      <c r="F60" s="56">
        <f t="shared" si="27"/>
        <v>2.0849173647793058</v>
      </c>
      <c r="G60" s="64">
        <f>IFERROR(up_RadSpec!$I$12*G12,".")*$B$60</f>
        <v>2.1770615625000003E-2</v>
      </c>
      <c r="H60" s="64">
        <f>IFERROR(up_RadSpec!$G$12*H12,".")*$B$60</f>
        <v>4.8654280133145367E-3</v>
      </c>
      <c r="I60" s="64">
        <f>IFERROR(up_RadSpec!$F$12*I12,".")*$B$60</f>
        <v>1.0096366318522028E-5</v>
      </c>
      <c r="J60" s="73">
        <f t="shared" si="55"/>
        <v>2.1535346185778015E-2</v>
      </c>
      <c r="K60" s="73">
        <f t="shared" si="55"/>
        <v>4.8654280133145367E-3</v>
      </c>
      <c r="L60" s="73">
        <f t="shared" si="55"/>
        <v>1.0096366318522028E-5</v>
      </c>
      <c r="M60" s="73">
        <f t="shared" si="56"/>
        <v>2.6294263923421379E-2</v>
      </c>
      <c r="N60" s="56">
        <f>IFERROR(N12/$B60,0)</f>
        <v>2.5518341307814989</v>
      </c>
      <c r="O60" s="56">
        <f>IFERROR(O12/$B60,0)</f>
        <v>71.814326504280459</v>
      </c>
      <c r="P60" s="56">
        <f>IFERROR(P12/$B60,0)</f>
        <v>5502.4746772591843</v>
      </c>
      <c r="Q60" s="56">
        <f t="shared" si="57"/>
        <v>2.4631662154542426</v>
      </c>
      <c r="R60" s="64">
        <f>IFERROR(up_RadSpec!$I$12*R12,".")*$B$60</f>
        <v>2.1770615625000003E-2</v>
      </c>
      <c r="S60" s="64">
        <f>IFERROR(up_RadSpec!$G$12*S12,".")*$B$60</f>
        <v>7.7359216056546417E-4</v>
      </c>
      <c r="T60" s="64">
        <f>IFERROR(up_RadSpec!$F$12*T12,".")*$B$60</f>
        <v>1.0096366318522028E-5</v>
      </c>
      <c r="U60" s="73">
        <f t="shared" si="58"/>
        <v>2.1535346185778015E-2</v>
      </c>
      <c r="V60" s="73">
        <f t="shared" si="58"/>
        <v>7.7359216056546417E-4</v>
      </c>
      <c r="W60" s="73">
        <f t="shared" si="58"/>
        <v>1.0096366318522028E-5</v>
      </c>
      <c r="X60" s="73">
        <f t="shared" si="59"/>
        <v>2.2301857316713747E-2</v>
      </c>
      <c r="Y60" s="56">
        <f t="shared" ref="Y60:AO60" si="75">IFERROR(Y12/$B60,0)</f>
        <v>5502.4746772591843</v>
      </c>
      <c r="Z60" s="56">
        <f t="shared" si="75"/>
        <v>9871.7924815581282</v>
      </c>
      <c r="AA60" s="56">
        <f t="shared" si="75"/>
        <v>7157.9146664407936</v>
      </c>
      <c r="AB60" s="56">
        <f t="shared" si="75"/>
        <v>6321.4369754490526</v>
      </c>
      <c r="AC60" s="56">
        <f t="shared" si="75"/>
        <v>17041.174364482631</v>
      </c>
      <c r="AD60" s="64">
        <f>IFERROR(up_RadSpec!$F$12*AD12,".")*$B$60</f>
        <v>1.0096366318522028E-5</v>
      </c>
      <c r="AE60" s="64">
        <f>IFERROR(up_RadSpec!$M$12*AE12,".")*$B$60</f>
        <v>5.6276507132604742E-6</v>
      </c>
      <c r="AF60" s="64">
        <f>IFERROR(up_RadSpec!$N$12*AF12,".")*$B$60</f>
        <v>7.7613386843607325E-6</v>
      </c>
      <c r="AG60" s="64">
        <f>IFERROR(up_RadSpec!$O$12*AG12,".")*$B$60</f>
        <v>8.7883498982529289E-6</v>
      </c>
      <c r="AH60" s="64">
        <f>IFERROR(up_RadSpec!$K$12*AH12,".")*$B$60</f>
        <v>3.2600452769140265E-6</v>
      </c>
      <c r="AI60" s="73">
        <f t="shared" si="61"/>
        <v>1.0096366318522028E-5</v>
      </c>
      <c r="AJ60" s="73">
        <f t="shared" si="61"/>
        <v>5.6276507132604742E-6</v>
      </c>
      <c r="AK60" s="73">
        <f t="shared" si="61"/>
        <v>7.7613386843607325E-6</v>
      </c>
      <c r="AL60" s="73">
        <f t="shared" si="61"/>
        <v>8.7883498982529289E-6</v>
      </c>
      <c r="AM60" s="73">
        <f t="shared" si="61"/>
        <v>3.2600452769140265E-6</v>
      </c>
      <c r="AN60" s="56">
        <f t="shared" si="75"/>
        <v>2.2456140350877191E-2</v>
      </c>
      <c r="AO60" s="56">
        <f t="shared" si="75"/>
        <v>122.94736842105262</v>
      </c>
      <c r="AP60" s="56">
        <f t="shared" si="62"/>
        <v>2.24520395217408E-2</v>
      </c>
      <c r="AQ60" s="64">
        <f>IFERROR(up_RadSpec!$G$12*AQ12,".")*$B$60</f>
        <v>2.47393359375</v>
      </c>
      <c r="AR60" s="64">
        <f>IFERROR(up_RadSpec!$J$12*AR12,".")*$B$60</f>
        <v>4.518600171232876E-4</v>
      </c>
      <c r="AS60" s="73">
        <f t="shared" si="63"/>
        <v>0.91574720993083047</v>
      </c>
      <c r="AT60" s="73">
        <f t="shared" si="63"/>
        <v>4.518600171232876E-4</v>
      </c>
      <c r="AU60" s="73">
        <f t="shared" si="64"/>
        <v>0.91578527179802816</v>
      </c>
    </row>
    <row r="61" spans="1:47" x14ac:dyDescent="0.25">
      <c r="A61" s="55" t="s">
        <v>317</v>
      </c>
      <c r="B61" s="50">
        <v>1</v>
      </c>
      <c r="C61" s="56">
        <f>IFERROR(C18/$B61,0)</f>
        <v>4.848484848484848E-8</v>
      </c>
      <c r="D61" s="56">
        <f>IFERROR(D18/$B61,0)</f>
        <v>2.1694802535592706E-7</v>
      </c>
      <c r="E61" s="56">
        <f>IFERROR(E18/$B61,0)</f>
        <v>5.253468730650155E-5</v>
      </c>
      <c r="F61" s="56">
        <f t="shared" si="27"/>
        <v>3.9598575003793678E-8</v>
      </c>
      <c r="G61" s="64">
        <f>IFERROR(up_RadSpec!$I$18*G18,".")*$B$61</f>
        <v>1145821.875</v>
      </c>
      <c r="H61" s="64">
        <f>IFERROR(up_RadSpec!$G$18*H18,".")*$B$61</f>
        <v>256075.15859550191</v>
      </c>
      <c r="I61" s="64">
        <f>IFERROR(up_RadSpec!$F$18*I18,".")*$B$61</f>
        <v>1057.4917801618788</v>
      </c>
      <c r="J61" s="73">
        <f t="shared" si="55"/>
        <v>1</v>
      </c>
      <c r="K61" s="73">
        <f t="shared" si="55"/>
        <v>1</v>
      </c>
      <c r="L61" s="73">
        <f t="shared" si="55"/>
        <v>1</v>
      </c>
      <c r="M61" s="73">
        <f t="shared" si="56"/>
        <v>1</v>
      </c>
      <c r="N61" s="56">
        <f>IFERROR(N18/$B61,0)</f>
        <v>4.848484848484848E-8</v>
      </c>
      <c r="O61" s="56">
        <f>IFERROR(O18/$B61,0)</f>
        <v>1.3644722035813288E-6</v>
      </c>
      <c r="P61" s="56">
        <f>IFERROR(P18/$B61,0)</f>
        <v>5.253468730650155E-5</v>
      </c>
      <c r="Q61" s="56">
        <f t="shared" si="57"/>
        <v>4.677942563905276E-8</v>
      </c>
      <c r="R61" s="64">
        <f>IFERROR(up_RadSpec!$I$18*R18,".")*$B$61</f>
        <v>1145821.875</v>
      </c>
      <c r="S61" s="64">
        <f>IFERROR(up_RadSpec!$G$18*S18,".")*$B$61</f>
        <v>40715.376871866531</v>
      </c>
      <c r="T61" s="64">
        <f>IFERROR(up_RadSpec!$F$18*T18,".")*$B$61</f>
        <v>1057.4917801618788</v>
      </c>
      <c r="U61" s="73">
        <f t="shared" si="58"/>
        <v>1</v>
      </c>
      <c r="V61" s="73">
        <f t="shared" si="58"/>
        <v>1</v>
      </c>
      <c r="W61" s="73">
        <f t="shared" si="58"/>
        <v>1</v>
      </c>
      <c r="X61" s="73">
        <f t="shared" si="59"/>
        <v>1</v>
      </c>
      <c r="Y61" s="56">
        <f t="shared" ref="Y61:AO61" si="76">IFERROR(Y18/$B61,0)</f>
        <v>5.253468730650155E-5</v>
      </c>
      <c r="Z61" s="56">
        <f t="shared" si="76"/>
        <v>1.0395089707271011E-4</v>
      </c>
      <c r="AA61" s="56">
        <f t="shared" si="76"/>
        <v>7.2796352997210319E-5</v>
      </c>
      <c r="AB61" s="56">
        <f t="shared" si="76"/>
        <v>6.0313093172772757E-5</v>
      </c>
      <c r="AC61" s="56">
        <f t="shared" si="76"/>
        <v>1.7669743589743584E-4</v>
      </c>
      <c r="AD61" s="64">
        <f>IFERROR(up_RadSpec!$F$18*AD18,".")*$B$61</f>
        <v>1057.4917801618788</v>
      </c>
      <c r="AE61" s="64">
        <f>IFERROR(up_RadSpec!$M$18*AE18,".")*$B$61</f>
        <v>534.4350223465716</v>
      </c>
      <c r="AF61" s="64">
        <f>IFERROR(up_RadSpec!$N$18*AF18,".")*$B$61</f>
        <v>763.15636309594993</v>
      </c>
      <c r="AG61" s="64">
        <f>IFERROR(up_RadSpec!$O$18*AG18,".")*$B$61</f>
        <v>921.1101118766577</v>
      </c>
      <c r="AH61" s="64">
        <f>IFERROR(up_RadSpec!$K$18*AH18,".")*$B$61</f>
        <v>314.40750522405392</v>
      </c>
      <c r="AI61" s="73">
        <f t="shared" si="61"/>
        <v>1</v>
      </c>
      <c r="AJ61" s="73">
        <f t="shared" si="61"/>
        <v>1</v>
      </c>
      <c r="AK61" s="73">
        <f t="shared" si="61"/>
        <v>1</v>
      </c>
      <c r="AL61" s="73">
        <f t="shared" si="61"/>
        <v>1</v>
      </c>
      <c r="AM61" s="73">
        <f t="shared" si="61"/>
        <v>1</v>
      </c>
      <c r="AN61" s="56">
        <f t="shared" si="76"/>
        <v>4.2666666666666664E-10</v>
      </c>
      <c r="AO61" s="56">
        <f t="shared" si="76"/>
        <v>2.3359999999999997E-6</v>
      </c>
      <c r="AP61" s="56">
        <f t="shared" si="62"/>
        <v>4.2658875091307519E-10</v>
      </c>
      <c r="AQ61" s="64">
        <f>IFERROR(up_RadSpec!$G$18*AQ18,".")*$B$61</f>
        <v>130207031.25</v>
      </c>
      <c r="AR61" s="64">
        <f>IFERROR(up_RadSpec!$J$18*AR18,".")*$B$61</f>
        <v>23782.106164383556</v>
      </c>
      <c r="AS61" s="73">
        <f t="shared" si="63"/>
        <v>1</v>
      </c>
      <c r="AT61" s="73">
        <f t="shared" si="63"/>
        <v>1</v>
      </c>
      <c r="AU61" s="73">
        <f t="shared" si="64"/>
        <v>1</v>
      </c>
    </row>
    <row r="62" spans="1:47" x14ac:dyDescent="0.25">
      <c r="A62" s="55" t="s">
        <v>318</v>
      </c>
      <c r="B62" s="50">
        <v>1.339E-6</v>
      </c>
      <c r="C62" s="56">
        <f>IFERROR(C27/$B62,0)</f>
        <v>3.6209744947609021E-2</v>
      </c>
      <c r="D62" s="56">
        <f>IFERROR(D27/$B62,0)</f>
        <v>0.16202242371615164</v>
      </c>
      <c r="E62" s="56">
        <f>IFERROR(E27/$B62,0)</f>
        <v>64.388138511865478</v>
      </c>
      <c r="F62" s="56">
        <f t="shared" ref="F62" si="77">IFERROR(SUM(C62:E62),0)</f>
        <v>64.586370680529242</v>
      </c>
      <c r="G62" s="64">
        <f>IFERROR(up_RadSpec!$I$27*G27,".")*$B$62</f>
        <v>1.5342554906250001</v>
      </c>
      <c r="H62" s="64">
        <f>IFERROR(up_RadSpec!$G$27*H27,".")*$B$62</f>
        <v>0.34288463735937708</v>
      </c>
      <c r="I62" s="64">
        <f>IFERROR(up_RadSpec!$F$27*I27,".")*$B$62</f>
        <v>8.6281419658936528E-4</v>
      </c>
      <c r="J62" s="73">
        <f t="shared" si="55"/>
        <v>0.78438384032054231</v>
      </c>
      <c r="K62" s="73">
        <f t="shared" si="55"/>
        <v>0.29027991797951336</v>
      </c>
      <c r="L62" s="73">
        <f t="shared" si="55"/>
        <v>8.6281419658936528E-4</v>
      </c>
      <c r="M62" s="73">
        <f t="shared" si="56"/>
        <v>0.84710485849367256</v>
      </c>
      <c r="N62" s="56">
        <f>IFERROR(N27/$B62,0)</f>
        <v>3.6209744947609021E-2</v>
      </c>
      <c r="O62" s="56">
        <f>IFERROR(O27/$B62,0)</f>
        <v>1.0190233036455032</v>
      </c>
      <c r="P62" s="56">
        <f>IFERROR(P27/$B62,0)</f>
        <v>64.388138511865478</v>
      </c>
      <c r="Q62" s="56">
        <f t="shared" ref="Q62" si="78">IFERROR(SUM(N62:P62),0)</f>
        <v>65.443371560458587</v>
      </c>
      <c r="R62" s="64">
        <f>IFERROR(up_RadSpec!$I$27*R27,".")*$B$62</f>
        <v>1.5342554906250001</v>
      </c>
      <c r="S62" s="64">
        <f>IFERROR(up_RadSpec!$G$27*S27,".")*$B$62</f>
        <v>5.4517889631429284E-2</v>
      </c>
      <c r="T62" s="64">
        <f>IFERROR(up_RadSpec!$F$27*T27,".")*$B$62</f>
        <v>8.6281419658936528E-4</v>
      </c>
      <c r="U62" s="73">
        <f t="shared" si="58"/>
        <v>0.78438384032054231</v>
      </c>
      <c r="V62" s="73">
        <f t="shared" si="58"/>
        <v>5.3058431729346434E-2</v>
      </c>
      <c r="W62" s="73">
        <f t="shared" si="58"/>
        <v>8.6281419658936528E-4</v>
      </c>
      <c r="X62" s="73">
        <f t="shared" si="59"/>
        <v>0.79600018550019569</v>
      </c>
      <c r="Y62" s="56">
        <f t="shared" ref="Y62:AO62" si="79">IFERROR(Y27/$B62,0)</f>
        <v>64.388138511865478</v>
      </c>
      <c r="Z62" s="56">
        <f t="shared" si="79"/>
        <v>190.98620337250901</v>
      </c>
      <c r="AA62" s="56">
        <f t="shared" si="79"/>
        <v>117.08890414392032</v>
      </c>
      <c r="AB62" s="56">
        <f t="shared" si="79"/>
        <v>85.177654336466617</v>
      </c>
      <c r="AC62" s="56">
        <f t="shared" si="79"/>
        <v>597.40149031628005</v>
      </c>
      <c r="AD62" s="64">
        <f>IFERROR(up_RadSpec!$F$27*AD27,".")*$B$62</f>
        <v>8.6281419658936528E-4</v>
      </c>
      <c r="AE62" s="64">
        <f>IFERROR(up_RadSpec!$M$27*AE27,".")*$B$62</f>
        <v>2.9088488602311625E-4</v>
      </c>
      <c r="AF62" s="64">
        <f>IFERROR(up_RadSpec!$N$27*AF27,".")*$B$62</f>
        <v>4.7446852804868965E-4</v>
      </c>
      <c r="AG62" s="64">
        <f>IFERROR(up_RadSpec!$O$27*AG27,".")*$B$62</f>
        <v>6.5222505166141385E-4</v>
      </c>
      <c r="AH62" s="64">
        <f>IFERROR(up_RadSpec!$K$27*AH27,".")*$B$62</f>
        <v>9.299441146453738E-5</v>
      </c>
      <c r="AI62" s="73">
        <f t="shared" si="61"/>
        <v>8.6281419658936528E-4</v>
      </c>
      <c r="AJ62" s="73">
        <f t="shared" si="61"/>
        <v>2.9088488602311625E-4</v>
      </c>
      <c r="AK62" s="73">
        <f t="shared" si="61"/>
        <v>4.7446852804868965E-4</v>
      </c>
      <c r="AL62" s="73">
        <f t="shared" si="61"/>
        <v>6.5222505166141385E-4</v>
      </c>
      <c r="AM62" s="73">
        <f t="shared" si="61"/>
        <v>9.299441146453738E-5</v>
      </c>
      <c r="AN62" s="56">
        <f t="shared" si="79"/>
        <v>3.1864575553895941E-4</v>
      </c>
      <c r="AO62" s="56">
        <f t="shared" si="79"/>
        <v>1.7445855115758027</v>
      </c>
      <c r="AP62" s="56">
        <f t="shared" si="62"/>
        <v>3.1858756602918241E-4</v>
      </c>
      <c r="AQ62" s="64">
        <f>IFERROR(up_RadSpec!$G$27*AQ27,".")*$B$62</f>
        <v>174.34721484375001</v>
      </c>
      <c r="AR62" s="64">
        <f>IFERROR(up_RadSpec!$J$27*AR27,".")*$B$62</f>
        <v>3.1844240154109582E-2</v>
      </c>
      <c r="AS62" s="73">
        <f t="shared" si="63"/>
        <v>1</v>
      </c>
      <c r="AT62" s="73">
        <f t="shared" si="63"/>
        <v>3.1342551735692004E-2</v>
      </c>
      <c r="AU62" s="73">
        <f t="shared" si="64"/>
        <v>1</v>
      </c>
    </row>
    <row r="63" spans="1:47" x14ac:dyDescent="0.25">
      <c r="A63" s="52" t="s">
        <v>35</v>
      </c>
      <c r="B63" s="52" t="s">
        <v>289</v>
      </c>
      <c r="C63" s="53">
        <f>1/SUM(1/C66,1/C68,1/C72,1/C73,1/C75)</f>
        <v>9.6973579791831817E-9</v>
      </c>
      <c r="D63" s="53">
        <f>1/SUM(1/D64,1/D65,1/D66,1/D68,1/D72,1/D73,1/D75)</f>
        <v>3.0993461463844589E-8</v>
      </c>
      <c r="E63" s="53">
        <f>1/SUM(1/E64,1/E66,1/E68,1/E69,1/E70,1/E71,1/E72,1/E73,1/E74,1/E75,1/E76)</f>
        <v>1.0562946978156149E-5</v>
      </c>
      <c r="F63" s="54">
        <f>1/SUM(1/F64,1/F65,1/F66,1/F68,1/F69,1/F70,1/F71,1/F72,1/F73,1/F74,1/F75,1/F76)</f>
        <v>4.9513566461496069E-9</v>
      </c>
      <c r="G63" s="71"/>
      <c r="H63" s="71"/>
      <c r="I63" s="71"/>
      <c r="J63" s="72">
        <f>IFERROR(IF(SUM(G64:G76)&gt;0.01,1-EXP(-SUM(G64:G76)),SUM(G64:G76)),".")</f>
        <v>1</v>
      </c>
      <c r="K63" s="72">
        <f>IFERROR(IF(SUM(H64:H76)&gt;0.01,1-EXP(-SUM(H64:H76)),SUM(H64:H76)),".")</f>
        <v>1</v>
      </c>
      <c r="L63" s="72">
        <f>IFERROR(IF(SUM(I64:I76)&gt;0.01,1-EXP(-SUM(I64:I76)),SUM(I64:I76)),".")</f>
        <v>1</v>
      </c>
      <c r="M63" s="72">
        <f>IFERROR(IF(SUM(G64:I76)&gt;0.01,1-EXP(-SUM(G64:I76)),SUM(G64:I76)),".")</f>
        <v>1</v>
      </c>
      <c r="N63" s="53">
        <f>1/SUM(1/N66,1/N68,1/N72,1/N73,1/N75)</f>
        <v>9.6973579791831817E-9</v>
      </c>
      <c r="O63" s="53">
        <f>1/SUM(1/O64,1/O65,1/O66,1/O68,1/O72,1/O73,1/O75)</f>
        <v>1.9493017551463809E-7</v>
      </c>
      <c r="P63" s="53">
        <f>1/SUM(1/P64,1/P66,1/P68,1/P69,1/P70,1/P71,1/P72,1/P73,1/P74,1/P75,1/P76)</f>
        <v>1.0562946978156149E-5</v>
      </c>
      <c r="Q63" s="54">
        <f>1/SUM(1/Q64,1/Q65,1/Q66,1/Q68,1/Q69,1/Q70,1/Q71,1/Q72,1/Q73,1/Q74,1/Q75,1/Q76)</f>
        <v>5.8495438517916952E-9</v>
      </c>
      <c r="R63" s="71"/>
      <c r="S63" s="71"/>
      <c r="T63" s="71"/>
      <c r="U63" s="72">
        <f>IFERROR(IF(SUM(R64:R76)&gt;0.01,1-EXP(-SUM(R64:R76)),SUM(R64:R76)),".")</f>
        <v>1</v>
      </c>
      <c r="V63" s="72">
        <f>IFERROR(IF(SUM(S64:S76)&gt;0.01,1-EXP(-SUM(S64:S76)),SUM(S64:S76)),".")</f>
        <v>1</v>
      </c>
      <c r="W63" s="72">
        <f>IFERROR(IF(SUM(T64:T76)&gt;0.01,1-EXP(-SUM(T64:T76)),SUM(T64:T76)),".")</f>
        <v>1</v>
      </c>
      <c r="X63" s="72">
        <f>IFERROR(IF(SUM(R64:T76)&gt;0.01,1-EXP(-SUM(R64:T76)),SUM(R64:T76)),".")</f>
        <v>1</v>
      </c>
      <c r="Y63" s="53">
        <f t="shared" ref="Y63:AC63" si="80">1/SUM(1/Y64,1/Y66,1/Y68,1/Y69,1/Y70,1/Y71,1/Y72,1/Y73,1/Y74,1/Y75,1/Y76)</f>
        <v>1.0562946978156149E-5</v>
      </c>
      <c r="Z63" s="53">
        <f t="shared" si="80"/>
        <v>2.0122317012080108E-5</v>
      </c>
      <c r="AA63" s="53">
        <f t="shared" si="80"/>
        <v>1.432955809457745E-5</v>
      </c>
      <c r="AB63" s="53">
        <f t="shared" si="80"/>
        <v>1.2217942940979E-5</v>
      </c>
      <c r="AC63" s="53">
        <f t="shared" si="80"/>
        <v>3.5330521001336578E-5</v>
      </c>
      <c r="AD63" s="71"/>
      <c r="AE63" s="71"/>
      <c r="AF63" s="71"/>
      <c r="AG63" s="71"/>
      <c r="AH63" s="71"/>
      <c r="AI63" s="72">
        <f>IFERROR(IF(SUM(AD64:AD76)&gt;0.01,1-EXP(-SUM(AD64:AD76)),SUM(AD64:AD76)),".")</f>
        <v>1</v>
      </c>
      <c r="AJ63" s="72">
        <f t="shared" ref="AJ63:AM63" si="81">IFERROR(IF(SUM(AE64:AE76)&gt;0.01,1-EXP(-SUM(AE64:AE76)),SUM(AE64:AE76)),".")</f>
        <v>1</v>
      </c>
      <c r="AK63" s="72">
        <f t="shared" si="81"/>
        <v>1</v>
      </c>
      <c r="AL63" s="72">
        <f t="shared" si="81"/>
        <v>1</v>
      </c>
      <c r="AM63" s="72">
        <f t="shared" si="81"/>
        <v>1</v>
      </c>
      <c r="AN63" s="53">
        <f>1/SUM(1/AN64,1/AN65,1/AN66,1/AN68,1/AN72,1/AN73,1/AN75)</f>
        <v>6.0954124240334221E-11</v>
      </c>
      <c r="AO63" s="53">
        <f t="shared" ref="AO63:AP63" si="82">1/SUM(1/AO64,1/AO65,1/AO66,1/AO67,1/AO68,1/AO69,1/AO70,1/AO71,1/AO72,1/AO73,1/AO74,1/AO75,1/AO76)</f>
        <v>2.9199995043300838E-7</v>
      </c>
      <c r="AP63" s="54">
        <f t="shared" si="82"/>
        <v>5.3323584812455884E-11</v>
      </c>
      <c r="AQ63" s="71"/>
      <c r="AR63" s="71"/>
      <c r="AS63" s="72">
        <f>IFERROR(IF(SUM(AQ64:AQ76)&gt;0.01,1-EXP(-SUM(AQ64:AQ76)),SUM(AQ64:AQ76)),".")</f>
        <v>1</v>
      </c>
      <c r="AT63" s="72">
        <f>IFERROR(IF(SUM(AR64:AR76)&gt;0.01,1-EXP(-SUM(AR64:AR76)),SUM(AR64:AR76)),".")</f>
        <v>1</v>
      </c>
      <c r="AU63" s="72">
        <f>IFERROR(IF(SUM(AQ64:AR76)&gt;0.01,1-EXP(-SUM(AQ64:AR76)),SUM(AQ64:AR76)),".")</f>
        <v>1</v>
      </c>
    </row>
    <row r="64" spans="1:47" x14ac:dyDescent="0.25">
      <c r="A64" s="55" t="s">
        <v>306</v>
      </c>
      <c r="B64" s="60">
        <v>1</v>
      </c>
      <c r="C64" s="56">
        <f>IFERROR(C25/$B50,0)</f>
        <v>4.848484848484848E-8</v>
      </c>
      <c r="D64" s="56">
        <f>IFERROR(D25/$B50,0)</f>
        <v>2.1694802535592706E-7</v>
      </c>
      <c r="E64" s="56">
        <f>IFERROR(E25/$B50,0)</f>
        <v>7.5052208835341366E-5</v>
      </c>
      <c r="F64" s="56">
        <f t="shared" ref="F64:F76" si="83">IF(AND(C64&lt;&gt;0,D64&lt;&gt;0,E64&lt;&gt;0),1/((1/C64)+(1/D64)+(1/E64)),IF(AND(C64&lt;&gt;0,D64&lt;&gt;0,E64=0), 1/((1/C64)+(1/D64)),IF(AND(C64&lt;&gt;0,D64=0,E64&lt;&gt;0),1/((1/C64)+(1/E64)),IF(AND(C64=0,D64&lt;&gt;0,E64&lt;&gt;0),1/((1/D64)+(1/E64)),IF(AND(C64&lt;&gt;0,D64=0,E64=0),1/((1/C64)),IF(AND(C64=0,D64&lt;&gt;0,E64=0),1/((1/D64)),IF(AND(C64=0,D64=0,E64&lt;&gt;0),1/((1/E64)),IF(AND(C64=0,D64=0,E64=0),0))))))))</f>
        <v>3.9607532121831762E-8</v>
      </c>
      <c r="G64" s="64">
        <f>IFERROR(up_RadSpec!$I$25*G25,".")*$B$64</f>
        <v>1145821.875</v>
      </c>
      <c r="H64" s="64">
        <f>IFERROR(up_RadSpec!$G$25*H25,".")*$B$64</f>
        <v>256075.15859550191</v>
      </c>
      <c r="I64" s="64">
        <f>IFERROR(up_RadSpec!$F$25*I25,".")*$B$64</f>
        <v>740.2180543664382</v>
      </c>
      <c r="J64" s="73">
        <f t="shared" ref="J64:L76" si="84">IFERROR(IF(G64&gt;0.01,1-EXP(-G64),G64),".")</f>
        <v>1</v>
      </c>
      <c r="K64" s="73">
        <f t="shared" si="84"/>
        <v>1</v>
      </c>
      <c r="L64" s="73">
        <f t="shared" si="84"/>
        <v>1</v>
      </c>
      <c r="M64" s="73">
        <f t="shared" ref="M64:M76" si="85">IFERROR(IF(SUM(G64:I64)&gt;0.01,1-EXP(-SUM(G64:I64)),SUM(G64:I64)),".")</f>
        <v>1</v>
      </c>
      <c r="N64" s="56">
        <f>IFERROR(N25/$B50,0)</f>
        <v>4.848484848484848E-8</v>
      </c>
      <c r="O64" s="56">
        <f>IFERROR(O25/$B50,0)</f>
        <v>1.3644722035813288E-6</v>
      </c>
      <c r="P64" s="56">
        <f>IFERROR(P25/$B50,0)</f>
        <v>7.5052208835341366E-5</v>
      </c>
      <c r="Q64" s="56">
        <f t="shared" ref="Q64:Q76" si="86">IF(AND(N64&lt;&gt;0,O64&lt;&gt;0,P64&lt;&gt;0),1/((1/N64)+(1/O64)+(1/P64)),IF(AND(N64&lt;&gt;0,O64&lt;&gt;0,P64=0), 1/((1/N64)+(1/O64)),IF(AND(N64&lt;&gt;0,O64=0,P64&lt;&gt;0),1/((1/N64)+(1/P64)),IF(AND(N64=0,O64&lt;&gt;0,P64&lt;&gt;0),1/((1/O64)+(1/P64)),IF(AND(N64&lt;&gt;0,O64=0,P64=0),1/((1/N64)),IF(AND(N64=0,O64&lt;&gt;0,P64=0),1/((1/O64)),IF(AND(N64=0,O64=0,P64&lt;&gt;0),1/((1/P64)),IF(AND(N64=0,O64=0,P64=0),0))))))))</f>
        <v>4.6791926409124639E-8</v>
      </c>
      <c r="R64" s="64">
        <f>IFERROR(up_RadSpec!$I$25*R25,".")*$B$64</f>
        <v>1145821.875</v>
      </c>
      <c r="S64" s="64">
        <f>IFERROR(up_RadSpec!$G$25*S25,".")*$B$64</f>
        <v>40715.376871866531</v>
      </c>
      <c r="T64" s="64">
        <f>IFERROR(up_RadSpec!$F$25*T25,".")*$B$64</f>
        <v>740.2180543664382</v>
      </c>
      <c r="U64" s="73">
        <f t="shared" ref="U64:W76" si="87">IFERROR(IF(R64&gt;0.01,1-EXP(-R64),R64),".")</f>
        <v>1</v>
      </c>
      <c r="V64" s="73">
        <f t="shared" si="87"/>
        <v>1</v>
      </c>
      <c r="W64" s="73">
        <f t="shared" si="87"/>
        <v>1</v>
      </c>
      <c r="X64" s="73">
        <f t="shared" ref="X64:X76" si="88">IFERROR(IF(SUM(R64:T64)&gt;0.01,1-EXP(-SUM(R64:T64)),SUM(R64:T64)),".")</f>
        <v>1</v>
      </c>
      <c r="Y64" s="56">
        <f t="shared" ref="Y64:AO64" si="89">IFERROR(Y25/$B50,0)</f>
        <v>7.5052208835341366E-5</v>
      </c>
      <c r="Z64" s="56">
        <f t="shared" si="89"/>
        <v>1.3440293174530455E-4</v>
      </c>
      <c r="AA64" s="56">
        <f t="shared" si="89"/>
        <v>9.640795159896285E-5</v>
      </c>
      <c r="AB64" s="56">
        <f t="shared" si="89"/>
        <v>8.6089873967840056E-5</v>
      </c>
      <c r="AC64" s="56">
        <f t="shared" si="89"/>
        <v>2.4096969696969694E-4</v>
      </c>
      <c r="AD64" s="64">
        <f>IFERROR(up_RadSpec!$F$25*AD25,".")*$B$64</f>
        <v>740.2180543664382</v>
      </c>
      <c r="AE64" s="64">
        <f>IFERROR(up_RadSpec!$M$25*AE25,".")*$B$64</f>
        <v>413.34663819147551</v>
      </c>
      <c r="AF64" s="64">
        <f>IFERROR(up_RadSpec!$N$25*AF25,".")*$B$64</f>
        <v>576.24914831815227</v>
      </c>
      <c r="AG64" s="64">
        <f>IFERROR(up_RadSpec!$O$25*AG25,".")*$B$64</f>
        <v>645.31398920102095</v>
      </c>
      <c r="AH64" s="64">
        <f>IFERROR(up_RadSpec!$K$25*AH25,".")*$B$64</f>
        <v>230.54766096579473</v>
      </c>
      <c r="AI64" s="73">
        <f t="shared" ref="AI64:AM76" si="90">IFERROR(IF(AD64&gt;0.01,1-EXP(-AD64),AD64),".")</f>
        <v>1</v>
      </c>
      <c r="AJ64" s="73">
        <f t="shared" si="90"/>
        <v>1</v>
      </c>
      <c r="AK64" s="73">
        <f t="shared" si="90"/>
        <v>1</v>
      </c>
      <c r="AL64" s="73">
        <f t="shared" si="90"/>
        <v>1</v>
      </c>
      <c r="AM64" s="73">
        <f t="shared" si="90"/>
        <v>1</v>
      </c>
      <c r="AN64" s="56">
        <f t="shared" si="89"/>
        <v>4.2666666666666664E-10</v>
      </c>
      <c r="AO64" s="56">
        <f t="shared" si="89"/>
        <v>2.3359999999999997E-6</v>
      </c>
      <c r="AP64" s="56">
        <f t="shared" ref="AP64:AP76" si="91">IFERROR(IF(AND(AN64&lt;&gt;0,AO64&lt;&gt;0),1/((1/AN64)+(1/AO64)),IF(AND(AN64&lt;&gt;0,AO64=0),1/((1/AN64)),IF(AND(AN64=0,AO64&lt;&gt;0),1/((1/AO64)),IF(AND(AN64=0,AO64=0),0)))),0)</f>
        <v>4.2658875091307519E-10</v>
      </c>
      <c r="AQ64" s="64">
        <f>IFERROR(up_RadSpec!$G$25*AQ25,".")*$B$64</f>
        <v>130207031.25</v>
      </c>
      <c r="AR64" s="64">
        <f>IFERROR(up_RadSpec!$J$25*AR25,".")*$B$64</f>
        <v>23782.106164383556</v>
      </c>
      <c r="AS64" s="73">
        <f t="shared" ref="AS64:AT76" si="92">IFERROR(IF(AQ64&gt;0.01,1-EXP(-AQ64),AQ64),".")</f>
        <v>1</v>
      </c>
      <c r="AT64" s="73">
        <f t="shared" si="92"/>
        <v>1</v>
      </c>
      <c r="AU64" s="73">
        <f t="shared" ref="AU64:AU76" si="93">IFERROR(IF(SUM(AQ64:AR64)&gt;0.01,1-EXP(-SUM(AQ64:AR64)),SUM(AQ64:AR64)),".")</f>
        <v>1</v>
      </c>
    </row>
    <row r="65" spans="1:47" x14ac:dyDescent="0.25">
      <c r="A65" s="55" t="s">
        <v>307</v>
      </c>
      <c r="B65" s="60">
        <v>1</v>
      </c>
      <c r="C65" s="56">
        <f>IFERROR(C21/$B51,0)</f>
        <v>4.848484848484848E-8</v>
      </c>
      <c r="D65" s="56">
        <f>IFERROR(D21/$B51,0)</f>
        <v>2.1694802535592706E-7</v>
      </c>
      <c r="E65" s="56">
        <f>IFERROR(E21/$B51,0)</f>
        <v>0</v>
      </c>
      <c r="F65" s="56">
        <f t="shared" si="83"/>
        <v>3.9628445362720997E-8</v>
      </c>
      <c r="G65" s="64">
        <f>IFERROR(up_RadSpec!$I$21*G21,".")*$B$65</f>
        <v>1145821.875</v>
      </c>
      <c r="H65" s="64">
        <f>IFERROR(up_RadSpec!$G$21*H21,".")*$B$65</f>
        <v>256075.15859550191</v>
      </c>
      <c r="I65" s="64">
        <f>IFERROR(up_RadSpec!$F$21*I21,".")*$B$65</f>
        <v>0</v>
      </c>
      <c r="J65" s="73">
        <f t="shared" si="84"/>
        <v>1</v>
      </c>
      <c r="K65" s="73">
        <f t="shared" si="84"/>
        <v>1</v>
      </c>
      <c r="L65" s="73">
        <f t="shared" si="84"/>
        <v>0</v>
      </c>
      <c r="M65" s="73">
        <f t="shared" si="85"/>
        <v>1</v>
      </c>
      <c r="N65" s="56">
        <f>IFERROR(N21/$B51,0)</f>
        <v>4.848484848484848E-8</v>
      </c>
      <c r="O65" s="56">
        <f>IFERROR(O21/$B51,0)</f>
        <v>1.3644722035813288E-6</v>
      </c>
      <c r="P65" s="56">
        <f>IFERROR(P21/$B51,0)</f>
        <v>0</v>
      </c>
      <c r="Q65" s="56">
        <f t="shared" si="86"/>
        <v>4.6821117425817949E-8</v>
      </c>
      <c r="R65" s="64">
        <f>IFERROR(up_RadSpec!$I$21*R21,".")*$B$65</f>
        <v>1145821.875</v>
      </c>
      <c r="S65" s="64">
        <f>IFERROR(up_RadSpec!$G$21*S21,".")*$B$65</f>
        <v>40715.376871866531</v>
      </c>
      <c r="T65" s="64">
        <f>IFERROR(up_RadSpec!$F$21*T21,".")*$B$65</f>
        <v>0</v>
      </c>
      <c r="U65" s="73">
        <f t="shared" si="87"/>
        <v>1</v>
      </c>
      <c r="V65" s="73">
        <f t="shared" si="87"/>
        <v>1</v>
      </c>
      <c r="W65" s="73">
        <f t="shared" si="87"/>
        <v>0</v>
      </c>
      <c r="X65" s="73">
        <f t="shared" si="88"/>
        <v>1</v>
      </c>
      <c r="Y65" s="56">
        <f t="shared" ref="Y65:AO65" si="94">IFERROR(Y21/$B51,0)</f>
        <v>0</v>
      </c>
      <c r="Z65" s="56">
        <f t="shared" si="94"/>
        <v>0</v>
      </c>
      <c r="AA65" s="56">
        <f t="shared" si="94"/>
        <v>0</v>
      </c>
      <c r="AB65" s="56">
        <f t="shared" si="94"/>
        <v>0</v>
      </c>
      <c r="AC65" s="56">
        <f t="shared" si="94"/>
        <v>0</v>
      </c>
      <c r="AD65" s="64">
        <f>IFERROR(up_RadSpec!$F$21*AD21,".")*$B$65</f>
        <v>0</v>
      </c>
      <c r="AE65" s="64">
        <f>IFERROR(up_RadSpec!$M$21*AE21,".")*$B$65</f>
        <v>0</v>
      </c>
      <c r="AF65" s="64">
        <f>IFERROR(up_RadSpec!$N$21*AF21,".")*$B$65</f>
        <v>0</v>
      </c>
      <c r="AG65" s="64">
        <f>IFERROR(up_RadSpec!$O$21*AG21,".")*$B$65</f>
        <v>0</v>
      </c>
      <c r="AH65" s="64">
        <f>IFERROR(up_RadSpec!$K$21*AH21,".")*$B$65</f>
        <v>0</v>
      </c>
      <c r="AI65" s="73">
        <f t="shared" si="90"/>
        <v>0</v>
      </c>
      <c r="AJ65" s="73">
        <f t="shared" si="90"/>
        <v>0</v>
      </c>
      <c r="AK65" s="73">
        <f t="shared" si="90"/>
        <v>0</v>
      </c>
      <c r="AL65" s="73">
        <f t="shared" si="90"/>
        <v>0</v>
      </c>
      <c r="AM65" s="73">
        <f t="shared" si="90"/>
        <v>0</v>
      </c>
      <c r="AN65" s="56">
        <f t="shared" si="94"/>
        <v>4.2666666666666664E-10</v>
      </c>
      <c r="AO65" s="56">
        <f t="shared" si="94"/>
        <v>2.3359999999999997E-6</v>
      </c>
      <c r="AP65" s="56">
        <f t="shared" si="91"/>
        <v>4.2658875091307519E-10</v>
      </c>
      <c r="AQ65" s="64">
        <f>IFERROR(up_RadSpec!$G$21*AQ21,".")*$B$65</f>
        <v>130207031.25</v>
      </c>
      <c r="AR65" s="64">
        <f>IFERROR(up_RadSpec!$J$21*AR21,".")*$B$65</f>
        <v>23782.106164383556</v>
      </c>
      <c r="AS65" s="73">
        <f t="shared" si="92"/>
        <v>1</v>
      </c>
      <c r="AT65" s="73">
        <f t="shared" si="92"/>
        <v>1</v>
      </c>
      <c r="AU65" s="73">
        <f t="shared" si="93"/>
        <v>1</v>
      </c>
    </row>
    <row r="66" spans="1:47" x14ac:dyDescent="0.25">
      <c r="A66" s="55" t="s">
        <v>308</v>
      </c>
      <c r="B66" s="61">
        <v>0.99980000000000002</v>
      </c>
      <c r="C66" s="56">
        <f>IFERROR(C17/$B52,0)</f>
        <v>4.8494547394327344E-8</v>
      </c>
      <c r="D66" s="56">
        <f>IFERROR(D17/$B52,0)</f>
        <v>2.1699142364065518E-7</v>
      </c>
      <c r="E66" s="56">
        <f>IFERROR(E17/$B52,0)</f>
        <v>1.0316868568518891E-4</v>
      </c>
      <c r="F66" s="56">
        <f t="shared" si="83"/>
        <v>3.9621150589214775E-8</v>
      </c>
      <c r="G66" s="64">
        <f>IFERROR(up_RadSpec!$I$17*G17,".")*$B$66</f>
        <v>1145592.7106250001</v>
      </c>
      <c r="H66" s="64">
        <f>IFERROR(up_RadSpec!$G$17*H17,".")*$B$66</f>
        <v>256023.94356378281</v>
      </c>
      <c r="I66" s="64">
        <f>IFERROR(up_RadSpec!$F$17*I17,".")*$B$66</f>
        <v>538.48703830076556</v>
      </c>
      <c r="J66" s="73">
        <f t="shared" si="84"/>
        <v>1</v>
      </c>
      <c r="K66" s="73">
        <f t="shared" si="84"/>
        <v>1</v>
      </c>
      <c r="L66" s="73">
        <f t="shared" si="84"/>
        <v>1</v>
      </c>
      <c r="M66" s="73">
        <f t="shared" si="85"/>
        <v>1</v>
      </c>
      <c r="N66" s="56">
        <f>IFERROR(N17/$B52,0)</f>
        <v>4.8494547394327344E-8</v>
      </c>
      <c r="O66" s="56">
        <f>IFERROR(O17/$B52,0)</f>
        <v>1.364745152611851E-6</v>
      </c>
      <c r="P66" s="56">
        <f>IFERROR(P17/$B52,0)</f>
        <v>1.0316868568518891E-4</v>
      </c>
      <c r="Q66" s="56">
        <f t="shared" si="86"/>
        <v>4.6809235804462618E-8</v>
      </c>
      <c r="R66" s="64">
        <f>IFERROR(up_RadSpec!$I$17*R17,".")*$B$66</f>
        <v>1145592.7106250001</v>
      </c>
      <c r="S66" s="64">
        <f>IFERROR(up_RadSpec!$G$17*S17,".")*$B$66</f>
        <v>40707.233796492161</v>
      </c>
      <c r="T66" s="64">
        <f>IFERROR(up_RadSpec!$F$17*T17,".")*$B$66</f>
        <v>538.48703830076556</v>
      </c>
      <c r="U66" s="73">
        <f t="shared" si="87"/>
        <v>1</v>
      </c>
      <c r="V66" s="73">
        <f t="shared" si="87"/>
        <v>1</v>
      </c>
      <c r="W66" s="73">
        <f t="shared" si="87"/>
        <v>1</v>
      </c>
      <c r="X66" s="73">
        <f t="shared" si="88"/>
        <v>1</v>
      </c>
      <c r="Y66" s="56">
        <f t="shared" ref="Y66:AO66" si="95">IFERROR(Y17/$B52,0)</f>
        <v>1.0316868568518891E-4</v>
      </c>
      <c r="Z66" s="56">
        <f t="shared" si="95"/>
        <v>1.8030885430496009E-4</v>
      </c>
      <c r="AA66" s="56">
        <f t="shared" si="95"/>
        <v>1.3584729210207246E-4</v>
      </c>
      <c r="AB66" s="56">
        <f t="shared" si="95"/>
        <v>1.2079968772729121E-4</v>
      </c>
      <c r="AC66" s="56">
        <f t="shared" si="95"/>
        <v>3.4549630590707966E-4</v>
      </c>
      <c r="AD66" s="64">
        <f>IFERROR(up_RadSpec!$F$17*AD17,".")*$B$66</f>
        <v>538.48703830076556</v>
      </c>
      <c r="AE66" s="64">
        <f>IFERROR(up_RadSpec!$M$17*AE17,".")*$B$66</f>
        <v>308.11021574147804</v>
      </c>
      <c r="AF66" s="64">
        <f>IFERROR(up_RadSpec!$N$17*AF17,".")*$B$66</f>
        <v>408.95183952770486</v>
      </c>
      <c r="AG66" s="64">
        <f>IFERROR(up_RadSpec!$O$17*AG17,".")*$B$66</f>
        <v>459.89357294877288</v>
      </c>
      <c r="AH66" s="64">
        <f>IFERROR(up_RadSpec!$K$17*AH17,".")*$B$66</f>
        <v>160.79766715346986</v>
      </c>
      <c r="AI66" s="73">
        <f t="shared" si="90"/>
        <v>1</v>
      </c>
      <c r="AJ66" s="73">
        <f t="shared" si="90"/>
        <v>1</v>
      </c>
      <c r="AK66" s="73">
        <f t="shared" si="90"/>
        <v>1</v>
      </c>
      <c r="AL66" s="73">
        <f t="shared" si="90"/>
        <v>1</v>
      </c>
      <c r="AM66" s="73">
        <f t="shared" si="90"/>
        <v>1</v>
      </c>
      <c r="AN66" s="56">
        <f t="shared" si="95"/>
        <v>4.2675201707008062E-10</v>
      </c>
      <c r="AO66" s="56">
        <f t="shared" si="95"/>
        <v>2.3364672934586915E-6</v>
      </c>
      <c r="AP66" s="56">
        <f t="shared" si="91"/>
        <v>4.2667408573022117E-10</v>
      </c>
      <c r="AQ66" s="64">
        <f>IFERROR(up_RadSpec!$G$17*AQ17,".")*$B$66</f>
        <v>130180989.84375</v>
      </c>
      <c r="AR66" s="64">
        <f>IFERROR(up_RadSpec!$J$17*AR17,".")*$B$66</f>
        <v>23777.34974315068</v>
      </c>
      <c r="AS66" s="73">
        <f t="shared" si="92"/>
        <v>1</v>
      </c>
      <c r="AT66" s="73">
        <f t="shared" si="92"/>
        <v>1</v>
      </c>
      <c r="AU66" s="73">
        <f t="shared" si="93"/>
        <v>1</v>
      </c>
    </row>
    <row r="67" spans="1:47" x14ac:dyDescent="0.25">
      <c r="A67" s="55" t="s">
        <v>309</v>
      </c>
      <c r="B67" s="60">
        <v>2.0000000000000001E-4</v>
      </c>
      <c r="C67" s="56">
        <f>IFERROR(C5/$B53,0)</f>
        <v>2.4242424242424239E-4</v>
      </c>
      <c r="D67" s="56">
        <f>IFERROR(D5/$B53,0)</f>
        <v>1.0847401267796352E-3</v>
      </c>
      <c r="E67" s="56">
        <f>IFERROR(E5/$B53,0)</f>
        <v>0</v>
      </c>
      <c r="F67" s="56">
        <f t="shared" si="83"/>
        <v>1.9814222681360498E-4</v>
      </c>
      <c r="G67" s="64">
        <f>IFERROR(up_RadSpec!$I$5*G5,".")*$B$67</f>
        <v>229.16437500000001</v>
      </c>
      <c r="H67" s="64">
        <f>IFERROR(up_RadSpec!$G$5*H5,".")*$B$67</f>
        <v>51.215031719100388</v>
      </c>
      <c r="I67" s="64">
        <f>IFERROR(up_RadSpec!$F$5*I5,".")*$B$67</f>
        <v>0</v>
      </c>
      <c r="J67" s="73">
        <f t="shared" si="84"/>
        <v>1</v>
      </c>
      <c r="K67" s="73">
        <f t="shared" si="84"/>
        <v>1</v>
      </c>
      <c r="L67" s="73">
        <f t="shared" si="84"/>
        <v>0</v>
      </c>
      <c r="M67" s="73">
        <f t="shared" si="85"/>
        <v>1</v>
      </c>
      <c r="N67" s="56">
        <f>IFERROR(N5/$B53,0)</f>
        <v>2.4242424242424239E-4</v>
      </c>
      <c r="O67" s="56">
        <f>IFERROR(O5/$B53,0)</f>
        <v>6.8223610179066431E-3</v>
      </c>
      <c r="P67" s="56">
        <f>IFERROR(P5/$B53,0)</f>
        <v>0</v>
      </c>
      <c r="Q67" s="56">
        <f t="shared" si="86"/>
        <v>2.341055871290897E-4</v>
      </c>
      <c r="R67" s="64">
        <f>IFERROR(up_RadSpec!$I$5*R5,".")*$B$67</f>
        <v>229.16437500000001</v>
      </c>
      <c r="S67" s="64">
        <f>IFERROR(up_RadSpec!$G$5*S5,".")*$B$67</f>
        <v>8.1430753743733071</v>
      </c>
      <c r="T67" s="64">
        <f>IFERROR(up_RadSpec!$F$5*T5,".")*$B$67</f>
        <v>0</v>
      </c>
      <c r="U67" s="73">
        <f t="shared" si="87"/>
        <v>1</v>
      </c>
      <c r="V67" s="73">
        <f t="shared" si="87"/>
        <v>0.99970925831760116</v>
      </c>
      <c r="W67" s="73">
        <f t="shared" si="87"/>
        <v>0</v>
      </c>
      <c r="X67" s="73">
        <f t="shared" si="88"/>
        <v>1</v>
      </c>
      <c r="Y67" s="56">
        <f t="shared" ref="Y67:AO67" si="96">IFERROR(Y5/$B53,0)</f>
        <v>0</v>
      </c>
      <c r="Z67" s="56">
        <f t="shared" si="96"/>
        <v>0</v>
      </c>
      <c r="AA67" s="56">
        <f t="shared" si="96"/>
        <v>0</v>
      </c>
      <c r="AB67" s="56">
        <f t="shared" si="96"/>
        <v>0</v>
      </c>
      <c r="AC67" s="56">
        <f t="shared" si="96"/>
        <v>0</v>
      </c>
      <c r="AD67" s="64">
        <f>IFERROR(up_RadSpec!$F$5*AD5,".")*$B$67</f>
        <v>0</v>
      </c>
      <c r="AE67" s="64">
        <f>IFERROR(up_RadSpec!$M$5*AE5,".")*$B$67</f>
        <v>0</v>
      </c>
      <c r="AF67" s="64">
        <f>IFERROR(up_RadSpec!$N$5*AF5,".")*$B$67</f>
        <v>0</v>
      </c>
      <c r="AG67" s="64">
        <f>IFERROR(up_RadSpec!$O$5*AG5,".")*$B$67</f>
        <v>0</v>
      </c>
      <c r="AH67" s="64">
        <f>IFERROR(up_RadSpec!$K$5*AH5,".")*$B$67</f>
        <v>0</v>
      </c>
      <c r="AI67" s="73">
        <f t="shared" si="90"/>
        <v>0</v>
      </c>
      <c r="AJ67" s="73">
        <f t="shared" si="90"/>
        <v>0</v>
      </c>
      <c r="AK67" s="73">
        <f t="shared" si="90"/>
        <v>0</v>
      </c>
      <c r="AL67" s="73">
        <f t="shared" si="90"/>
        <v>0</v>
      </c>
      <c r="AM67" s="73">
        <f t="shared" si="90"/>
        <v>0</v>
      </c>
      <c r="AN67" s="56">
        <f t="shared" si="96"/>
        <v>2.133333333333333E-6</v>
      </c>
      <c r="AO67" s="56">
        <f t="shared" si="96"/>
        <v>1.1679999999999998E-2</v>
      </c>
      <c r="AP67" s="56">
        <f t="shared" si="91"/>
        <v>2.1329437545653759E-6</v>
      </c>
      <c r="AQ67" s="64">
        <f>IFERROR(up_RadSpec!$G$5*AQ5,".")*$B$67</f>
        <v>26041.40625</v>
      </c>
      <c r="AR67" s="64">
        <f>IFERROR(up_RadSpec!$J$5*AR5,".")*$B$67</f>
        <v>4.7564212328767113</v>
      </c>
      <c r="AS67" s="73">
        <f t="shared" si="92"/>
        <v>1</v>
      </c>
      <c r="AT67" s="73">
        <f t="shared" si="92"/>
        <v>0.99140368136336743</v>
      </c>
      <c r="AU67" s="73">
        <f t="shared" si="93"/>
        <v>1</v>
      </c>
    </row>
    <row r="68" spans="1:47" x14ac:dyDescent="0.25">
      <c r="A68" s="55" t="s">
        <v>310</v>
      </c>
      <c r="B68" s="60">
        <v>0.99999979999999999</v>
      </c>
      <c r="C68" s="56">
        <f>IFERROR(C9/$B54,0)</f>
        <v>4.8484858181820117E-8</v>
      </c>
      <c r="D68" s="56">
        <f>IFERROR(D9/$B54,0)</f>
        <v>2.169480687455408E-7</v>
      </c>
      <c r="E68" s="56">
        <f>IFERROR(E9/$B54,0)</f>
        <v>3.8136540207877301E-5</v>
      </c>
      <c r="F68" s="56">
        <f t="shared" si="83"/>
        <v>3.9587317303185631E-8</v>
      </c>
      <c r="G68" s="64">
        <f>IFERROR(up_RadSpec!$I$9*G9,".")*$B$68</f>
        <v>1145821.645835625</v>
      </c>
      <c r="H68" s="64">
        <f>IFERROR(up_RadSpec!$G$9*H9,".")*$B$68</f>
        <v>256075.1073804702</v>
      </c>
      <c r="I68" s="64">
        <f>IFERROR(up_RadSpec!$F$9*I9,".")*$B$68</f>
        <v>1456.7393816318138</v>
      </c>
      <c r="J68" s="73">
        <f t="shared" si="84"/>
        <v>1</v>
      </c>
      <c r="K68" s="73">
        <f t="shared" si="84"/>
        <v>1</v>
      </c>
      <c r="L68" s="73">
        <f t="shared" si="84"/>
        <v>1</v>
      </c>
      <c r="M68" s="73">
        <f t="shared" si="85"/>
        <v>1</v>
      </c>
      <c r="N68" s="56">
        <f>IFERROR(N9/$B54,0)</f>
        <v>4.8484858181820117E-8</v>
      </c>
      <c r="O68" s="56">
        <f>IFERROR(O9/$B54,0)</f>
        <v>1.3644724764758241E-6</v>
      </c>
      <c r="P68" s="56">
        <f>IFERROR(P9/$B54,0)</f>
        <v>3.8136540207877301E-5</v>
      </c>
      <c r="Q68" s="56">
        <f t="shared" si="86"/>
        <v>4.676371387936017E-8</v>
      </c>
      <c r="R68" s="64">
        <f>IFERROR(up_RadSpec!$I$9*R9,".")*$B$68</f>
        <v>1145821.645835625</v>
      </c>
      <c r="S68" s="64">
        <f>IFERROR(up_RadSpec!$G$9*S9,".")*$B$68</f>
        <v>40715.368728791153</v>
      </c>
      <c r="T68" s="64">
        <f>IFERROR(up_RadSpec!$F$9*T9,".")*$B$68</f>
        <v>1456.7393816318138</v>
      </c>
      <c r="U68" s="73">
        <f t="shared" si="87"/>
        <v>1</v>
      </c>
      <c r="V68" s="73">
        <f t="shared" si="87"/>
        <v>1</v>
      </c>
      <c r="W68" s="73">
        <f t="shared" si="87"/>
        <v>1</v>
      </c>
      <c r="X68" s="73">
        <f t="shared" si="88"/>
        <v>1</v>
      </c>
      <c r="Y68" s="56">
        <f t="shared" ref="Y68:AO68" si="97">IFERROR(Y9/$B54,0)</f>
        <v>3.8136540207877301E-5</v>
      </c>
      <c r="Z68" s="56">
        <f t="shared" si="97"/>
        <v>7.8110015622003144E-5</v>
      </c>
      <c r="AA68" s="56">
        <f t="shared" si="97"/>
        <v>5.4959735479893466E-5</v>
      </c>
      <c r="AB68" s="56">
        <f t="shared" si="97"/>
        <v>4.5304251485092718E-5</v>
      </c>
      <c r="AC68" s="56">
        <f t="shared" si="97"/>
        <v>1.3835466833543353E-4</v>
      </c>
      <c r="AD68" s="64">
        <f>IFERROR(up_RadSpec!$F$9*AD9,".")*$B$68</f>
        <v>1456.7393816318138</v>
      </c>
      <c r="AE68" s="64">
        <f>IFERROR(up_RadSpec!$M$9*AE9,".")*$B$68</f>
        <v>711.24041593905986</v>
      </c>
      <c r="AF68" s="64">
        <f>IFERROR(up_RadSpec!$N$9*AF9,".")*$B$68</f>
        <v>1010.8309203985214</v>
      </c>
      <c r="AG68" s="64">
        <f>IFERROR(up_RadSpec!$O$9*AG9,".")*$B$68</f>
        <v>1226.2646038480575</v>
      </c>
      <c r="AH68" s="64">
        <f>IFERROR(up_RadSpec!$K$9*AH9,".")*$B$68</f>
        <v>401.54048047955882</v>
      </c>
      <c r="AI68" s="73">
        <f t="shared" si="90"/>
        <v>1</v>
      </c>
      <c r="AJ68" s="73">
        <f t="shared" si="90"/>
        <v>1</v>
      </c>
      <c r="AK68" s="73">
        <f t="shared" si="90"/>
        <v>1</v>
      </c>
      <c r="AL68" s="73">
        <f t="shared" si="90"/>
        <v>1</v>
      </c>
      <c r="AM68" s="73">
        <f t="shared" si="90"/>
        <v>1</v>
      </c>
      <c r="AN68" s="56">
        <f t="shared" si="97"/>
        <v>4.2666675200001703E-10</v>
      </c>
      <c r="AO68" s="56">
        <f t="shared" si="97"/>
        <v>2.3360004672000932E-6</v>
      </c>
      <c r="AP68" s="56">
        <f t="shared" si="91"/>
        <v>4.2658883623084248E-10</v>
      </c>
      <c r="AQ68" s="64">
        <f>IFERROR(up_RadSpec!$G$9*AQ9,".")*$B$68</f>
        <v>130207005.20859376</v>
      </c>
      <c r="AR68" s="64">
        <f>IFERROR(up_RadSpec!$J$9*AR9,".")*$B$68</f>
        <v>23782.101407962324</v>
      </c>
      <c r="AS68" s="73">
        <f t="shared" si="92"/>
        <v>1</v>
      </c>
      <c r="AT68" s="73">
        <f t="shared" si="92"/>
        <v>1</v>
      </c>
      <c r="AU68" s="73">
        <f t="shared" si="93"/>
        <v>1</v>
      </c>
    </row>
    <row r="69" spans="1:47" x14ac:dyDescent="0.25">
      <c r="A69" s="55" t="s">
        <v>311</v>
      </c>
      <c r="B69" s="60">
        <v>1.9999999999999999E-7</v>
      </c>
      <c r="C69" s="56">
        <f>IFERROR(C24/$B55,0)</f>
        <v>0.2424242424242424</v>
      </c>
      <c r="D69" s="56">
        <f>IFERROR(D24/$B55,0)</f>
        <v>1.0847401267796353</v>
      </c>
      <c r="E69" s="56">
        <f>IFERROR(E24/$B55,0)</f>
        <v>336.50732335425732</v>
      </c>
      <c r="F69" s="56">
        <f t="shared" si="83"/>
        <v>0.19802562537389001</v>
      </c>
      <c r="G69" s="64">
        <f>IFERROR(up_RadSpec!$I$24*G24,".")*$B$69</f>
        <v>0.229164375</v>
      </c>
      <c r="H69" s="64">
        <f>IFERROR(up_RadSpec!$G$24*H24,".")*$B$69</f>
        <v>5.1215031719100378E-2</v>
      </c>
      <c r="I69" s="64">
        <f>IFERROR(up_RadSpec!$F$24*I24,".")*$B$69</f>
        <v>1.6509298949644131E-4</v>
      </c>
      <c r="J69" s="73">
        <f t="shared" si="84"/>
        <v>0.20480218787864291</v>
      </c>
      <c r="K69" s="73">
        <f t="shared" si="84"/>
        <v>4.9925647555499997E-2</v>
      </c>
      <c r="L69" s="73">
        <f t="shared" si="84"/>
        <v>1.6509298949644131E-4</v>
      </c>
      <c r="M69" s="73">
        <f t="shared" si="85"/>
        <v>0.24462767055423507</v>
      </c>
      <c r="N69" s="56">
        <f>IFERROR(N24/$B55,0)</f>
        <v>0.2424242424242424</v>
      </c>
      <c r="O69" s="56">
        <f>IFERROR(O24/$B55,0)</f>
        <v>6.8223610179066441</v>
      </c>
      <c r="P69" s="56">
        <f>IFERROR(P24/$B55,0)</f>
        <v>336.50732335425732</v>
      </c>
      <c r="Q69" s="56">
        <f t="shared" si="86"/>
        <v>0.23394283487702103</v>
      </c>
      <c r="R69" s="64">
        <f>IFERROR(up_RadSpec!$I$24*R24,".")*$B$69</f>
        <v>0.229164375</v>
      </c>
      <c r="S69" s="64">
        <f>IFERROR(up_RadSpec!$G$24*S24,".")*$B$69</f>
        <v>8.1430753743733063E-3</v>
      </c>
      <c r="T69" s="64">
        <f>IFERROR(up_RadSpec!$F$24*T24,".")*$B$69</f>
        <v>1.6509298949644131E-4</v>
      </c>
      <c r="U69" s="73">
        <f t="shared" si="87"/>
        <v>0.20480218787864291</v>
      </c>
      <c r="V69" s="73">
        <f t="shared" si="87"/>
        <v>8.1430753743733063E-3</v>
      </c>
      <c r="W69" s="73">
        <f t="shared" si="87"/>
        <v>1.6509298949644131E-4</v>
      </c>
      <c r="X69" s="73">
        <f t="shared" si="88"/>
        <v>0.21138145650378304</v>
      </c>
      <c r="Y69" s="56">
        <f t="shared" ref="Y69:AO69" si="98">IFERROR(Y24/$B55,0)</f>
        <v>336.50732335425732</v>
      </c>
      <c r="Z69" s="56">
        <f t="shared" si="98"/>
        <v>610.09281243254918</v>
      </c>
      <c r="AA69" s="56">
        <f t="shared" si="98"/>
        <v>430.76494855609099</v>
      </c>
      <c r="AB69" s="56">
        <f t="shared" si="98"/>
        <v>359.71666153372337</v>
      </c>
      <c r="AC69" s="56">
        <f t="shared" si="98"/>
        <v>1013.9780219780215</v>
      </c>
      <c r="AD69" s="64">
        <f>IFERROR(up_RadSpec!$F$24*AD24,".")*$B$69</f>
        <v>1.6509298949644131E-4</v>
      </c>
      <c r="AE69" s="64">
        <f>IFERROR(up_RadSpec!$M$24*AE24,".")*$B$69</f>
        <v>9.1059915586437203E-5</v>
      </c>
      <c r="AF69" s="64">
        <f>IFERROR(up_RadSpec!$N$24*AF24,".")*$B$69</f>
        <v>1.2896824633995497E-4</v>
      </c>
      <c r="AG69" s="64">
        <f>IFERROR(up_RadSpec!$O$24*AG24,".")*$B$69</f>
        <v>1.5444099743150682E-4</v>
      </c>
      <c r="AH69" s="64">
        <f>IFERROR(up_RadSpec!$K$24*AH24,".")*$B$69</f>
        <v>5.4789155973643154E-5</v>
      </c>
      <c r="AI69" s="73">
        <f t="shared" si="90"/>
        <v>1.6509298949644131E-4</v>
      </c>
      <c r="AJ69" s="73">
        <f t="shared" si="90"/>
        <v>9.1059915586437203E-5</v>
      </c>
      <c r="AK69" s="73">
        <f t="shared" si="90"/>
        <v>1.2896824633995497E-4</v>
      </c>
      <c r="AL69" s="73">
        <f t="shared" si="90"/>
        <v>1.5444099743150682E-4</v>
      </c>
      <c r="AM69" s="73">
        <f t="shared" si="90"/>
        <v>5.4789155973643154E-5</v>
      </c>
      <c r="AN69" s="56">
        <f t="shared" si="98"/>
        <v>2.1333333333333334E-3</v>
      </c>
      <c r="AO69" s="56">
        <f t="shared" si="98"/>
        <v>11.68</v>
      </c>
      <c r="AP69" s="56">
        <f t="shared" si="91"/>
        <v>2.1329437545653763E-3</v>
      </c>
      <c r="AQ69" s="64">
        <f>IFERROR(up_RadSpec!$G$24*AQ24,".")*$B$69</f>
        <v>26.041406249999998</v>
      </c>
      <c r="AR69" s="64">
        <f>IFERROR(up_RadSpec!$J$24*AR24,".")*$B$69</f>
        <v>4.7564212328767112E-3</v>
      </c>
      <c r="AS69" s="73">
        <f t="shared" si="92"/>
        <v>0.99999999999509814</v>
      </c>
      <c r="AT69" s="73">
        <f t="shared" si="92"/>
        <v>4.7564212328767112E-3</v>
      </c>
      <c r="AU69" s="73">
        <f t="shared" si="93"/>
        <v>0.99999999999512135</v>
      </c>
    </row>
    <row r="70" spans="1:47" x14ac:dyDescent="0.25">
      <c r="A70" s="55" t="s">
        <v>312</v>
      </c>
      <c r="B70" s="60">
        <v>0.99979000004200003</v>
      </c>
      <c r="C70" s="56">
        <f>IFERROR(C20/$B56,0)</f>
        <v>4.8495032439624005E-8</v>
      </c>
      <c r="D70" s="56">
        <f>IFERROR(D20/$B56,0)</f>
        <v>2.1699359400155364E-7</v>
      </c>
      <c r="E70" s="56">
        <f>IFERROR(E20/$B56,0)</f>
        <v>5.2722208620013986E-5</v>
      </c>
      <c r="F70" s="56">
        <f t="shared" si="83"/>
        <v>3.9606992385942796E-8</v>
      </c>
      <c r="G70" s="64">
        <f>IFERROR(up_RadSpec!$I$20*G20,".")*$B$70</f>
        <v>1145581.2524543745</v>
      </c>
      <c r="H70" s="64">
        <f>IFERROR(up_RadSpec!$G$20*H20,".")*$B$70</f>
        <v>256021.38282295203</v>
      </c>
      <c r="I70" s="64">
        <f>IFERROR(up_RadSpec!$F$20*I20,".")*$B$70</f>
        <v>1053.7305142203516</v>
      </c>
      <c r="J70" s="73">
        <f t="shared" si="84"/>
        <v>1</v>
      </c>
      <c r="K70" s="73">
        <f t="shared" si="84"/>
        <v>1</v>
      </c>
      <c r="L70" s="73">
        <f t="shared" si="84"/>
        <v>1</v>
      </c>
      <c r="M70" s="73">
        <f t="shared" si="85"/>
        <v>1</v>
      </c>
      <c r="N70" s="56">
        <f>IFERROR(N20/$B56,0)</f>
        <v>4.8495032439624005E-8</v>
      </c>
      <c r="O70" s="56">
        <f>IFERROR(O20/$B56,0)</f>
        <v>1.3647588028726122E-6</v>
      </c>
      <c r="P70" s="56">
        <f>IFERROR(P20/$B56,0)</f>
        <v>5.2722208620013986E-5</v>
      </c>
      <c r="Q70" s="56">
        <f t="shared" si="86"/>
        <v>4.6789390847868957E-8</v>
      </c>
      <c r="R70" s="64">
        <f>IFERROR(up_RadSpec!$I$20*R20,".")*$B$70</f>
        <v>1145581.2524543745</v>
      </c>
      <c r="S70" s="64">
        <f>IFERROR(up_RadSpec!$G$20*S20,".")*$B$70</f>
        <v>40706.826644433488</v>
      </c>
      <c r="T70" s="64">
        <f>IFERROR(up_RadSpec!$F$20*T20,".")*$B$70</f>
        <v>1053.7305142203516</v>
      </c>
      <c r="U70" s="73">
        <f t="shared" si="87"/>
        <v>1</v>
      </c>
      <c r="V70" s="73">
        <f t="shared" si="87"/>
        <v>1</v>
      </c>
      <c r="W70" s="73">
        <f t="shared" si="87"/>
        <v>1</v>
      </c>
      <c r="X70" s="73">
        <f t="shared" si="88"/>
        <v>1</v>
      </c>
      <c r="Y70" s="56">
        <f t="shared" ref="Y70:AO70" si="99">IFERROR(Y20/$B56,0)</f>
        <v>5.2722208620013986E-5</v>
      </c>
      <c r="Z70" s="56">
        <f t="shared" si="99"/>
        <v>1.0397318870467517E-4</v>
      </c>
      <c r="AA70" s="56">
        <f t="shared" si="99"/>
        <v>7.2747877783879952E-5</v>
      </c>
      <c r="AB70" s="56">
        <f t="shared" si="99"/>
        <v>6.1084723214146041E-5</v>
      </c>
      <c r="AC70" s="56">
        <f t="shared" si="99"/>
        <v>1.7716633405183906E-4</v>
      </c>
      <c r="AD70" s="64">
        <f>IFERROR(up_RadSpec!$F$20*AD20,".")*$B$70</f>
        <v>1053.7305142203516</v>
      </c>
      <c r="AE70" s="64">
        <f>IFERROR(up_RadSpec!$M$20*AE20,".")*$B$70</f>
        <v>534.32044060703083</v>
      </c>
      <c r="AF70" s="64">
        <f>IFERROR(up_RadSpec!$N$20*AF20,".")*$B$70</f>
        <v>763.66488882388137</v>
      </c>
      <c r="AG70" s="64">
        <f>IFERROR(up_RadSpec!$O$20*AG20,".")*$B$70</f>
        <v>909.4745310581111</v>
      </c>
      <c r="AH70" s="64">
        <f>IFERROR(up_RadSpec!$K$20*AH20,".")*$B$70</f>
        <v>313.57537704507973</v>
      </c>
      <c r="AI70" s="73">
        <f t="shared" si="90"/>
        <v>1</v>
      </c>
      <c r="AJ70" s="73">
        <f t="shared" si="90"/>
        <v>1</v>
      </c>
      <c r="AK70" s="73">
        <f t="shared" si="90"/>
        <v>1</v>
      </c>
      <c r="AL70" s="73">
        <f t="shared" si="90"/>
        <v>1</v>
      </c>
      <c r="AM70" s="73">
        <f t="shared" si="90"/>
        <v>1</v>
      </c>
      <c r="AN70" s="56">
        <f t="shared" si="99"/>
        <v>4.2675628546869127E-10</v>
      </c>
      <c r="AO70" s="56">
        <f t="shared" si="99"/>
        <v>2.3364906629410847E-6</v>
      </c>
      <c r="AP70" s="56">
        <f t="shared" si="91"/>
        <v>4.2667835334935807E-10</v>
      </c>
      <c r="AQ70" s="64">
        <f>IFERROR(up_RadSpec!$G$20*AQ20,".")*$B$70</f>
        <v>130179687.7789062</v>
      </c>
      <c r="AR70" s="64">
        <f>IFERROR(up_RadSpec!$J$20*AR20,".")*$B$70</f>
        <v>23777.111923087887</v>
      </c>
      <c r="AS70" s="73">
        <f t="shared" si="92"/>
        <v>1</v>
      </c>
      <c r="AT70" s="73">
        <f t="shared" si="92"/>
        <v>1</v>
      </c>
      <c r="AU70" s="73">
        <f t="shared" si="93"/>
        <v>1</v>
      </c>
    </row>
    <row r="71" spans="1:47" x14ac:dyDescent="0.25">
      <c r="A71" s="55" t="s">
        <v>313</v>
      </c>
      <c r="B71" s="60">
        <v>2.0999995799999999E-4</v>
      </c>
      <c r="C71" s="56">
        <f>IFERROR(C29/$B57,0)</f>
        <v>2.3088027705628629E-4</v>
      </c>
      <c r="D71" s="56">
        <f>IFERROR(D29/$B57,0)</f>
        <v>1.0330860416454324E-3</v>
      </c>
      <c r="E71" s="56">
        <f>IFERROR(E29/$B57,0)</f>
        <v>0.19755403378611261</v>
      </c>
      <c r="F71" s="56">
        <f t="shared" si="83"/>
        <v>1.8852683643062957E-4</v>
      </c>
      <c r="G71" s="64">
        <f>IFERROR(up_RadSpec!$I$29*G29,".")*$B$71</f>
        <v>240.62254562548122</v>
      </c>
      <c r="H71" s="64">
        <f>IFERROR(up_RadSpec!$G$29*H29,".")*$B$71</f>
        <v>53.77577254989874</v>
      </c>
      <c r="I71" s="64">
        <f>IFERROR(up_RadSpec!$F$29*I29,".")*$B$71</f>
        <v>0.28121420218707438</v>
      </c>
      <c r="J71" s="73">
        <f t="shared" si="84"/>
        <v>1</v>
      </c>
      <c r="K71" s="73">
        <f t="shared" si="84"/>
        <v>1</v>
      </c>
      <c r="L71" s="73">
        <f t="shared" si="84"/>
        <v>0.2451333759204688</v>
      </c>
      <c r="M71" s="73">
        <f t="shared" si="85"/>
        <v>1</v>
      </c>
      <c r="N71" s="56">
        <f>IFERROR(N29/$B57,0)</f>
        <v>2.3088027705628629E-4</v>
      </c>
      <c r="O71" s="56">
        <f>IFERROR(O29/$B57,0)</f>
        <v>6.4974879832182105E-3</v>
      </c>
      <c r="P71" s="56">
        <f>IFERROR(P29/$B57,0)</f>
        <v>0.19755403378611261</v>
      </c>
      <c r="Q71" s="56">
        <f t="shared" si="86"/>
        <v>2.2270640213073535E-4</v>
      </c>
      <c r="R71" s="64">
        <f>IFERROR(up_RadSpec!$I$29*R29,".")*$B$71</f>
        <v>240.62254562548122</v>
      </c>
      <c r="S71" s="64">
        <f>IFERROR(up_RadSpec!$G$29*S29,".")*$B$71</f>
        <v>8.5502274330461425</v>
      </c>
      <c r="T71" s="64">
        <f>IFERROR(up_RadSpec!$F$29*T29,".")*$B$71</f>
        <v>0.28121420218707438</v>
      </c>
      <c r="U71" s="73">
        <f t="shared" si="87"/>
        <v>1</v>
      </c>
      <c r="V71" s="73">
        <f t="shared" si="87"/>
        <v>0.99980649891398821</v>
      </c>
      <c r="W71" s="73">
        <f t="shared" si="87"/>
        <v>0.2451333759204688</v>
      </c>
      <c r="X71" s="73">
        <f t="shared" si="88"/>
        <v>1</v>
      </c>
      <c r="Y71" s="56">
        <f t="shared" ref="Y71:AO71" si="100">IFERROR(Y29/$B57,0)</f>
        <v>0.19755403378611261</v>
      </c>
      <c r="Z71" s="56">
        <f t="shared" si="100"/>
        <v>0.39421227600202063</v>
      </c>
      <c r="AA71" s="56">
        <f t="shared" si="100"/>
        <v>0.28083514882478244</v>
      </c>
      <c r="AB71" s="56">
        <f t="shared" si="100"/>
        <v>0.23822070698480061</v>
      </c>
      <c r="AC71" s="56">
        <f t="shared" si="100"/>
        <v>0.70787892945457365</v>
      </c>
      <c r="AD71" s="64">
        <f>IFERROR(up_RadSpec!$F$29*AD29,".")*$B$71</f>
        <v>0.28121420218707438</v>
      </c>
      <c r="AE71" s="64">
        <f>IFERROR(up_RadSpec!$M$29*AE29,".")*$B$71</f>
        <v>0.14092661081846988</v>
      </c>
      <c r="AF71" s="64">
        <f>IFERROR(up_RadSpec!$N$29*AF29,".")*$B$71</f>
        <v>0.19782067961393834</v>
      </c>
      <c r="AG71" s="64">
        <f>IFERROR(up_RadSpec!$O$29*AG29,".")*$B$71</f>
        <v>0.23320810647894105</v>
      </c>
      <c r="AH71" s="64">
        <f>IFERROR(up_RadSpec!$K$29*AH29,".")*$B$71</f>
        <v>7.848093464627566E-2</v>
      </c>
      <c r="AI71" s="73">
        <f t="shared" si="90"/>
        <v>0.2451333759204688</v>
      </c>
      <c r="AJ71" s="73">
        <f t="shared" si="90"/>
        <v>0.13144694824369219</v>
      </c>
      <c r="AK71" s="73">
        <f t="shared" si="90"/>
        <v>0.17948302463277765</v>
      </c>
      <c r="AL71" s="73">
        <f t="shared" si="90"/>
        <v>0.20801126161442762</v>
      </c>
      <c r="AM71" s="73">
        <f t="shared" si="90"/>
        <v>7.5480313941631794E-2</v>
      </c>
      <c r="AN71" s="56">
        <f t="shared" si="100"/>
        <v>2.0317464380953192E-6</v>
      </c>
      <c r="AO71" s="56">
        <f t="shared" si="100"/>
        <v>1.1123811748571874E-2</v>
      </c>
      <c r="AP71" s="56">
        <f t="shared" si="91"/>
        <v>2.0313754106230593E-6</v>
      </c>
      <c r="AQ71" s="64">
        <f>IFERROR(up_RadSpec!$G$29*AQ29,".")*$B$71</f>
        <v>27343.471093804685</v>
      </c>
      <c r="AR71" s="64">
        <f>IFERROR(up_RadSpec!$J$29*AR29,".")*$B$71</f>
        <v>4.9942412956720874</v>
      </c>
      <c r="AS71" s="73">
        <f t="shared" si="92"/>
        <v>1</v>
      </c>
      <c r="AT71" s="73">
        <f t="shared" si="92"/>
        <v>0.99322313921742333</v>
      </c>
      <c r="AU71" s="73">
        <f t="shared" si="93"/>
        <v>1</v>
      </c>
    </row>
    <row r="72" spans="1:47" x14ac:dyDescent="0.25">
      <c r="A72" s="55" t="s">
        <v>314</v>
      </c>
      <c r="B72" s="60">
        <v>1</v>
      </c>
      <c r="C72" s="56">
        <f>IFERROR(C16/$B58,0)</f>
        <v>4.848484848484848E-8</v>
      </c>
      <c r="D72" s="56">
        <f>IFERROR(D16/$B58,0)</f>
        <v>2.1694802535592706E-7</v>
      </c>
      <c r="E72" s="56">
        <f>IFERROR(E16/$B58,0)</f>
        <v>1.1219210977701548</v>
      </c>
      <c r="F72" s="56">
        <f t="shared" si="83"/>
        <v>3.9628443962966924E-8</v>
      </c>
      <c r="G72" s="64">
        <f>IFERROR(up_RadSpec!$I$16*G16,".")*$B$72</f>
        <v>1145821.875</v>
      </c>
      <c r="H72" s="64">
        <f>IFERROR(up_RadSpec!$G$16*H16,".")*$B$72</f>
        <v>256075.15859550191</v>
      </c>
      <c r="I72" s="64">
        <f>IFERROR(up_RadSpec!$F$16*I16,".")*$B$72</f>
        <v>4.9517742477984322E-2</v>
      </c>
      <c r="J72" s="73">
        <f t="shared" si="84"/>
        <v>1</v>
      </c>
      <c r="K72" s="73">
        <f t="shared" si="84"/>
        <v>1</v>
      </c>
      <c r="L72" s="73">
        <f t="shared" si="84"/>
        <v>4.8311727321558195E-2</v>
      </c>
      <c r="M72" s="73">
        <f t="shared" si="85"/>
        <v>1</v>
      </c>
      <c r="N72" s="56">
        <f>IFERROR(N16/$B58,0)</f>
        <v>4.848484848484848E-8</v>
      </c>
      <c r="O72" s="56">
        <f>IFERROR(O16/$B58,0)</f>
        <v>1.3644722035813288E-6</v>
      </c>
      <c r="P72" s="56">
        <f>IFERROR(P16/$B58,0)</f>
        <v>1.1219210977701548</v>
      </c>
      <c r="Q72" s="56">
        <f t="shared" si="86"/>
        <v>4.6821115471832986E-8</v>
      </c>
      <c r="R72" s="64">
        <f>IFERROR(up_RadSpec!$I$16*R16,".")*$B$72</f>
        <v>1145821.875</v>
      </c>
      <c r="S72" s="64">
        <f>IFERROR(up_RadSpec!$G$16*S16,".")*$B$72</f>
        <v>40715.376871866531</v>
      </c>
      <c r="T72" s="64">
        <f>IFERROR(up_RadSpec!$F$16*T16,".")*$B$72</f>
        <v>4.9517742477984322E-2</v>
      </c>
      <c r="U72" s="73">
        <f t="shared" si="87"/>
        <v>1</v>
      </c>
      <c r="V72" s="73">
        <f t="shared" si="87"/>
        <v>1</v>
      </c>
      <c r="W72" s="73">
        <f t="shared" si="87"/>
        <v>4.8311727321558195E-2</v>
      </c>
      <c r="X72" s="73">
        <f t="shared" si="88"/>
        <v>1</v>
      </c>
      <c r="Y72" s="56">
        <f t="shared" ref="Y72:AO72" si="101">IFERROR(Y16/$B58,0)</f>
        <v>1.1219210977701548</v>
      </c>
      <c r="Z72" s="56">
        <f t="shared" si="101"/>
        <v>1.9981029810298108</v>
      </c>
      <c r="AA72" s="56">
        <f t="shared" si="101"/>
        <v>1.2003402482423404</v>
      </c>
      <c r="AB72" s="56">
        <f t="shared" si="101"/>
        <v>1.2065423242467725</v>
      </c>
      <c r="AC72" s="56">
        <f t="shared" si="101"/>
        <v>46.719999999999992</v>
      </c>
      <c r="AD72" s="64">
        <f>IFERROR(up_RadSpec!$F$16*AD16,".")*$B$72</f>
        <v>4.9517742477984322E-2</v>
      </c>
      <c r="AE72" s="64">
        <f>IFERROR(up_RadSpec!$M$16*AE16,".")*$B$72</f>
        <v>2.7803872236538713E-2</v>
      </c>
      <c r="AF72" s="64">
        <f>IFERROR(up_RadSpec!$N$16*AF16,".")*$B$72</f>
        <v>4.628271032430116E-2</v>
      </c>
      <c r="AG72" s="64">
        <f>IFERROR(up_RadSpec!$O$16*AG16,".")*$B$72</f>
        <v>4.604479999048703E-2</v>
      </c>
      <c r="AH72" s="64">
        <f>IFERROR(up_RadSpec!$K$16*AH16,".")*$B$72</f>
        <v>1.1891053082191778E-3</v>
      </c>
      <c r="AI72" s="73">
        <f t="shared" si="90"/>
        <v>4.8311727321558195E-2</v>
      </c>
      <c r="AJ72" s="73">
        <f t="shared" si="90"/>
        <v>2.7420902139939973E-2</v>
      </c>
      <c r="AK72" s="73">
        <f t="shared" si="90"/>
        <v>4.5227999869808633E-2</v>
      </c>
      <c r="AL72" s="73">
        <f t="shared" si="90"/>
        <v>4.5000822721717237E-2</v>
      </c>
      <c r="AM72" s="73">
        <f t="shared" si="90"/>
        <v>1.1891053082191778E-3</v>
      </c>
      <c r="AN72" s="56">
        <f t="shared" si="101"/>
        <v>4.2666666666666664E-10</v>
      </c>
      <c r="AO72" s="56">
        <f t="shared" si="101"/>
        <v>2.3359999999999997E-6</v>
      </c>
      <c r="AP72" s="56">
        <f t="shared" si="91"/>
        <v>4.2658875091307519E-10</v>
      </c>
      <c r="AQ72" s="64">
        <f>IFERROR(up_RadSpec!$G$16*AQ16,".")*$B$72</f>
        <v>130207031.25</v>
      </c>
      <c r="AR72" s="64">
        <f>IFERROR(up_RadSpec!$J$16*AR16,".")*$B$72</f>
        <v>23782.106164383556</v>
      </c>
      <c r="AS72" s="73">
        <f t="shared" si="92"/>
        <v>1</v>
      </c>
      <c r="AT72" s="73">
        <f t="shared" si="92"/>
        <v>1</v>
      </c>
      <c r="AU72" s="73">
        <f t="shared" si="93"/>
        <v>1</v>
      </c>
    </row>
    <row r="73" spans="1:47" x14ac:dyDescent="0.25">
      <c r="A73" s="55" t="s">
        <v>315</v>
      </c>
      <c r="B73" s="60">
        <v>1</v>
      </c>
      <c r="C73" s="56">
        <f>IFERROR(C7/$B59,0)</f>
        <v>4.848484848484848E-8</v>
      </c>
      <c r="D73" s="56">
        <f>IFERROR(D7/$B59,0)</f>
        <v>2.1694802535592706E-7</v>
      </c>
      <c r="E73" s="56">
        <f>IFERROR(E7/$B59,0)</f>
        <v>1.3470364963503643E-4</v>
      </c>
      <c r="F73" s="56">
        <f t="shared" si="83"/>
        <v>3.96167905053935E-8</v>
      </c>
      <c r="G73" s="64">
        <f>IFERROR(up_RadSpec!$I$7*G7,".")*$B$73</f>
        <v>1145821.875</v>
      </c>
      <c r="H73" s="64">
        <f>IFERROR(up_RadSpec!$G$7*H7,".")*$B$73</f>
        <v>256075.15859550191</v>
      </c>
      <c r="I73" s="64">
        <f>IFERROR(up_RadSpec!$F$7*I7,".")*$B$73</f>
        <v>412.42386639500614</v>
      </c>
      <c r="J73" s="73">
        <f t="shared" si="84"/>
        <v>1</v>
      </c>
      <c r="K73" s="73">
        <f t="shared" si="84"/>
        <v>1</v>
      </c>
      <c r="L73" s="73">
        <f t="shared" si="84"/>
        <v>1</v>
      </c>
      <c r="M73" s="73">
        <f t="shared" si="85"/>
        <v>1</v>
      </c>
      <c r="N73" s="56">
        <f>IFERROR(N7/$B59,0)</f>
        <v>4.848484848484848E-8</v>
      </c>
      <c r="O73" s="56">
        <f>IFERROR(O7/$B59,0)</f>
        <v>1.3644722035813288E-6</v>
      </c>
      <c r="P73" s="56">
        <f>IFERROR(P7/$B59,0)</f>
        <v>1.3470364963503643E-4</v>
      </c>
      <c r="Q73" s="56">
        <f t="shared" si="86"/>
        <v>4.6804848710578877E-8</v>
      </c>
      <c r="R73" s="64">
        <f>IFERROR(up_RadSpec!$I$7*R7,".")*$B$73</f>
        <v>1145821.875</v>
      </c>
      <c r="S73" s="64">
        <f>IFERROR(up_RadSpec!$G$7*S7,".")*$B$73</f>
        <v>40715.376871866531</v>
      </c>
      <c r="T73" s="64">
        <f>IFERROR(up_RadSpec!$F$7*T7,".")*$B$73</f>
        <v>412.42386639500614</v>
      </c>
      <c r="U73" s="73">
        <f t="shared" si="87"/>
        <v>1</v>
      </c>
      <c r="V73" s="73">
        <f t="shared" si="87"/>
        <v>1</v>
      </c>
      <c r="W73" s="73">
        <f t="shared" si="87"/>
        <v>1</v>
      </c>
      <c r="X73" s="73">
        <f t="shared" si="88"/>
        <v>1</v>
      </c>
      <c r="Y73" s="56">
        <f t="shared" ref="Y73:AO73" si="102">IFERROR(Y7/$B59,0)</f>
        <v>1.3470364963503643E-4</v>
      </c>
      <c r="Z73" s="56">
        <f t="shared" si="102"/>
        <v>2.1429691876750703E-4</v>
      </c>
      <c r="AA73" s="56">
        <f t="shared" si="102"/>
        <v>1.5699999999999999E-4</v>
      </c>
      <c r="AB73" s="56">
        <f t="shared" si="102"/>
        <v>1.4442466086111779E-4</v>
      </c>
      <c r="AC73" s="56">
        <f t="shared" si="102"/>
        <v>3.6672880061115347E-4</v>
      </c>
      <c r="AD73" s="64">
        <f>IFERROR(up_RadSpec!$F$7*AD7,".")*$B$73</f>
        <v>412.42386639500614</v>
      </c>
      <c r="AE73" s="64">
        <f>IFERROR(up_RadSpec!$M$7*AE7,".")*$B$73</f>
        <v>259.24311147129549</v>
      </c>
      <c r="AF73" s="64">
        <f>IFERROR(up_RadSpec!$N$7*AF7,".")*$B$73</f>
        <v>353.8535031847133</v>
      </c>
      <c r="AG73" s="64">
        <f>IFERROR(up_RadSpec!$O$7*AG7,".")*$B$73</f>
        <v>384.6642233311041</v>
      </c>
      <c r="AH73" s="64">
        <f>IFERROR(up_RadSpec!$K$7*AH7,".")*$B$73</f>
        <v>151.48796578675467</v>
      </c>
      <c r="AI73" s="73">
        <f t="shared" si="90"/>
        <v>1</v>
      </c>
      <c r="AJ73" s="73">
        <f t="shared" si="90"/>
        <v>1</v>
      </c>
      <c r="AK73" s="73">
        <f t="shared" si="90"/>
        <v>1</v>
      </c>
      <c r="AL73" s="73">
        <f t="shared" si="90"/>
        <v>1</v>
      </c>
      <c r="AM73" s="73">
        <f t="shared" si="90"/>
        <v>1</v>
      </c>
      <c r="AN73" s="56">
        <f t="shared" si="102"/>
        <v>4.2666666666666664E-10</v>
      </c>
      <c r="AO73" s="56">
        <f t="shared" si="102"/>
        <v>2.3359999999999997E-6</v>
      </c>
      <c r="AP73" s="56">
        <f t="shared" si="91"/>
        <v>4.2658875091307519E-10</v>
      </c>
      <c r="AQ73" s="64">
        <f>IFERROR(up_RadSpec!$G$7*AQ7,".")*$B$73</f>
        <v>130207031.25</v>
      </c>
      <c r="AR73" s="64">
        <f>IFERROR(up_RadSpec!$J$7*AR7,".")*$B$73</f>
        <v>23782.106164383556</v>
      </c>
      <c r="AS73" s="73">
        <f t="shared" si="92"/>
        <v>1</v>
      </c>
      <c r="AT73" s="73">
        <f t="shared" si="92"/>
        <v>1</v>
      </c>
      <c r="AU73" s="73">
        <f t="shared" si="93"/>
        <v>1</v>
      </c>
    </row>
    <row r="74" spans="1:47" x14ac:dyDescent="0.25">
      <c r="A74" s="55" t="s">
        <v>316</v>
      </c>
      <c r="B74" s="62">
        <v>1.9000000000000001E-8</v>
      </c>
      <c r="C74" s="56">
        <f>IFERROR(C12/$B60,0)</f>
        <v>2.5518341307814989</v>
      </c>
      <c r="D74" s="56">
        <f>IFERROR(D12/$B60,0)</f>
        <v>11.418317123996161</v>
      </c>
      <c r="E74" s="56">
        <f>IFERROR(E12/$B60,0)</f>
        <v>5502.4746772591843</v>
      </c>
      <c r="F74" s="56">
        <f t="shared" si="83"/>
        <v>2.0849173647793058</v>
      </c>
      <c r="G74" s="64">
        <f>IFERROR(up_RadSpec!$I$12*G12,".")*$B$74</f>
        <v>2.1770615625000003E-2</v>
      </c>
      <c r="H74" s="64">
        <f>IFERROR(up_RadSpec!$G$12*H12,".")*$B$74</f>
        <v>4.8654280133145367E-3</v>
      </c>
      <c r="I74" s="64">
        <f>IFERROR(up_RadSpec!$F$12*I12,".")*$B$74</f>
        <v>1.0096366318522028E-5</v>
      </c>
      <c r="J74" s="73">
        <f t="shared" si="84"/>
        <v>2.1535346185778015E-2</v>
      </c>
      <c r="K74" s="73">
        <f t="shared" si="84"/>
        <v>4.8654280133145367E-3</v>
      </c>
      <c r="L74" s="73">
        <f t="shared" si="84"/>
        <v>1.0096366318522028E-5</v>
      </c>
      <c r="M74" s="73">
        <f t="shared" si="85"/>
        <v>2.6294263923421379E-2</v>
      </c>
      <c r="N74" s="56">
        <f>IFERROR(N12/$B60,0)</f>
        <v>2.5518341307814989</v>
      </c>
      <c r="O74" s="56">
        <f>IFERROR(O12/$B60,0)</f>
        <v>71.814326504280459</v>
      </c>
      <c r="P74" s="56">
        <f>IFERROR(P12/$B60,0)</f>
        <v>5502.4746772591843</v>
      </c>
      <c r="Q74" s="56">
        <f t="shared" si="86"/>
        <v>2.4631662154542426</v>
      </c>
      <c r="R74" s="64">
        <f>IFERROR(up_RadSpec!$I$12*R12,".")*$B$74</f>
        <v>2.1770615625000003E-2</v>
      </c>
      <c r="S74" s="64">
        <f>IFERROR(up_RadSpec!$G$12*S12,".")*$B$74</f>
        <v>7.7359216056546417E-4</v>
      </c>
      <c r="T74" s="64">
        <f>IFERROR(up_RadSpec!$F$12*T12,".")*$B$74</f>
        <v>1.0096366318522028E-5</v>
      </c>
      <c r="U74" s="73">
        <f t="shared" si="87"/>
        <v>2.1535346185778015E-2</v>
      </c>
      <c r="V74" s="73">
        <f t="shared" si="87"/>
        <v>7.7359216056546417E-4</v>
      </c>
      <c r="W74" s="73">
        <f t="shared" si="87"/>
        <v>1.0096366318522028E-5</v>
      </c>
      <c r="X74" s="73">
        <f t="shared" si="88"/>
        <v>2.2301857316713747E-2</v>
      </c>
      <c r="Y74" s="56">
        <f t="shared" ref="Y74:AO74" si="103">IFERROR(Y12/$B60,0)</f>
        <v>5502.4746772591843</v>
      </c>
      <c r="Z74" s="56">
        <f t="shared" si="103"/>
        <v>9871.7924815581282</v>
      </c>
      <c r="AA74" s="56">
        <f t="shared" si="103"/>
        <v>7157.9146664407936</v>
      </c>
      <c r="AB74" s="56">
        <f t="shared" si="103"/>
        <v>6321.4369754490526</v>
      </c>
      <c r="AC74" s="56">
        <f t="shared" si="103"/>
        <v>17041.174364482631</v>
      </c>
      <c r="AD74" s="64">
        <f>IFERROR(up_RadSpec!$F$12*AD12,".")*$B$74</f>
        <v>1.0096366318522028E-5</v>
      </c>
      <c r="AE74" s="64">
        <f>IFERROR(up_RadSpec!$M$12*AE12,".")*$B$74</f>
        <v>5.6276507132604742E-6</v>
      </c>
      <c r="AF74" s="64">
        <f>IFERROR(up_RadSpec!$N$12*AF12,".")*$B$74</f>
        <v>7.7613386843607325E-6</v>
      </c>
      <c r="AG74" s="64">
        <f>IFERROR(up_RadSpec!$O$12*AG12,".")*$B$74</f>
        <v>8.7883498982529289E-6</v>
      </c>
      <c r="AH74" s="64">
        <f>IFERROR(up_RadSpec!$K$12*AH12,".")*$B$74</f>
        <v>3.2600452769140265E-6</v>
      </c>
      <c r="AI74" s="73">
        <f t="shared" si="90"/>
        <v>1.0096366318522028E-5</v>
      </c>
      <c r="AJ74" s="73">
        <f t="shared" si="90"/>
        <v>5.6276507132604742E-6</v>
      </c>
      <c r="AK74" s="73">
        <f t="shared" si="90"/>
        <v>7.7613386843607325E-6</v>
      </c>
      <c r="AL74" s="73">
        <f t="shared" si="90"/>
        <v>8.7883498982529289E-6</v>
      </c>
      <c r="AM74" s="73">
        <f t="shared" si="90"/>
        <v>3.2600452769140265E-6</v>
      </c>
      <c r="AN74" s="56">
        <f t="shared" si="103"/>
        <v>2.2456140350877191E-2</v>
      </c>
      <c r="AO74" s="56">
        <f t="shared" si="103"/>
        <v>122.94736842105262</v>
      </c>
      <c r="AP74" s="56">
        <f t="shared" si="91"/>
        <v>2.24520395217408E-2</v>
      </c>
      <c r="AQ74" s="64">
        <f>IFERROR(up_RadSpec!$G$12*AQ12,".")*$B$74</f>
        <v>2.47393359375</v>
      </c>
      <c r="AR74" s="64">
        <f>IFERROR(up_RadSpec!$J$12*AR12,".")*$B$74</f>
        <v>4.518600171232876E-4</v>
      </c>
      <c r="AS74" s="73">
        <f t="shared" si="92"/>
        <v>0.91574720993083047</v>
      </c>
      <c r="AT74" s="73">
        <f t="shared" si="92"/>
        <v>4.518600171232876E-4</v>
      </c>
      <c r="AU74" s="73">
        <f t="shared" si="93"/>
        <v>0.91578527179802816</v>
      </c>
    </row>
    <row r="75" spans="1:47" x14ac:dyDescent="0.25">
      <c r="A75" s="55" t="s">
        <v>317</v>
      </c>
      <c r="B75" s="60">
        <v>1</v>
      </c>
      <c r="C75" s="56">
        <f>IFERROR(C18/$B61,0)</f>
        <v>4.848484848484848E-8</v>
      </c>
      <c r="D75" s="56">
        <f>IFERROR(D18/$B61,0)</f>
        <v>2.1694802535592706E-7</v>
      </c>
      <c r="E75" s="56">
        <f>IFERROR(E18/$B61,0)</f>
        <v>5.253468730650155E-5</v>
      </c>
      <c r="F75" s="56">
        <f t="shared" si="83"/>
        <v>3.9598575003793678E-8</v>
      </c>
      <c r="G75" s="64">
        <f>IFERROR(up_RadSpec!$I$18*G18,".")*$B$75</f>
        <v>1145821.875</v>
      </c>
      <c r="H75" s="64">
        <f>IFERROR(up_RadSpec!$G$18*H18,".")*$B$75</f>
        <v>256075.15859550191</v>
      </c>
      <c r="I75" s="64">
        <f>IFERROR(up_RadSpec!$F$18*I18,".")*$B$75</f>
        <v>1057.4917801618788</v>
      </c>
      <c r="J75" s="73">
        <f t="shared" si="84"/>
        <v>1</v>
      </c>
      <c r="K75" s="73">
        <f t="shared" si="84"/>
        <v>1</v>
      </c>
      <c r="L75" s="73">
        <f t="shared" si="84"/>
        <v>1</v>
      </c>
      <c r="M75" s="73">
        <f t="shared" si="85"/>
        <v>1</v>
      </c>
      <c r="N75" s="56">
        <f>IFERROR(N18/$B61,0)</f>
        <v>4.848484848484848E-8</v>
      </c>
      <c r="O75" s="56">
        <f>IFERROR(O18/$B61,0)</f>
        <v>1.3644722035813288E-6</v>
      </c>
      <c r="P75" s="56">
        <f>IFERROR(P18/$B61,0)</f>
        <v>5.253468730650155E-5</v>
      </c>
      <c r="Q75" s="56">
        <f t="shared" si="86"/>
        <v>4.677942563905276E-8</v>
      </c>
      <c r="R75" s="64">
        <f>IFERROR(up_RadSpec!$I$18*R18,".")*$B$75</f>
        <v>1145821.875</v>
      </c>
      <c r="S75" s="64">
        <f>IFERROR(up_RadSpec!$G$18*S18,".")*$B$75</f>
        <v>40715.376871866531</v>
      </c>
      <c r="T75" s="64">
        <f>IFERROR(up_RadSpec!$F$18*T18,".")*$B$75</f>
        <v>1057.4917801618788</v>
      </c>
      <c r="U75" s="73">
        <f t="shared" si="87"/>
        <v>1</v>
      </c>
      <c r="V75" s="73">
        <f t="shared" si="87"/>
        <v>1</v>
      </c>
      <c r="W75" s="73">
        <f t="shared" si="87"/>
        <v>1</v>
      </c>
      <c r="X75" s="73">
        <f t="shared" si="88"/>
        <v>1</v>
      </c>
      <c r="Y75" s="56">
        <f t="shared" ref="Y75:AO75" si="104">IFERROR(Y18/$B61,0)</f>
        <v>5.253468730650155E-5</v>
      </c>
      <c r="Z75" s="56">
        <f t="shared" si="104"/>
        <v>1.0395089707271011E-4</v>
      </c>
      <c r="AA75" s="56">
        <f t="shared" si="104"/>
        <v>7.2796352997210319E-5</v>
      </c>
      <c r="AB75" s="56">
        <f t="shared" si="104"/>
        <v>6.0313093172772757E-5</v>
      </c>
      <c r="AC75" s="56">
        <f t="shared" si="104"/>
        <v>1.7669743589743584E-4</v>
      </c>
      <c r="AD75" s="64">
        <f>IFERROR(up_RadSpec!$F$18*AD18,".")*$B$75</f>
        <v>1057.4917801618788</v>
      </c>
      <c r="AE75" s="64">
        <f>IFERROR(up_RadSpec!$M$18*AE18,".")*$B$75</f>
        <v>534.4350223465716</v>
      </c>
      <c r="AF75" s="64">
        <f>IFERROR(up_RadSpec!$N$18*AF18,".")*$B$75</f>
        <v>763.15636309594993</v>
      </c>
      <c r="AG75" s="64">
        <f>IFERROR(up_RadSpec!$O$18*AG18,".")*$B$75</f>
        <v>921.1101118766577</v>
      </c>
      <c r="AH75" s="64">
        <f>IFERROR(up_RadSpec!$K$18*AH18,".")*$B$75</f>
        <v>314.40750522405392</v>
      </c>
      <c r="AI75" s="73">
        <f t="shared" si="90"/>
        <v>1</v>
      </c>
      <c r="AJ75" s="73">
        <f t="shared" si="90"/>
        <v>1</v>
      </c>
      <c r="AK75" s="73">
        <f t="shared" si="90"/>
        <v>1</v>
      </c>
      <c r="AL75" s="73">
        <f t="shared" si="90"/>
        <v>1</v>
      </c>
      <c r="AM75" s="73">
        <f t="shared" si="90"/>
        <v>1</v>
      </c>
      <c r="AN75" s="56">
        <f t="shared" si="104"/>
        <v>4.2666666666666664E-10</v>
      </c>
      <c r="AO75" s="56">
        <f t="shared" si="104"/>
        <v>2.3359999999999997E-6</v>
      </c>
      <c r="AP75" s="56">
        <f t="shared" si="91"/>
        <v>4.2658875091307519E-10</v>
      </c>
      <c r="AQ75" s="64">
        <f>IFERROR(up_RadSpec!$G$18*AQ18,".")*$B$75</f>
        <v>130207031.25</v>
      </c>
      <c r="AR75" s="64">
        <f>IFERROR(up_RadSpec!$J$18*AR18,".")*$B$75</f>
        <v>23782.106164383556</v>
      </c>
      <c r="AS75" s="73">
        <f t="shared" si="92"/>
        <v>1</v>
      </c>
      <c r="AT75" s="73">
        <f t="shared" si="92"/>
        <v>1</v>
      </c>
      <c r="AU75" s="73">
        <f t="shared" si="93"/>
        <v>1</v>
      </c>
    </row>
    <row r="76" spans="1:47" x14ac:dyDescent="0.25">
      <c r="A76" s="55" t="s">
        <v>318</v>
      </c>
      <c r="B76" s="60">
        <v>1.339E-6</v>
      </c>
      <c r="C76" s="56">
        <f>IFERROR(C27/$B62,0)</f>
        <v>3.6209744947609021E-2</v>
      </c>
      <c r="D76" s="56">
        <f>IFERROR(D27/$B62,0)</f>
        <v>0.16202242371615164</v>
      </c>
      <c r="E76" s="56">
        <f>IFERROR(E27/$B62,0)</f>
        <v>64.388138511865478</v>
      </c>
      <c r="F76" s="56">
        <f t="shared" si="83"/>
        <v>2.95819557851612E-2</v>
      </c>
      <c r="G76" s="64">
        <f>IFERROR(up_RadSpec!$I$27*G27,".")*$B$76</f>
        <v>1.5342554906250001</v>
      </c>
      <c r="H76" s="64">
        <f>IFERROR(up_RadSpec!$G$27*H27,".")*$B$76</f>
        <v>0.34288463735937708</v>
      </c>
      <c r="I76" s="64">
        <f>IFERROR(up_RadSpec!$F$27*I27,".")*$B$76</f>
        <v>8.6281419658936528E-4</v>
      </c>
      <c r="J76" s="73">
        <f t="shared" si="84"/>
        <v>0.78438384032054231</v>
      </c>
      <c r="K76" s="73">
        <f t="shared" si="84"/>
        <v>0.29027991797951336</v>
      </c>
      <c r="L76" s="73">
        <f t="shared" si="84"/>
        <v>8.6281419658936528E-4</v>
      </c>
      <c r="M76" s="73">
        <f t="shared" si="85"/>
        <v>0.84710485849367256</v>
      </c>
      <c r="N76" s="56">
        <f>IFERROR(N27/$B62,0)</f>
        <v>3.6209744947609021E-2</v>
      </c>
      <c r="O76" s="56">
        <f>IFERROR(O27/$B62,0)</f>
        <v>1.0190233036455032</v>
      </c>
      <c r="P76" s="56">
        <f>IFERROR(P27/$B62,0)</f>
        <v>64.388138511865478</v>
      </c>
      <c r="Q76" s="56">
        <f t="shared" si="86"/>
        <v>3.4948248029239189E-2</v>
      </c>
      <c r="R76" s="64">
        <f>IFERROR(up_RadSpec!$I$27*R27,".")*$B$76</f>
        <v>1.5342554906250001</v>
      </c>
      <c r="S76" s="64">
        <f>IFERROR(up_RadSpec!$G$27*S27,".")*$B$76</f>
        <v>5.4517889631429284E-2</v>
      </c>
      <c r="T76" s="64">
        <f>IFERROR(up_RadSpec!$F$27*T27,".")*$B$76</f>
        <v>8.6281419658936528E-4</v>
      </c>
      <c r="U76" s="73">
        <f t="shared" si="87"/>
        <v>0.78438384032054231</v>
      </c>
      <c r="V76" s="73">
        <f t="shared" si="87"/>
        <v>5.3058431729346434E-2</v>
      </c>
      <c r="W76" s="73">
        <f t="shared" si="87"/>
        <v>8.6281419658936528E-4</v>
      </c>
      <c r="X76" s="73">
        <f t="shared" si="88"/>
        <v>0.79600018550019569</v>
      </c>
      <c r="Y76" s="56">
        <f t="shared" ref="Y76:AO76" si="105">IFERROR(Y27/$B62,0)</f>
        <v>64.388138511865478</v>
      </c>
      <c r="Z76" s="56">
        <f t="shared" si="105"/>
        <v>190.98620337250901</v>
      </c>
      <c r="AA76" s="56">
        <f t="shared" si="105"/>
        <v>117.08890414392032</v>
      </c>
      <c r="AB76" s="56">
        <f t="shared" si="105"/>
        <v>85.177654336466617</v>
      </c>
      <c r="AC76" s="56">
        <f t="shared" si="105"/>
        <v>597.40149031628005</v>
      </c>
      <c r="AD76" s="64">
        <f>IFERROR(up_RadSpec!$F$27*AD27,".")*$B$76</f>
        <v>8.6281419658936528E-4</v>
      </c>
      <c r="AE76" s="64">
        <f>IFERROR(up_RadSpec!$M$27*AE27,".")*$B$76</f>
        <v>2.9088488602311625E-4</v>
      </c>
      <c r="AF76" s="64">
        <f>IFERROR(up_RadSpec!$N$27*AF27,".")*$B$76</f>
        <v>4.7446852804868965E-4</v>
      </c>
      <c r="AG76" s="64">
        <f>IFERROR(up_RadSpec!$O$27*AG27,".")*$B$76</f>
        <v>6.5222505166141385E-4</v>
      </c>
      <c r="AH76" s="64">
        <f>IFERROR(up_RadSpec!$K$27*AH27,".")*$B$76</f>
        <v>9.299441146453738E-5</v>
      </c>
      <c r="AI76" s="73">
        <f t="shared" si="90"/>
        <v>8.6281419658936528E-4</v>
      </c>
      <c r="AJ76" s="73">
        <f t="shared" si="90"/>
        <v>2.9088488602311625E-4</v>
      </c>
      <c r="AK76" s="73">
        <f t="shared" si="90"/>
        <v>4.7446852804868965E-4</v>
      </c>
      <c r="AL76" s="73">
        <f t="shared" si="90"/>
        <v>6.5222505166141385E-4</v>
      </c>
      <c r="AM76" s="73">
        <f t="shared" si="90"/>
        <v>9.299441146453738E-5</v>
      </c>
      <c r="AN76" s="56">
        <f t="shared" si="105"/>
        <v>3.1864575553895941E-4</v>
      </c>
      <c r="AO76" s="56">
        <f t="shared" si="105"/>
        <v>1.7445855115758027</v>
      </c>
      <c r="AP76" s="56">
        <f t="shared" si="91"/>
        <v>3.1858756602918241E-4</v>
      </c>
      <c r="AQ76" s="64">
        <f>IFERROR(up_RadSpec!$G$27*AQ27,".")*$B$76</f>
        <v>174.34721484375001</v>
      </c>
      <c r="AR76" s="64">
        <f>IFERROR(up_RadSpec!$J$27*AR27,".")*$B$76</f>
        <v>3.1844240154109582E-2</v>
      </c>
      <c r="AS76" s="73">
        <f t="shared" si="92"/>
        <v>1</v>
      </c>
      <c r="AT76" s="73">
        <f t="shared" si="92"/>
        <v>3.1342551735692004E-2</v>
      </c>
      <c r="AU76" s="73">
        <f t="shared" si="93"/>
        <v>1</v>
      </c>
    </row>
  </sheetData>
  <sheetProtection algorithmName="SHA-512" hashValue="JNNyqXJ8ohiSpXkbOd3G6NWO94Bwf17847fEZIpTvJioGE08ncA/eiHQXlELg5hS5cwF331sckwk3WXPBBNXLg==" saltValue="uUdFs2Jq59Gwt/dsogn+Tw==" spinCount="100000" sheet="1" objects="1" scenarios="1" formatColumns="0" formatRows="0" autoFilter="0"/>
  <autoFilter ref="A1:AU76" xr:uid="{00000000-0009-0000-0000-000010000000}"/>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AK30"/>
  <sheetViews>
    <sheetView workbookViewId="0">
      <pane xSplit="2" ySplit="1" topLeftCell="C2" activePane="bottomRight" state="frozen"/>
      <selection pane="topRight" activeCell="C1" sqref="C1"/>
      <selection pane="bottomLeft" activeCell="A2" sqref="A2"/>
      <selection pane="bottomRight" activeCell="C2" sqref="C2"/>
    </sheetView>
  </sheetViews>
  <sheetFormatPr defaultColWidth="9.140625" defaultRowHeight="15" x14ac:dyDescent="0.25"/>
  <cols>
    <col min="1" max="1" width="15.42578125" style="3" bestFit="1" customWidth="1"/>
    <col min="2" max="2" width="12" style="3" bestFit="1" customWidth="1"/>
    <col min="3" max="3" width="10.28515625" style="3" bestFit="1" customWidth="1"/>
    <col min="4" max="4" width="8.5703125" style="3" bestFit="1" customWidth="1"/>
    <col min="5" max="6" width="8.5703125" style="4" bestFit="1" customWidth="1"/>
    <col min="7" max="7" width="8.5703125" style="4" customWidth="1"/>
    <col min="8" max="8" width="8.5703125" style="4" bestFit="1" customWidth="1"/>
    <col min="9" max="9" width="9.7109375" style="4" bestFit="1" customWidth="1"/>
    <col min="10" max="10" width="10.85546875" style="4" bestFit="1" customWidth="1"/>
    <col min="11" max="11" width="9.7109375" style="4" bestFit="1" customWidth="1"/>
    <col min="12" max="12" width="10.7109375" style="4" bestFit="1" customWidth="1"/>
    <col min="13" max="14" width="10.5703125" style="4" bestFit="1" customWidth="1"/>
    <col min="15" max="15" width="11.5703125" style="4" bestFit="1" customWidth="1"/>
    <col min="16" max="16" width="9.7109375" style="4" bestFit="1" customWidth="1"/>
    <col min="17" max="17" width="9.5703125" style="1" bestFit="1" customWidth="1"/>
    <col min="18" max="19" width="10.5703125" style="1" bestFit="1" customWidth="1"/>
    <col min="20" max="20" width="11.5703125" style="1" bestFit="1" customWidth="1"/>
    <col min="21" max="21" width="9.85546875" style="1" bestFit="1" customWidth="1"/>
    <col min="22" max="22" width="9.7109375" style="1" bestFit="1" customWidth="1"/>
    <col min="23" max="24" width="10.7109375" style="1" bestFit="1" customWidth="1"/>
    <col min="25" max="25" width="11.7109375" style="1" bestFit="1" customWidth="1"/>
    <col min="26" max="26" width="10.42578125" style="1" bestFit="1" customWidth="1"/>
    <col min="27" max="27" width="10.28515625" style="1" bestFit="1" customWidth="1"/>
    <col min="28" max="29" width="11.28515625" style="1" bestFit="1" customWidth="1"/>
    <col min="30" max="31" width="12.28515625" style="1" bestFit="1" customWidth="1"/>
    <col min="32" max="32" width="10.5703125" style="1" bestFit="1" customWidth="1"/>
    <col min="33" max="33" width="8.5703125" style="1" bestFit="1" customWidth="1"/>
    <col min="34" max="34" width="11.85546875" style="1" bestFit="1" customWidth="1"/>
    <col min="35" max="35" width="11" style="1" bestFit="1" customWidth="1"/>
    <col min="36" max="36" width="12" style="1" bestFit="1" customWidth="1"/>
    <col min="37" max="37" width="8.42578125" style="2" bestFit="1" customWidth="1"/>
    <col min="38" max="16384" width="9.140625" style="2"/>
  </cols>
  <sheetData>
    <row r="1" spans="1:37" s="6" customFormat="1" x14ac:dyDescent="0.25">
      <c r="A1" s="47" t="s">
        <v>51</v>
      </c>
      <c r="B1" s="47" t="s">
        <v>274</v>
      </c>
      <c r="C1" s="75" t="s">
        <v>278</v>
      </c>
      <c r="D1" s="76" t="s">
        <v>0</v>
      </c>
      <c r="E1" s="76" t="s">
        <v>1</v>
      </c>
      <c r="F1" s="76" t="s">
        <v>2</v>
      </c>
      <c r="G1" s="77" t="s">
        <v>3</v>
      </c>
      <c r="H1" s="76" t="s">
        <v>4</v>
      </c>
      <c r="I1" s="76" t="s">
        <v>5</v>
      </c>
      <c r="J1" s="76" t="s">
        <v>6</v>
      </c>
      <c r="K1" s="76" t="s">
        <v>7</v>
      </c>
      <c r="L1" s="76" t="s">
        <v>8</v>
      </c>
      <c r="M1" s="76" t="s">
        <v>9</v>
      </c>
      <c r="N1" s="76" t="s">
        <v>10</v>
      </c>
      <c r="O1" s="76" t="s">
        <v>11</v>
      </c>
      <c r="P1" s="76" t="s">
        <v>41</v>
      </c>
      <c r="Q1" s="76" t="s">
        <v>42</v>
      </c>
      <c r="R1" s="76" t="s">
        <v>43</v>
      </c>
      <c r="S1" s="76" t="s">
        <v>44</v>
      </c>
      <c r="T1" s="76" t="s">
        <v>45</v>
      </c>
      <c r="U1" s="76" t="s">
        <v>46</v>
      </c>
      <c r="V1" s="76" t="s">
        <v>47</v>
      </c>
      <c r="W1" s="76" t="s">
        <v>48</v>
      </c>
      <c r="X1" s="76" t="s">
        <v>49</v>
      </c>
      <c r="Y1" s="76" t="s">
        <v>50</v>
      </c>
      <c r="Z1" s="76" t="s">
        <v>279</v>
      </c>
      <c r="AA1" s="76" t="s">
        <v>280</v>
      </c>
      <c r="AB1" s="76" t="s">
        <v>281</v>
      </c>
      <c r="AC1" s="76" t="s">
        <v>282</v>
      </c>
      <c r="AD1" s="76" t="s">
        <v>283</v>
      </c>
      <c r="AE1" s="78" t="s">
        <v>269</v>
      </c>
      <c r="AF1" s="78" t="s">
        <v>270</v>
      </c>
      <c r="AG1" s="79" t="s">
        <v>86</v>
      </c>
      <c r="AH1" s="79" t="s">
        <v>271</v>
      </c>
      <c r="AI1" s="79" t="s">
        <v>272</v>
      </c>
      <c r="AJ1" s="80" t="s">
        <v>276</v>
      </c>
      <c r="AK1" s="80" t="s">
        <v>277</v>
      </c>
    </row>
    <row r="2" spans="1:37" x14ac:dyDescent="0.25">
      <c r="A2" s="49" t="s">
        <v>12</v>
      </c>
      <c r="B2" s="50" t="s">
        <v>289</v>
      </c>
      <c r="C2" s="50"/>
      <c r="D2" s="48">
        <v>4.8839999999999999E-10</v>
      </c>
      <c r="E2" s="48">
        <v>2.7158000000000001E-10</v>
      </c>
      <c r="F2" s="48">
        <v>4.1217381359999998E-8</v>
      </c>
      <c r="G2" s="48">
        <v>2.8564E-8</v>
      </c>
      <c r="H2" s="48">
        <v>1.8907E-10</v>
      </c>
      <c r="I2" s="48">
        <v>9.0279999999999997E-11</v>
      </c>
      <c r="J2" s="48">
        <v>5.1492535920000001E-11</v>
      </c>
      <c r="K2" s="48">
        <v>1.202660136E-8</v>
      </c>
      <c r="L2" s="48">
        <v>1.1407756824E-13</v>
      </c>
      <c r="M2" s="48">
        <v>1.1545537305600001E-8</v>
      </c>
      <c r="N2" s="48">
        <v>2.9891358720000003E-8</v>
      </c>
      <c r="O2" s="48">
        <v>4.0166513280000001E-8</v>
      </c>
      <c r="P2" s="48">
        <v>1</v>
      </c>
      <c r="Q2" s="48">
        <v>1</v>
      </c>
      <c r="R2" s="48">
        <v>1</v>
      </c>
      <c r="S2" s="48">
        <v>1</v>
      </c>
      <c r="T2" s="48">
        <v>1</v>
      </c>
      <c r="U2" s="48">
        <v>1</v>
      </c>
      <c r="V2" s="48">
        <v>1</v>
      </c>
      <c r="W2" s="48">
        <v>1</v>
      </c>
      <c r="X2" s="48">
        <v>1</v>
      </c>
      <c r="Y2" s="48">
        <v>1</v>
      </c>
      <c r="Z2" s="81">
        <f t="shared" ref="Z2:AD3" si="0">0.4*U2</f>
        <v>0.4</v>
      </c>
      <c r="AA2" s="81">
        <f t="shared" si="0"/>
        <v>0.4</v>
      </c>
      <c r="AB2" s="81">
        <f t="shared" si="0"/>
        <v>0.4</v>
      </c>
      <c r="AC2" s="81">
        <f t="shared" si="0"/>
        <v>0.4</v>
      </c>
      <c r="AD2" s="81">
        <f t="shared" si="0"/>
        <v>0.4</v>
      </c>
      <c r="AE2" s="48">
        <v>2.7397260273972601E-2</v>
      </c>
      <c r="AF2" s="48">
        <v>225</v>
      </c>
      <c r="AG2" s="48">
        <v>1700</v>
      </c>
      <c r="AH2" s="48">
        <v>5.0000000000000001E-4</v>
      </c>
      <c r="AI2" s="48">
        <v>25.294499999999999</v>
      </c>
      <c r="AJ2" s="50">
        <v>15</v>
      </c>
      <c r="AK2" s="50">
        <v>225</v>
      </c>
    </row>
    <row r="3" spans="1:37" x14ac:dyDescent="0.25">
      <c r="A3" s="51" t="s">
        <v>13</v>
      </c>
      <c r="B3" s="50" t="s">
        <v>275</v>
      </c>
      <c r="C3" s="50"/>
      <c r="D3" s="48">
        <v>1.8425999999999999E-10</v>
      </c>
      <c r="E3" s="48">
        <v>1.3357000000000001E-10</v>
      </c>
      <c r="F3" s="48">
        <v>2.767285944E-8</v>
      </c>
      <c r="G3" s="48">
        <v>3.7739999999999999E-8</v>
      </c>
      <c r="H3" s="48">
        <v>1.036E-10</v>
      </c>
      <c r="I3" s="48">
        <v>9.1019999999999999E-11</v>
      </c>
      <c r="J3" s="48">
        <v>5.8031270640000001E-11</v>
      </c>
      <c r="K3" s="48">
        <v>1.86820992E-8</v>
      </c>
      <c r="L3" s="48">
        <v>1.319423256E-13</v>
      </c>
      <c r="M3" s="48">
        <v>1.3754695536000001E-8</v>
      </c>
      <c r="N3" s="48">
        <v>2.5781296896000001E-8</v>
      </c>
      <c r="O3" s="48">
        <v>2.767285944E-8</v>
      </c>
      <c r="P3" s="48">
        <v>1</v>
      </c>
      <c r="Q3" s="48">
        <v>1</v>
      </c>
      <c r="R3" s="48">
        <v>1</v>
      </c>
      <c r="S3" s="48">
        <v>1</v>
      </c>
      <c r="T3" s="48">
        <v>1</v>
      </c>
      <c r="U3" s="48">
        <v>1</v>
      </c>
      <c r="V3" s="48">
        <v>1</v>
      </c>
      <c r="W3" s="48">
        <v>1</v>
      </c>
      <c r="X3" s="48">
        <v>1</v>
      </c>
      <c r="Y3" s="48">
        <v>1</v>
      </c>
      <c r="Z3" s="81">
        <f t="shared" si="0"/>
        <v>0.4</v>
      </c>
      <c r="AA3" s="81">
        <f t="shared" si="0"/>
        <v>0.4</v>
      </c>
      <c r="AB3" s="81">
        <f t="shared" si="0"/>
        <v>0.4</v>
      </c>
      <c r="AC3" s="81">
        <f t="shared" si="0"/>
        <v>0.4</v>
      </c>
      <c r="AD3" s="81">
        <f t="shared" si="0"/>
        <v>0.4</v>
      </c>
      <c r="AE3" s="48">
        <v>432.2</v>
      </c>
      <c r="AF3" s="48">
        <v>241</v>
      </c>
      <c r="AG3" s="48">
        <v>4</v>
      </c>
      <c r="AH3" s="48">
        <v>5.0000000000000001E-4</v>
      </c>
      <c r="AI3" s="48">
        <v>1.60342434058306E-3</v>
      </c>
      <c r="AJ3" s="50">
        <v>15</v>
      </c>
      <c r="AK3" s="50">
        <v>241</v>
      </c>
    </row>
    <row r="4" spans="1:37" x14ac:dyDescent="0.25">
      <c r="A4" s="49" t="s">
        <v>14</v>
      </c>
      <c r="B4" s="50" t="s">
        <v>289</v>
      </c>
      <c r="C4" s="50"/>
      <c r="D4" s="48">
        <v>0</v>
      </c>
      <c r="E4" s="48">
        <v>0</v>
      </c>
      <c r="F4" s="48">
        <v>9.364402224000001E-10</v>
      </c>
      <c r="G4" s="48">
        <v>0</v>
      </c>
      <c r="H4" s="48">
        <v>0</v>
      </c>
      <c r="I4" s="48">
        <v>0</v>
      </c>
      <c r="J4" s="48">
        <v>9.7613968320000008E-13</v>
      </c>
      <c r="K4" s="48">
        <v>2.125088784E-10</v>
      </c>
      <c r="L4" s="48">
        <v>2.1367650959999998E-15</v>
      </c>
      <c r="M4" s="48">
        <v>2.1671235072E-10</v>
      </c>
      <c r="N4" s="48">
        <v>5.9782717440000002E-10</v>
      </c>
      <c r="O4" s="48">
        <v>8.7805866240000002E-10</v>
      </c>
      <c r="P4" s="48">
        <v>1</v>
      </c>
      <c r="Q4" s="48">
        <v>1</v>
      </c>
      <c r="R4" s="48">
        <v>1</v>
      </c>
      <c r="S4" s="48">
        <v>1</v>
      </c>
      <c r="T4" s="48">
        <v>1</v>
      </c>
      <c r="U4" s="48">
        <v>1</v>
      </c>
      <c r="V4" s="48">
        <v>1</v>
      </c>
      <c r="W4" s="48">
        <v>1</v>
      </c>
      <c r="X4" s="48">
        <v>1</v>
      </c>
      <c r="Y4" s="48">
        <v>1</v>
      </c>
      <c r="Z4" s="81">
        <f t="shared" ref="Z4:AD5" si="1">0.4*U4</f>
        <v>0.4</v>
      </c>
      <c r="AA4" s="81">
        <f t="shared" si="1"/>
        <v>0.4</v>
      </c>
      <c r="AB4" s="81">
        <f t="shared" si="1"/>
        <v>0.4</v>
      </c>
      <c r="AC4" s="81">
        <f t="shared" si="1"/>
        <v>0.4</v>
      </c>
      <c r="AD4" s="81">
        <f t="shared" si="1"/>
        <v>0.4</v>
      </c>
      <c r="AE4" s="48">
        <v>1.0242262810756E-9</v>
      </c>
      <c r="AF4" s="48">
        <v>217</v>
      </c>
      <c r="AG4" s="48">
        <v>10</v>
      </c>
      <c r="AH4" s="48"/>
      <c r="AI4" s="48">
        <v>676608297.21362197</v>
      </c>
      <c r="AJ4" s="50">
        <v>15</v>
      </c>
      <c r="AK4" s="50">
        <v>217</v>
      </c>
    </row>
    <row r="5" spans="1:37" x14ac:dyDescent="0.25">
      <c r="A5" s="49" t="s">
        <v>15</v>
      </c>
      <c r="B5" s="50" t="s">
        <v>289</v>
      </c>
      <c r="C5" s="50"/>
      <c r="D5" s="48">
        <v>0</v>
      </c>
      <c r="E5" s="48">
        <v>0</v>
      </c>
      <c r="F5" s="48">
        <v>2.7439333200000001E-11</v>
      </c>
      <c r="G5" s="48">
        <v>0</v>
      </c>
      <c r="H5" s="48">
        <v>0</v>
      </c>
      <c r="I5" s="48">
        <v>0</v>
      </c>
      <c r="J5" s="48">
        <v>3.0825463680000002E-14</v>
      </c>
      <c r="K5" s="48">
        <v>1.9966493520000001E-11</v>
      </c>
      <c r="L5" s="48">
        <v>5.1259009680000003E-17</v>
      </c>
      <c r="M5" s="48">
        <v>8.3882625408000002E-12</v>
      </c>
      <c r="N5" s="48">
        <v>1.8436896648E-11</v>
      </c>
      <c r="O5" s="48">
        <v>2.5571123280000002E-11</v>
      </c>
      <c r="P5" s="48">
        <v>0.9</v>
      </c>
      <c r="Q5" s="48">
        <v>0.9</v>
      </c>
      <c r="R5" s="48">
        <v>0.9</v>
      </c>
      <c r="S5" s="48">
        <v>0.9</v>
      </c>
      <c r="T5" s="48">
        <v>0.9</v>
      </c>
      <c r="U5" s="48">
        <v>1</v>
      </c>
      <c r="V5" s="48">
        <v>1</v>
      </c>
      <c r="W5" s="48">
        <v>1</v>
      </c>
      <c r="X5" s="48">
        <v>1</v>
      </c>
      <c r="Y5" s="48">
        <v>1</v>
      </c>
      <c r="Z5" s="81">
        <f t="shared" si="1"/>
        <v>0.4</v>
      </c>
      <c r="AA5" s="81">
        <f t="shared" si="1"/>
        <v>0.4</v>
      </c>
      <c r="AB5" s="81">
        <f t="shared" si="1"/>
        <v>0.4</v>
      </c>
      <c r="AC5" s="81">
        <f t="shared" si="1"/>
        <v>0.4</v>
      </c>
      <c r="AD5" s="81">
        <f t="shared" si="1"/>
        <v>0.4</v>
      </c>
      <c r="AE5" s="48">
        <v>4.7564687975646899E-8</v>
      </c>
      <c r="AF5" s="48">
        <v>218</v>
      </c>
      <c r="AG5" s="48">
        <v>10</v>
      </c>
      <c r="AH5" s="48"/>
      <c r="AI5" s="48">
        <v>14569632</v>
      </c>
      <c r="AJ5" s="50">
        <v>15</v>
      </c>
      <c r="AK5" s="50">
        <v>218</v>
      </c>
    </row>
    <row r="6" spans="1:37" x14ac:dyDescent="0.25">
      <c r="A6" s="49" t="s">
        <v>16</v>
      </c>
      <c r="B6" s="50" t="s">
        <v>289</v>
      </c>
      <c r="C6" s="50"/>
      <c r="D6" s="48">
        <v>0</v>
      </c>
      <c r="E6" s="48">
        <v>0</v>
      </c>
      <c r="F6" s="48">
        <v>2.6855517600000001E-6</v>
      </c>
      <c r="G6" s="48">
        <v>0</v>
      </c>
      <c r="H6" s="48">
        <v>0</v>
      </c>
      <c r="I6" s="48">
        <v>0</v>
      </c>
      <c r="J6" s="48">
        <v>2.5220833919999999E-9</v>
      </c>
      <c r="K6" s="48">
        <v>5.3594272079999995E-7</v>
      </c>
      <c r="L6" s="48">
        <v>5.4645140159999999E-12</v>
      </c>
      <c r="M6" s="48">
        <v>5.4738550656000004E-7</v>
      </c>
      <c r="N6" s="48">
        <v>1.5436084463999999E-6</v>
      </c>
      <c r="O6" s="48">
        <v>2.3936439600000001E-6</v>
      </c>
      <c r="P6" s="48">
        <v>1</v>
      </c>
      <c r="Q6" s="48">
        <v>1</v>
      </c>
      <c r="R6" s="48">
        <v>1</v>
      </c>
      <c r="S6" s="48">
        <v>1</v>
      </c>
      <c r="T6" s="48">
        <v>1</v>
      </c>
      <c r="U6" s="48">
        <v>1</v>
      </c>
      <c r="V6" s="48">
        <v>1</v>
      </c>
      <c r="W6" s="48">
        <v>1</v>
      </c>
      <c r="X6" s="48">
        <v>1</v>
      </c>
      <c r="Y6" s="48">
        <v>1</v>
      </c>
      <c r="Z6" s="81">
        <f t="shared" ref="Z6:AD7" si="2">0.4*U6</f>
        <v>0.4</v>
      </c>
      <c r="AA6" s="81">
        <f t="shared" si="2"/>
        <v>0.4</v>
      </c>
      <c r="AB6" s="81">
        <f t="shared" si="2"/>
        <v>0.4</v>
      </c>
      <c r="AC6" s="81">
        <f t="shared" si="2"/>
        <v>0.4</v>
      </c>
      <c r="AD6" s="81">
        <f t="shared" si="2"/>
        <v>0.4</v>
      </c>
      <c r="AE6" s="48">
        <v>4.8554033485540298E-6</v>
      </c>
      <c r="AF6" s="48">
        <v>137</v>
      </c>
      <c r="AG6" s="48">
        <v>0.4</v>
      </c>
      <c r="AH6" s="48"/>
      <c r="AI6" s="48">
        <v>142727.58620689699</v>
      </c>
      <c r="AJ6" s="50"/>
      <c r="AK6" s="50">
        <v>137</v>
      </c>
    </row>
    <row r="7" spans="1:37" x14ac:dyDescent="0.25">
      <c r="A7" s="49" t="s">
        <v>17</v>
      </c>
      <c r="B7" s="50" t="s">
        <v>289</v>
      </c>
      <c r="C7" s="50"/>
      <c r="D7" s="48">
        <v>2.4013E-11</v>
      </c>
      <c r="E7" s="48">
        <v>1.3023999999999999E-11</v>
      </c>
      <c r="F7" s="48">
        <v>2.7672859440000002E-9</v>
      </c>
      <c r="G7" s="48">
        <v>4.5510000000000001E-10</v>
      </c>
      <c r="H7" s="48">
        <v>8.9170000000000001E-12</v>
      </c>
      <c r="I7" s="48">
        <v>3.7369999999999999E-12</v>
      </c>
      <c r="J7" s="48">
        <v>5.2893693360000002E-12</v>
      </c>
      <c r="K7" s="48">
        <v>4.8223168560000003E-9</v>
      </c>
      <c r="L7" s="48">
        <v>7.82312904E-15</v>
      </c>
      <c r="M7" s="48">
        <v>9.5465526912000009E-10</v>
      </c>
      <c r="N7" s="48">
        <v>2.0550309120000001E-9</v>
      </c>
      <c r="O7" s="48">
        <v>2.6855517600000001E-9</v>
      </c>
      <c r="P7" s="48">
        <v>1</v>
      </c>
      <c r="Q7" s="48">
        <v>1</v>
      </c>
      <c r="R7" s="48">
        <v>1</v>
      </c>
      <c r="S7" s="48">
        <v>1</v>
      </c>
      <c r="T7" s="48">
        <v>1</v>
      </c>
      <c r="U7" s="48">
        <v>1</v>
      </c>
      <c r="V7" s="48">
        <v>1</v>
      </c>
      <c r="W7" s="48">
        <v>1</v>
      </c>
      <c r="X7" s="48">
        <v>1</v>
      </c>
      <c r="Y7" s="48">
        <v>1</v>
      </c>
      <c r="Z7" s="81">
        <f t="shared" si="2"/>
        <v>0.4</v>
      </c>
      <c r="AA7" s="81">
        <f t="shared" si="2"/>
        <v>0.4</v>
      </c>
      <c r="AB7" s="81">
        <f t="shared" si="2"/>
        <v>0.4</v>
      </c>
      <c r="AC7" s="81">
        <f t="shared" si="2"/>
        <v>0.4</v>
      </c>
      <c r="AD7" s="81">
        <f t="shared" si="2"/>
        <v>0.4</v>
      </c>
      <c r="AE7" s="48">
        <v>1.37342465753425E-2</v>
      </c>
      <c r="AF7" s="48">
        <v>210</v>
      </c>
      <c r="AG7" s="48">
        <v>480</v>
      </c>
      <c r="AH7" s="48">
        <v>0.05</v>
      </c>
      <c r="AI7" s="48">
        <v>50.457809694793497</v>
      </c>
      <c r="AJ7" s="50">
        <v>15</v>
      </c>
      <c r="AK7" s="50">
        <v>210</v>
      </c>
    </row>
    <row r="8" spans="1:37" x14ac:dyDescent="0.25">
      <c r="A8" s="49" t="s">
        <v>18</v>
      </c>
      <c r="B8" s="50" t="s">
        <v>289</v>
      </c>
      <c r="C8" s="50"/>
      <c r="D8" s="48">
        <v>1.1914E-12</v>
      </c>
      <c r="E8" s="48">
        <v>7.1780000000000003E-13</v>
      </c>
      <c r="F8" s="48">
        <v>5.4294850800000002E-7</v>
      </c>
      <c r="G8" s="48">
        <v>7.4000000000000003E-11</v>
      </c>
      <c r="H8" s="48">
        <v>5.0689999999999999E-13</v>
      </c>
      <c r="I8" s="48">
        <v>3.1709000000000002E-13</v>
      </c>
      <c r="J8" s="48">
        <v>5.3243982719999998E-10</v>
      </c>
      <c r="K8" s="48">
        <v>1.2026601359999999E-7</v>
      </c>
      <c r="L8" s="48">
        <v>1.1559548879999999E-12</v>
      </c>
      <c r="M8" s="48">
        <v>1.1769722496E-7</v>
      </c>
      <c r="N8" s="48">
        <v>3.2880494591999999E-7</v>
      </c>
      <c r="O8" s="48">
        <v>4.9741089120000005E-7</v>
      </c>
      <c r="P8" s="48">
        <v>1</v>
      </c>
      <c r="Q8" s="48">
        <v>1</v>
      </c>
      <c r="R8" s="48">
        <v>1</v>
      </c>
      <c r="S8" s="48">
        <v>1</v>
      </c>
      <c r="T8" s="48">
        <v>1</v>
      </c>
      <c r="U8" s="48">
        <v>1</v>
      </c>
      <c r="V8" s="48">
        <v>1</v>
      </c>
      <c r="W8" s="48">
        <v>1</v>
      </c>
      <c r="X8" s="48">
        <v>1</v>
      </c>
      <c r="Y8" s="48">
        <v>1</v>
      </c>
      <c r="Z8" s="81">
        <f t="shared" ref="Z8:AD9" si="3">0.4*U8</f>
        <v>0.4</v>
      </c>
      <c r="AA8" s="81">
        <f t="shared" si="3"/>
        <v>0.4</v>
      </c>
      <c r="AB8" s="81">
        <f t="shared" si="3"/>
        <v>0.4</v>
      </c>
      <c r="AC8" s="81">
        <f t="shared" si="3"/>
        <v>0.4</v>
      </c>
      <c r="AD8" s="81">
        <f t="shared" si="3"/>
        <v>0.4</v>
      </c>
      <c r="AE8" s="48">
        <v>8.6738964992389594E-5</v>
      </c>
      <c r="AF8" s="48">
        <v>213</v>
      </c>
      <c r="AG8" s="48">
        <v>480</v>
      </c>
      <c r="AH8" s="48">
        <v>0.05</v>
      </c>
      <c r="AI8" s="48">
        <v>7989.4889230094304</v>
      </c>
      <c r="AJ8" s="50">
        <v>15</v>
      </c>
      <c r="AK8" s="50">
        <v>213</v>
      </c>
    </row>
    <row r="9" spans="1:37" x14ac:dyDescent="0.25">
      <c r="A9" s="49" t="s">
        <v>19</v>
      </c>
      <c r="B9" s="50" t="s">
        <v>289</v>
      </c>
      <c r="C9" s="50"/>
      <c r="D9" s="48">
        <v>4.0330000000000001E-13</v>
      </c>
      <c r="E9" s="48">
        <v>2.6529000000000002E-13</v>
      </c>
      <c r="F9" s="48">
        <v>7.3444002480000004E-6</v>
      </c>
      <c r="G9" s="48">
        <v>6.1799999999999996E-11</v>
      </c>
      <c r="H9" s="48">
        <v>1.9202999999999999E-13</v>
      </c>
      <c r="I9" s="48">
        <v>1.4726E-13</v>
      </c>
      <c r="J9" s="48">
        <v>6.6905267759999996E-9</v>
      </c>
      <c r="K9" s="48">
        <v>1.2843943200000001E-6</v>
      </c>
      <c r="L9" s="48">
        <v>1.4478626879999999E-11</v>
      </c>
      <c r="M9" s="48">
        <v>1.3264290432000001E-6</v>
      </c>
      <c r="N9" s="48">
        <v>3.8111482368000001E-6</v>
      </c>
      <c r="O9" s="48">
        <v>6.1417401119999998E-6</v>
      </c>
      <c r="P9" s="48">
        <v>1</v>
      </c>
      <c r="Q9" s="48">
        <v>1</v>
      </c>
      <c r="R9" s="48">
        <v>1</v>
      </c>
      <c r="S9" s="48">
        <v>1</v>
      </c>
      <c r="T9" s="48">
        <v>1</v>
      </c>
      <c r="U9" s="48">
        <v>1</v>
      </c>
      <c r="V9" s="48">
        <v>1</v>
      </c>
      <c r="W9" s="48">
        <v>1</v>
      </c>
      <c r="X9" s="48">
        <v>1</v>
      </c>
      <c r="Y9" s="48">
        <v>1</v>
      </c>
      <c r="Z9" s="81">
        <f t="shared" si="3"/>
        <v>0.4</v>
      </c>
      <c r="AA9" s="81">
        <f>0.4*V9</f>
        <v>0.4</v>
      </c>
      <c r="AB9" s="81">
        <f t="shared" si="3"/>
        <v>0.4</v>
      </c>
      <c r="AC9" s="81">
        <f t="shared" si="3"/>
        <v>0.4</v>
      </c>
      <c r="AD9" s="81">
        <f t="shared" si="3"/>
        <v>0.4</v>
      </c>
      <c r="AE9" s="48">
        <v>3.7861491628614902E-5</v>
      </c>
      <c r="AF9" s="48">
        <v>214</v>
      </c>
      <c r="AG9" s="48">
        <v>480</v>
      </c>
      <c r="AH9" s="48">
        <v>0.05</v>
      </c>
      <c r="AI9" s="48">
        <v>18303.557788944701</v>
      </c>
      <c r="AJ9" s="50">
        <v>15</v>
      </c>
      <c r="AK9" s="50">
        <v>214</v>
      </c>
    </row>
    <row r="10" spans="1:37" x14ac:dyDescent="0.25">
      <c r="A10" s="51" t="s">
        <v>20</v>
      </c>
      <c r="B10" s="50" t="s">
        <v>275</v>
      </c>
      <c r="C10" s="50"/>
      <c r="D10" s="48">
        <v>4.2549999999999998E-11</v>
      </c>
      <c r="E10" s="48">
        <v>3.7370000000000003E-11</v>
      </c>
      <c r="F10" s="48">
        <v>5.5228955760000004E-10</v>
      </c>
      <c r="G10" s="48">
        <v>1.1248E-10</v>
      </c>
      <c r="H10" s="48">
        <v>3.0487999999999999E-11</v>
      </c>
      <c r="I10" s="48">
        <v>3.1782999999999999E-11</v>
      </c>
      <c r="J10" s="48">
        <v>1.6230073680000001E-12</v>
      </c>
      <c r="K10" s="48">
        <v>5.5345718879999995E-10</v>
      </c>
      <c r="L10" s="48">
        <v>2.2418519040000001E-15</v>
      </c>
      <c r="M10" s="48">
        <v>1.9242562176E-10</v>
      </c>
      <c r="N10" s="48">
        <v>4.2408365184000002E-10</v>
      </c>
      <c r="O10" s="48">
        <v>5.4178087679999995E-10</v>
      </c>
      <c r="P10" s="48">
        <v>1</v>
      </c>
      <c r="Q10" s="48">
        <v>1</v>
      </c>
      <c r="R10" s="48">
        <v>1</v>
      </c>
      <c r="S10" s="48">
        <v>1</v>
      </c>
      <c r="T10" s="48">
        <v>1</v>
      </c>
      <c r="U10" s="48">
        <v>1</v>
      </c>
      <c r="V10" s="48">
        <v>1</v>
      </c>
      <c r="W10" s="48">
        <v>1</v>
      </c>
      <c r="X10" s="48">
        <v>1</v>
      </c>
      <c r="Y10" s="48">
        <v>1</v>
      </c>
      <c r="Z10" s="81">
        <f t="shared" ref="Z10:AD10" si="4">0.4*U10</f>
        <v>0.4</v>
      </c>
      <c r="AA10" s="81">
        <f t="shared" si="4"/>
        <v>0.4</v>
      </c>
      <c r="AB10" s="81">
        <f t="shared" si="4"/>
        <v>0.4</v>
      </c>
      <c r="AC10" s="81">
        <f t="shared" si="4"/>
        <v>0.4</v>
      </c>
      <c r="AD10" s="81">
        <f t="shared" si="4"/>
        <v>0.4</v>
      </c>
      <c r="AE10" s="48">
        <v>30.167100000000001</v>
      </c>
      <c r="AF10" s="48">
        <v>137</v>
      </c>
      <c r="AG10" s="48">
        <v>10</v>
      </c>
      <c r="AH10" s="48">
        <v>1</v>
      </c>
      <c r="AI10" s="48">
        <v>2.2972045705420802E-2</v>
      </c>
      <c r="AJ10" s="50">
        <v>200</v>
      </c>
      <c r="AK10" s="50">
        <v>137</v>
      </c>
    </row>
    <row r="11" spans="1:37" x14ac:dyDescent="0.25">
      <c r="A11" s="49" t="s">
        <v>21</v>
      </c>
      <c r="B11" s="50" t="s">
        <v>289</v>
      </c>
      <c r="C11" s="50"/>
      <c r="D11" s="48">
        <v>0</v>
      </c>
      <c r="E11" s="48">
        <v>0</v>
      </c>
      <c r="F11" s="48">
        <v>1.0485328176E-7</v>
      </c>
      <c r="G11" s="48">
        <v>0</v>
      </c>
      <c r="H11" s="48">
        <v>0</v>
      </c>
      <c r="I11" s="48">
        <v>0</v>
      </c>
      <c r="J11" s="48">
        <v>1.1524519944E-10</v>
      </c>
      <c r="K11" s="48">
        <v>2.5220833919999999E-8</v>
      </c>
      <c r="L11" s="48">
        <v>2.5337597040000002E-13</v>
      </c>
      <c r="M11" s="48">
        <v>2.5594475903999999E-8</v>
      </c>
      <c r="N11" s="48">
        <v>7.0618334975999998E-8</v>
      </c>
      <c r="O11" s="48">
        <v>1.010000988E-7</v>
      </c>
      <c r="P11" s="48">
        <v>1</v>
      </c>
      <c r="Q11" s="48">
        <v>1</v>
      </c>
      <c r="R11" s="48">
        <v>1</v>
      </c>
      <c r="S11" s="48">
        <v>1</v>
      </c>
      <c r="T11" s="48">
        <v>1</v>
      </c>
      <c r="U11" s="48">
        <v>1</v>
      </c>
      <c r="V11" s="48">
        <v>1</v>
      </c>
      <c r="W11" s="48">
        <v>1</v>
      </c>
      <c r="X11" s="48">
        <v>1</v>
      </c>
      <c r="Y11" s="48">
        <v>1</v>
      </c>
      <c r="Z11" s="81">
        <f t="shared" ref="Z11:AD11" si="5">0.4*U11</f>
        <v>0.4</v>
      </c>
      <c r="AA11" s="81">
        <f t="shared" si="5"/>
        <v>0.4</v>
      </c>
      <c r="AB11" s="81">
        <f t="shared" si="5"/>
        <v>0.4</v>
      </c>
      <c r="AC11" s="81">
        <f t="shared" si="5"/>
        <v>0.4</v>
      </c>
      <c r="AD11" s="81">
        <f t="shared" si="5"/>
        <v>0.4</v>
      </c>
      <c r="AE11" s="48">
        <v>9.3226788432267907E-6</v>
      </c>
      <c r="AF11" s="48">
        <v>221</v>
      </c>
      <c r="AG11" s="48">
        <v>250</v>
      </c>
      <c r="AH11" s="48"/>
      <c r="AI11" s="48">
        <v>74334.857142857101</v>
      </c>
      <c r="AJ11" s="50">
        <v>15</v>
      </c>
      <c r="AK11" s="50">
        <v>221</v>
      </c>
    </row>
    <row r="12" spans="1:37" x14ac:dyDescent="0.25">
      <c r="A12" s="49" t="s">
        <v>22</v>
      </c>
      <c r="B12" s="50" t="s">
        <v>289</v>
      </c>
      <c r="C12" s="50"/>
      <c r="D12" s="48">
        <v>0</v>
      </c>
      <c r="E12" s="48">
        <v>0</v>
      </c>
      <c r="F12" s="48">
        <v>4.8339931680000002E-7</v>
      </c>
      <c r="G12" s="48">
        <v>0</v>
      </c>
      <c r="H12" s="48">
        <v>0</v>
      </c>
      <c r="I12" s="48">
        <v>0</v>
      </c>
      <c r="J12" s="48">
        <v>4.9624325999999998E-10</v>
      </c>
      <c r="K12" s="48">
        <v>1.1174230584E-7</v>
      </c>
      <c r="L12" s="48">
        <v>1.08005886E-12</v>
      </c>
      <c r="M12" s="48">
        <v>1.0985074329599999E-7</v>
      </c>
      <c r="N12" s="48">
        <v>3.0638642687999998E-7</v>
      </c>
      <c r="O12" s="48">
        <v>4.5187327439999998E-7</v>
      </c>
      <c r="P12" s="48">
        <v>1</v>
      </c>
      <c r="Q12" s="48">
        <v>1</v>
      </c>
      <c r="R12" s="48">
        <v>1</v>
      </c>
      <c r="S12" s="48">
        <v>1</v>
      </c>
      <c r="T12" s="48">
        <v>1</v>
      </c>
      <c r="U12" s="48">
        <v>1</v>
      </c>
      <c r="V12" s="48">
        <v>1</v>
      </c>
      <c r="W12" s="48">
        <v>1</v>
      </c>
      <c r="X12" s="48">
        <v>1</v>
      </c>
      <c r="Y12" s="48">
        <v>1</v>
      </c>
      <c r="Z12" s="81">
        <f t="shared" ref="Z12:AD12" si="6">0.4*U12</f>
        <v>0.4</v>
      </c>
      <c r="AA12" s="81">
        <f t="shared" si="6"/>
        <v>0.4</v>
      </c>
      <c r="AB12" s="81">
        <f t="shared" si="6"/>
        <v>0.4</v>
      </c>
      <c r="AC12" s="81">
        <f t="shared" si="6"/>
        <v>0.4</v>
      </c>
      <c r="AD12" s="81">
        <f t="shared" si="6"/>
        <v>0.4</v>
      </c>
      <c r="AE12" s="48">
        <v>1.5506088280060901E-5</v>
      </c>
      <c r="AF12" s="48">
        <v>206</v>
      </c>
      <c r="AG12" s="48">
        <v>6300</v>
      </c>
      <c r="AH12" s="48"/>
      <c r="AI12" s="48">
        <v>44692.122699386498</v>
      </c>
      <c r="AJ12" s="50"/>
      <c r="AK12" s="50">
        <v>206</v>
      </c>
    </row>
    <row r="13" spans="1:37" x14ac:dyDescent="0.25">
      <c r="A13" s="49" t="s">
        <v>23</v>
      </c>
      <c r="B13" s="50" t="s">
        <v>289</v>
      </c>
      <c r="C13" s="50"/>
      <c r="D13" s="48">
        <v>1.2469000000000001E-10</v>
      </c>
      <c r="E13" s="48">
        <v>8.2880000000000002E-11</v>
      </c>
      <c r="F13" s="48">
        <v>5.172606216E-8</v>
      </c>
      <c r="G13" s="48">
        <v>2.8675E-8</v>
      </c>
      <c r="H13" s="48">
        <v>6.2159999999999995E-11</v>
      </c>
      <c r="I13" s="48">
        <v>4.6989999999999997E-11</v>
      </c>
      <c r="J13" s="48">
        <v>7.6713369839999998E-11</v>
      </c>
      <c r="K13" s="48">
        <v>2.1017361600000002E-8</v>
      </c>
      <c r="L13" s="48">
        <v>1.716417864E-13</v>
      </c>
      <c r="M13" s="48">
        <v>1.7350999631999999E-8</v>
      </c>
      <c r="N13" s="48">
        <v>4.1287439231999997E-8</v>
      </c>
      <c r="O13" s="48">
        <v>5.1492535920000002E-8</v>
      </c>
      <c r="P13" s="48">
        <v>1</v>
      </c>
      <c r="Q13" s="48">
        <v>1</v>
      </c>
      <c r="R13" s="48">
        <v>1</v>
      </c>
      <c r="S13" s="48">
        <v>1</v>
      </c>
      <c r="T13" s="48">
        <v>1</v>
      </c>
      <c r="U13" s="48">
        <v>1</v>
      </c>
      <c r="V13" s="48">
        <v>1</v>
      </c>
      <c r="W13" s="48">
        <v>1</v>
      </c>
      <c r="X13" s="48">
        <v>1</v>
      </c>
      <c r="Y13" s="48">
        <v>1</v>
      </c>
      <c r="Z13" s="81">
        <f t="shared" ref="Z13:AD13" si="7">0.4*U13</f>
        <v>0.4</v>
      </c>
      <c r="AA13" s="81">
        <f t="shared" si="7"/>
        <v>0.4</v>
      </c>
      <c r="AB13" s="81">
        <f t="shared" si="7"/>
        <v>0.4</v>
      </c>
      <c r="AC13" s="81">
        <f t="shared" si="7"/>
        <v>0.4</v>
      </c>
      <c r="AD13" s="81">
        <f t="shared" si="7"/>
        <v>0.4</v>
      </c>
      <c r="AE13" s="48">
        <v>2144000</v>
      </c>
      <c r="AF13" s="48">
        <v>237</v>
      </c>
      <c r="AG13" s="48">
        <v>0.2</v>
      </c>
      <c r="AH13" s="48">
        <v>5.0000000000000001E-4</v>
      </c>
      <c r="AI13" s="48">
        <v>3.2322761194029798E-7</v>
      </c>
      <c r="AJ13" s="50">
        <v>15</v>
      </c>
      <c r="AK13" s="50">
        <v>237</v>
      </c>
    </row>
    <row r="14" spans="1:37" x14ac:dyDescent="0.25">
      <c r="A14" s="49" t="s">
        <v>24</v>
      </c>
      <c r="B14" s="50" t="s">
        <v>289</v>
      </c>
      <c r="C14" s="50"/>
      <c r="D14" s="48">
        <v>1.6465000000000001E-11</v>
      </c>
      <c r="E14" s="48">
        <v>8.9539999999999992E-12</v>
      </c>
      <c r="F14" s="48">
        <v>8.0333026560000001E-7</v>
      </c>
      <c r="G14" s="48">
        <v>1.5281E-11</v>
      </c>
      <c r="H14" s="48">
        <v>6.1420000000000003E-12</v>
      </c>
      <c r="I14" s="48">
        <v>2.5825999999999999E-12</v>
      </c>
      <c r="J14" s="48">
        <v>8.5353840720000002E-10</v>
      </c>
      <c r="K14" s="48">
        <v>1.879886232E-7</v>
      </c>
      <c r="L14" s="48">
        <v>1.8682099199999999E-12</v>
      </c>
      <c r="M14" s="48">
        <v>1.9055741183999999E-7</v>
      </c>
      <c r="N14" s="48">
        <v>5.2309877760000005E-7</v>
      </c>
      <c r="O14" s="48">
        <v>7.601279112E-7</v>
      </c>
      <c r="P14" s="48">
        <v>1</v>
      </c>
      <c r="Q14" s="48">
        <v>1</v>
      </c>
      <c r="R14" s="48">
        <v>1</v>
      </c>
      <c r="S14" s="48">
        <v>1</v>
      </c>
      <c r="T14" s="48">
        <v>1</v>
      </c>
      <c r="U14" s="48">
        <v>1</v>
      </c>
      <c r="V14" s="48">
        <v>1</v>
      </c>
      <c r="W14" s="48">
        <v>1</v>
      </c>
      <c r="X14" s="48">
        <v>1</v>
      </c>
      <c r="Y14" s="48">
        <v>1</v>
      </c>
      <c r="Z14" s="81">
        <f t="shared" ref="Z14:AD14" si="8">0.4*U14</f>
        <v>0.4</v>
      </c>
      <c r="AA14" s="81">
        <f t="shared" si="8"/>
        <v>0.4</v>
      </c>
      <c r="AB14" s="81">
        <f t="shared" si="8"/>
        <v>0.4</v>
      </c>
      <c r="AC14" s="81">
        <f t="shared" si="8"/>
        <v>0.4</v>
      </c>
      <c r="AD14" s="81">
        <f t="shared" si="8"/>
        <v>0.4</v>
      </c>
      <c r="AE14" s="48">
        <v>7.3882191780821893E-2</v>
      </c>
      <c r="AF14" s="48">
        <v>233</v>
      </c>
      <c r="AG14" s="48">
        <v>2000</v>
      </c>
      <c r="AH14" s="48">
        <v>5.0000000000000001E-4</v>
      </c>
      <c r="AI14" s="48">
        <v>9.3797975303148302</v>
      </c>
      <c r="AJ14" s="50">
        <v>300</v>
      </c>
      <c r="AK14" s="50">
        <v>233</v>
      </c>
    </row>
    <row r="15" spans="1:37" x14ac:dyDescent="0.25">
      <c r="A15" s="49" t="s">
        <v>25</v>
      </c>
      <c r="B15" s="50" t="s">
        <v>289</v>
      </c>
      <c r="C15" s="50"/>
      <c r="D15" s="48">
        <v>6.2529999999999997E-13</v>
      </c>
      <c r="E15" s="48">
        <v>3.4854E-13</v>
      </c>
      <c r="F15" s="48">
        <v>5.3711035200000002E-10</v>
      </c>
      <c r="G15" s="48">
        <v>2.0794E-13</v>
      </c>
      <c r="H15" s="48">
        <v>2.4087000000000001E-13</v>
      </c>
      <c r="I15" s="48">
        <v>1.221E-13</v>
      </c>
      <c r="J15" s="48">
        <v>1.7047415520000001E-12</v>
      </c>
      <c r="K15" s="48">
        <v>5.6513350080000005E-10</v>
      </c>
      <c r="L15" s="48">
        <v>2.323586088E-15</v>
      </c>
      <c r="M15" s="48">
        <v>1.8425220336000001E-10</v>
      </c>
      <c r="N15" s="48">
        <v>4.1661081215999999E-10</v>
      </c>
      <c r="O15" s="48">
        <v>5.2893693360000005E-10</v>
      </c>
      <c r="P15" s="48">
        <v>0.9</v>
      </c>
      <c r="Q15" s="48">
        <v>0.9</v>
      </c>
      <c r="R15" s="48">
        <v>0.9</v>
      </c>
      <c r="S15" s="48">
        <v>0.9</v>
      </c>
      <c r="T15" s="48">
        <v>0.9</v>
      </c>
      <c r="U15" s="48">
        <v>1</v>
      </c>
      <c r="V15" s="48">
        <v>1</v>
      </c>
      <c r="W15" s="48">
        <v>1</v>
      </c>
      <c r="X15" s="48">
        <v>1</v>
      </c>
      <c r="Y15" s="48">
        <v>1</v>
      </c>
      <c r="Z15" s="81">
        <f t="shared" ref="Z15:AD17" si="9">0.4*U15</f>
        <v>0.4</v>
      </c>
      <c r="AA15" s="81">
        <f t="shared" si="9"/>
        <v>0.4</v>
      </c>
      <c r="AB15" s="81">
        <f t="shared" si="9"/>
        <v>0.4</v>
      </c>
      <c r="AC15" s="81">
        <f t="shared" si="9"/>
        <v>0.4</v>
      </c>
      <c r="AD15" s="81">
        <f t="shared" si="9"/>
        <v>0.4</v>
      </c>
      <c r="AE15" s="48">
        <v>3.7134703196347002E-4</v>
      </c>
      <c r="AF15" s="48">
        <v>209</v>
      </c>
      <c r="AG15" s="48">
        <v>150</v>
      </c>
      <c r="AH15" s="48">
        <v>0.2</v>
      </c>
      <c r="AI15" s="48">
        <v>1866.1789117737501</v>
      </c>
      <c r="AJ15" s="50"/>
      <c r="AK15" s="50">
        <v>209</v>
      </c>
    </row>
    <row r="16" spans="1:37" x14ac:dyDescent="0.25">
      <c r="A16" s="49" t="s">
        <v>26</v>
      </c>
      <c r="B16" s="50" t="s">
        <v>289</v>
      </c>
      <c r="C16" s="50"/>
      <c r="D16" s="48">
        <v>1.7167999999999999E-9</v>
      </c>
      <c r="E16" s="48">
        <v>1.1766000000000001E-9</v>
      </c>
      <c r="F16" s="48">
        <v>1.482891624E-9</v>
      </c>
      <c r="G16" s="48">
        <v>1.5872999999999999E-8</v>
      </c>
      <c r="H16" s="48">
        <v>8.8430000000000004E-10</v>
      </c>
      <c r="I16" s="48">
        <v>5.9940000000000002E-10</v>
      </c>
      <c r="J16" s="48">
        <v>3.9349171439999997E-12</v>
      </c>
      <c r="K16" s="48">
        <v>1.7164178639999999E-9</v>
      </c>
      <c r="L16" s="48">
        <v>9.0841707359999996E-15</v>
      </c>
      <c r="M16" s="48">
        <v>9.5278705920000003E-10</v>
      </c>
      <c r="N16" s="48">
        <v>1.4665447872000001E-9</v>
      </c>
      <c r="O16" s="48">
        <v>1.482891624E-9</v>
      </c>
      <c r="P16" s="48">
        <v>1</v>
      </c>
      <c r="Q16" s="48">
        <v>1</v>
      </c>
      <c r="R16" s="48">
        <v>1</v>
      </c>
      <c r="S16" s="48">
        <v>1</v>
      </c>
      <c r="T16" s="48">
        <v>1</v>
      </c>
      <c r="U16" s="48">
        <v>1</v>
      </c>
      <c r="V16" s="48">
        <v>1</v>
      </c>
      <c r="W16" s="48">
        <v>1</v>
      </c>
      <c r="X16" s="48">
        <v>1</v>
      </c>
      <c r="Y16" s="48">
        <v>1</v>
      </c>
      <c r="Z16" s="81">
        <f t="shared" si="9"/>
        <v>0.4</v>
      </c>
      <c r="AA16" s="81">
        <f t="shared" si="9"/>
        <v>0.4</v>
      </c>
      <c r="AB16" s="81">
        <f t="shared" si="9"/>
        <v>0.4</v>
      </c>
      <c r="AC16" s="81">
        <f t="shared" si="9"/>
        <v>0.4</v>
      </c>
      <c r="AD16" s="81">
        <f t="shared" si="9"/>
        <v>0.4</v>
      </c>
      <c r="AE16" s="48">
        <v>22.2</v>
      </c>
      <c r="AF16" s="48">
        <v>210</v>
      </c>
      <c r="AG16" s="48">
        <v>150</v>
      </c>
      <c r="AH16" s="48">
        <v>0.2</v>
      </c>
      <c r="AI16" s="48">
        <v>3.1216216216216199E-2</v>
      </c>
      <c r="AJ16" s="50"/>
      <c r="AK16" s="50">
        <v>210</v>
      </c>
    </row>
    <row r="17" spans="1:37" x14ac:dyDescent="0.25">
      <c r="A17" s="49" t="s">
        <v>27</v>
      </c>
      <c r="B17" s="50" t="s">
        <v>289</v>
      </c>
      <c r="C17" s="50"/>
      <c r="D17" s="48">
        <v>7.9180000000000002E-13</v>
      </c>
      <c r="E17" s="48">
        <v>4.8470000000000005E-13</v>
      </c>
      <c r="F17" s="48">
        <v>9.9365415120000007E-7</v>
      </c>
      <c r="G17" s="48">
        <v>7.7700000000000001E-11</v>
      </c>
      <c r="H17" s="48">
        <v>3.4447E-13</v>
      </c>
      <c r="I17" s="48">
        <v>2.2052E-13</v>
      </c>
      <c r="J17" s="48">
        <v>1.0193420376000001E-9</v>
      </c>
      <c r="K17" s="48">
        <v>2.230175592E-7</v>
      </c>
      <c r="L17" s="48">
        <v>2.2301755919999998E-12</v>
      </c>
      <c r="M17" s="48">
        <v>2.2605340032000001E-7</v>
      </c>
      <c r="N17" s="48">
        <v>6.2958674304000002E-7</v>
      </c>
      <c r="O17" s="48">
        <v>9.3060206639999999E-7</v>
      </c>
      <c r="P17" s="48">
        <v>1</v>
      </c>
      <c r="Q17" s="48">
        <v>1</v>
      </c>
      <c r="R17" s="48">
        <v>1</v>
      </c>
      <c r="S17" s="48">
        <v>1</v>
      </c>
      <c r="T17" s="48">
        <v>1</v>
      </c>
      <c r="U17" s="48">
        <v>1</v>
      </c>
      <c r="V17" s="48">
        <v>1</v>
      </c>
      <c r="W17" s="48">
        <v>1</v>
      </c>
      <c r="X17" s="48">
        <v>1</v>
      </c>
      <c r="Y17" s="48">
        <v>1</v>
      </c>
      <c r="Z17" s="81">
        <f t="shared" si="9"/>
        <v>0.4</v>
      </c>
      <c r="AA17" s="81">
        <f t="shared" si="9"/>
        <v>0.4</v>
      </c>
      <c r="AB17" s="81">
        <f t="shared" si="9"/>
        <v>0.4</v>
      </c>
      <c r="AC17" s="81">
        <f t="shared" si="9"/>
        <v>0.4</v>
      </c>
      <c r="AD17" s="81">
        <f t="shared" si="9"/>
        <v>0.4</v>
      </c>
      <c r="AE17" s="48">
        <v>5.0989345509893397E-5</v>
      </c>
      <c r="AF17" s="48">
        <v>214</v>
      </c>
      <c r="AG17" s="48">
        <v>150</v>
      </c>
      <c r="AH17" s="48">
        <v>0.2</v>
      </c>
      <c r="AI17" s="48">
        <v>13591.0746268657</v>
      </c>
      <c r="AJ17" s="50"/>
      <c r="AK17" s="50">
        <v>214</v>
      </c>
    </row>
    <row r="18" spans="1:37" x14ac:dyDescent="0.25">
      <c r="A18" s="49" t="s">
        <v>28</v>
      </c>
      <c r="B18" s="50" t="s">
        <v>289</v>
      </c>
      <c r="C18" s="50"/>
      <c r="D18" s="48">
        <v>3.2744999999999998E-9</v>
      </c>
      <c r="E18" s="48">
        <v>2.2533000000000001E-9</v>
      </c>
      <c r="F18" s="48">
        <v>4.5070564319999998E-11</v>
      </c>
      <c r="G18" s="48">
        <v>1.4504E-8</v>
      </c>
      <c r="H18" s="48">
        <v>1.7760000000000001E-9</v>
      </c>
      <c r="I18" s="48">
        <v>1.4356000000000001E-9</v>
      </c>
      <c r="J18" s="48">
        <v>4.1801196960000001E-14</v>
      </c>
      <c r="K18" s="48">
        <v>8.69885244E-12</v>
      </c>
      <c r="L18" s="48">
        <v>9.0724944239999998E-17</v>
      </c>
      <c r="M18" s="48">
        <v>8.9487255167999993E-12</v>
      </c>
      <c r="N18" s="48">
        <v>2.5407654911999999E-11</v>
      </c>
      <c r="O18" s="48">
        <v>3.9582697679999998E-11</v>
      </c>
      <c r="P18" s="48">
        <v>1</v>
      </c>
      <c r="Q18" s="48">
        <v>1</v>
      </c>
      <c r="R18" s="48">
        <v>1</v>
      </c>
      <c r="S18" s="48">
        <v>1</v>
      </c>
      <c r="T18" s="48">
        <v>1</v>
      </c>
      <c r="U18" s="48">
        <v>1</v>
      </c>
      <c r="V18" s="48">
        <v>1</v>
      </c>
      <c r="W18" s="48">
        <v>1</v>
      </c>
      <c r="X18" s="48">
        <v>1</v>
      </c>
      <c r="Y18" s="48">
        <v>1</v>
      </c>
      <c r="Z18" s="81">
        <f t="shared" ref="Z18:AD21" si="10">0.4*U18</f>
        <v>0.4</v>
      </c>
      <c r="AA18" s="81">
        <f t="shared" si="10"/>
        <v>0.4</v>
      </c>
      <c r="AB18" s="81">
        <f t="shared" si="10"/>
        <v>0.4</v>
      </c>
      <c r="AC18" s="81">
        <f t="shared" si="10"/>
        <v>0.4</v>
      </c>
      <c r="AD18" s="81">
        <f t="shared" si="10"/>
        <v>0.4</v>
      </c>
      <c r="AE18" s="48">
        <v>0.37911232876712297</v>
      </c>
      <c r="AF18" s="48">
        <v>210</v>
      </c>
      <c r="AG18" s="48">
        <v>210</v>
      </c>
      <c r="AH18" s="48"/>
      <c r="AI18" s="48">
        <v>1.8279542695265101</v>
      </c>
      <c r="AJ18" s="50">
        <v>15</v>
      </c>
      <c r="AK18" s="50">
        <v>210</v>
      </c>
    </row>
    <row r="19" spans="1:37" x14ac:dyDescent="0.25">
      <c r="A19" s="49" t="s">
        <v>29</v>
      </c>
      <c r="B19" s="50" t="s">
        <v>289</v>
      </c>
      <c r="C19" s="50"/>
      <c r="D19" s="48">
        <v>0</v>
      </c>
      <c r="E19" s="48">
        <v>0</v>
      </c>
      <c r="F19" s="48">
        <v>1.728094176E-10</v>
      </c>
      <c r="G19" s="48">
        <v>0</v>
      </c>
      <c r="H19" s="48">
        <v>0</v>
      </c>
      <c r="I19" s="48">
        <v>0</v>
      </c>
      <c r="J19" s="48">
        <v>1.6113310560000001E-13</v>
      </c>
      <c r="K19" s="48">
        <v>3.3627778560000003E-11</v>
      </c>
      <c r="L19" s="48">
        <v>3.491217288E-16</v>
      </c>
      <c r="M19" s="48">
        <v>3.4561883519999999E-11</v>
      </c>
      <c r="N19" s="48">
        <v>9.7333736831999999E-11</v>
      </c>
      <c r="O19" s="48">
        <v>1.51792056E-10</v>
      </c>
      <c r="P19" s="48">
        <v>1</v>
      </c>
      <c r="Q19" s="48">
        <v>1</v>
      </c>
      <c r="R19" s="48">
        <v>1</v>
      </c>
      <c r="S19" s="48">
        <v>1</v>
      </c>
      <c r="T19" s="48">
        <v>1</v>
      </c>
      <c r="U19" s="48">
        <v>1</v>
      </c>
      <c r="V19" s="48">
        <v>1</v>
      </c>
      <c r="W19" s="48">
        <v>1</v>
      </c>
      <c r="X19" s="48">
        <v>1</v>
      </c>
      <c r="Y19" s="48">
        <v>1</v>
      </c>
      <c r="Z19" s="81">
        <f t="shared" si="10"/>
        <v>0.4</v>
      </c>
      <c r="AA19" s="81">
        <f t="shared" si="10"/>
        <v>0.4</v>
      </c>
      <c r="AB19" s="81">
        <f t="shared" si="10"/>
        <v>0.4</v>
      </c>
      <c r="AC19" s="81">
        <f t="shared" si="10"/>
        <v>0.4</v>
      </c>
      <c r="AD19" s="81">
        <f t="shared" si="10"/>
        <v>0.4</v>
      </c>
      <c r="AE19" s="48">
        <v>1.3318112633181101E-13</v>
      </c>
      <c r="AF19" s="48">
        <v>213</v>
      </c>
      <c r="AG19" s="48">
        <v>210</v>
      </c>
      <c r="AH19" s="48"/>
      <c r="AI19" s="48">
        <v>5203440000000</v>
      </c>
      <c r="AJ19" s="50">
        <v>15</v>
      </c>
      <c r="AK19" s="50">
        <v>213</v>
      </c>
    </row>
    <row r="20" spans="1:37" x14ac:dyDescent="0.25">
      <c r="A20" s="49" t="s">
        <v>30</v>
      </c>
      <c r="B20" s="50" t="s">
        <v>289</v>
      </c>
      <c r="C20" s="50"/>
      <c r="D20" s="48">
        <v>0</v>
      </c>
      <c r="E20" s="48">
        <v>0</v>
      </c>
      <c r="F20" s="48">
        <v>3.8531829600000002E-10</v>
      </c>
      <c r="G20" s="48">
        <v>0</v>
      </c>
      <c r="H20" s="48">
        <v>0</v>
      </c>
      <c r="I20" s="48">
        <v>0</v>
      </c>
      <c r="J20" s="48">
        <v>3.5729514720000002E-13</v>
      </c>
      <c r="K20" s="48">
        <v>7.4261344320000001E-11</v>
      </c>
      <c r="L20" s="48">
        <v>7.741394856E-16</v>
      </c>
      <c r="M20" s="48">
        <v>7.6222964736000004E-11</v>
      </c>
      <c r="N20" s="48">
        <v>2.1484414079999999E-10</v>
      </c>
      <c r="O20" s="48">
        <v>3.3744541680000003E-10</v>
      </c>
      <c r="P20" s="48">
        <v>1</v>
      </c>
      <c r="Q20" s="48">
        <v>1</v>
      </c>
      <c r="R20" s="48">
        <v>1</v>
      </c>
      <c r="S20" s="48">
        <v>1</v>
      </c>
      <c r="T20" s="48">
        <v>1</v>
      </c>
      <c r="U20" s="48">
        <v>1</v>
      </c>
      <c r="V20" s="48">
        <v>1</v>
      </c>
      <c r="W20" s="48">
        <v>1</v>
      </c>
      <c r="X20" s="48">
        <v>1</v>
      </c>
      <c r="Y20" s="48">
        <v>1</v>
      </c>
      <c r="Z20" s="81">
        <f t="shared" si="10"/>
        <v>0.4</v>
      </c>
      <c r="AA20" s="81">
        <f t="shared" si="10"/>
        <v>0.4</v>
      </c>
      <c r="AB20" s="81">
        <f t="shared" si="10"/>
        <v>0.4</v>
      </c>
      <c r="AC20" s="81">
        <f t="shared" si="10"/>
        <v>0.4</v>
      </c>
      <c r="AD20" s="81">
        <f t="shared" si="10"/>
        <v>0.4</v>
      </c>
      <c r="AE20" s="48">
        <v>5.20991882293252E-12</v>
      </c>
      <c r="AF20" s="48">
        <v>214</v>
      </c>
      <c r="AG20" s="48">
        <v>210</v>
      </c>
      <c r="AH20" s="48"/>
      <c r="AI20" s="48">
        <v>133015508216.677</v>
      </c>
      <c r="AJ20" s="50">
        <v>15</v>
      </c>
      <c r="AK20" s="50">
        <v>214</v>
      </c>
    </row>
    <row r="21" spans="1:37" x14ac:dyDescent="0.25">
      <c r="A21" s="49" t="s">
        <v>31</v>
      </c>
      <c r="B21" s="50" t="s">
        <v>289</v>
      </c>
      <c r="C21" s="50"/>
      <c r="D21" s="48">
        <v>0</v>
      </c>
      <c r="E21" s="48">
        <v>0</v>
      </c>
      <c r="F21" s="48">
        <v>6.8423188320000004E-15</v>
      </c>
      <c r="G21" s="48">
        <v>1.39E-11</v>
      </c>
      <c r="H21" s="48">
        <v>0</v>
      </c>
      <c r="I21" s="48">
        <v>0</v>
      </c>
      <c r="J21" s="48">
        <v>3.9465934560000001E-17</v>
      </c>
      <c r="K21" s="48">
        <v>5.3010456479999998E-15</v>
      </c>
      <c r="L21" s="48">
        <v>5.055843096E-20</v>
      </c>
      <c r="M21" s="48">
        <v>3.1572747648000001E-15</v>
      </c>
      <c r="N21" s="48">
        <v>5.9782717440000002E-15</v>
      </c>
      <c r="O21" s="48">
        <v>6.8189662079999997E-15</v>
      </c>
      <c r="P21" s="48">
        <v>0.9</v>
      </c>
      <c r="Q21" s="48">
        <v>0.9</v>
      </c>
      <c r="R21" s="48">
        <v>0.9</v>
      </c>
      <c r="S21" s="48">
        <v>0.9</v>
      </c>
      <c r="T21" s="48">
        <v>0.9</v>
      </c>
      <c r="U21" s="48">
        <v>1</v>
      </c>
      <c r="V21" s="48">
        <v>1</v>
      </c>
      <c r="W21" s="48">
        <v>1</v>
      </c>
      <c r="X21" s="48">
        <v>1</v>
      </c>
      <c r="Y21" s="48">
        <v>1</v>
      </c>
      <c r="Z21" s="81">
        <f t="shared" si="10"/>
        <v>0.4</v>
      </c>
      <c r="AA21" s="81">
        <f t="shared" si="10"/>
        <v>0.4</v>
      </c>
      <c r="AB21" s="81">
        <f t="shared" si="10"/>
        <v>0.4</v>
      </c>
      <c r="AC21" s="81">
        <f t="shared" si="10"/>
        <v>0.4</v>
      </c>
      <c r="AD21" s="81">
        <f t="shared" si="10"/>
        <v>0.4</v>
      </c>
      <c r="AE21" s="48">
        <v>5.8980213089802101E-6</v>
      </c>
      <c r="AF21" s="48">
        <v>218</v>
      </c>
      <c r="AG21" s="48">
        <v>210</v>
      </c>
      <c r="AH21" s="48"/>
      <c r="AI21" s="48">
        <v>117497.032258065</v>
      </c>
      <c r="AJ21" s="50">
        <v>15</v>
      </c>
      <c r="AK21" s="50">
        <v>218</v>
      </c>
    </row>
    <row r="22" spans="1:37" x14ac:dyDescent="0.25">
      <c r="A22" s="49" t="s">
        <v>32</v>
      </c>
      <c r="B22" s="50" t="s">
        <v>289</v>
      </c>
      <c r="C22" s="50"/>
      <c r="D22" s="48">
        <v>2.4235E-10</v>
      </c>
      <c r="E22" s="48">
        <v>1.5355E-10</v>
      </c>
      <c r="F22" s="48">
        <v>6.106711176E-9</v>
      </c>
      <c r="G22" s="48">
        <v>2.6159E-8</v>
      </c>
      <c r="H22" s="48">
        <v>1.1432999999999999E-10</v>
      </c>
      <c r="I22" s="48">
        <v>7.4369999999999998E-11</v>
      </c>
      <c r="J22" s="48">
        <v>1.844857296E-11</v>
      </c>
      <c r="K22" s="48">
        <v>8.8389681839999997E-9</v>
      </c>
      <c r="L22" s="48">
        <v>4.2385012559999998E-14</v>
      </c>
      <c r="M22" s="48">
        <v>4.4463396095999997E-9</v>
      </c>
      <c r="N22" s="48">
        <v>6.0716822400000003E-9</v>
      </c>
      <c r="O22" s="48">
        <v>6.0950348640000001E-9</v>
      </c>
      <c r="P22" s="48">
        <v>1</v>
      </c>
      <c r="Q22" s="48">
        <v>1</v>
      </c>
      <c r="R22" s="48">
        <v>1</v>
      </c>
      <c r="S22" s="48">
        <v>1</v>
      </c>
      <c r="T22" s="48">
        <v>1</v>
      </c>
      <c r="U22" s="48">
        <v>1</v>
      </c>
      <c r="V22" s="48">
        <v>1</v>
      </c>
      <c r="W22" s="48">
        <v>1</v>
      </c>
      <c r="X22" s="48">
        <v>1</v>
      </c>
      <c r="Y22" s="48">
        <v>1</v>
      </c>
      <c r="Z22" s="81">
        <f t="shared" ref="Z22:AD23" si="11">0.4*U22</f>
        <v>0.4</v>
      </c>
      <c r="AA22" s="81">
        <f t="shared" si="11"/>
        <v>0.4</v>
      </c>
      <c r="AB22" s="81">
        <f t="shared" si="11"/>
        <v>0.4</v>
      </c>
      <c r="AC22" s="81">
        <f t="shared" si="11"/>
        <v>0.4</v>
      </c>
      <c r="AD22" s="81">
        <f t="shared" si="11"/>
        <v>0.4</v>
      </c>
      <c r="AE22" s="48">
        <v>4.0821917808219199E-2</v>
      </c>
      <c r="AF22" s="48">
        <v>225</v>
      </c>
      <c r="AG22" s="48">
        <v>1</v>
      </c>
      <c r="AH22" s="48">
        <v>0.2</v>
      </c>
      <c r="AI22" s="48">
        <v>16.976174496644301</v>
      </c>
      <c r="AJ22" s="50"/>
      <c r="AK22" s="50">
        <v>225</v>
      </c>
    </row>
    <row r="23" spans="1:37" x14ac:dyDescent="0.25">
      <c r="A23" s="51" t="s">
        <v>33</v>
      </c>
      <c r="B23" s="50" t="s">
        <v>275</v>
      </c>
      <c r="C23" s="50">
        <v>1</v>
      </c>
      <c r="D23" s="48">
        <v>6.7709999999999997E-10</v>
      </c>
      <c r="E23" s="48">
        <v>5.1429999999999997E-10</v>
      </c>
      <c r="F23" s="48">
        <v>2.4987307680000001E-8</v>
      </c>
      <c r="G23" s="48">
        <v>2.8156999999999999E-8</v>
      </c>
      <c r="H23" s="48">
        <v>3.8480000000000001E-10</v>
      </c>
      <c r="I23" s="48">
        <v>2.9451999999999998E-10</v>
      </c>
      <c r="J23" s="48">
        <v>2.849020128E-11</v>
      </c>
      <c r="K23" s="48">
        <v>6.2468269200000004E-9</v>
      </c>
      <c r="L23" s="48">
        <v>6.2701795440000005E-14</v>
      </c>
      <c r="M23" s="48">
        <v>6.3332316288000001E-9</v>
      </c>
      <c r="N23" s="48">
        <v>1.7315970695999999E-8</v>
      </c>
      <c r="O23" s="48">
        <v>2.4286728960000001E-8</v>
      </c>
      <c r="P23" s="48">
        <v>1</v>
      </c>
      <c r="Q23" s="48">
        <v>1</v>
      </c>
      <c r="R23" s="48">
        <v>1</v>
      </c>
      <c r="S23" s="48">
        <v>1</v>
      </c>
      <c r="T23" s="48">
        <v>1</v>
      </c>
      <c r="U23" s="48">
        <v>1</v>
      </c>
      <c r="V23" s="48">
        <v>1</v>
      </c>
      <c r="W23" s="48">
        <v>1</v>
      </c>
      <c r="X23" s="48">
        <v>1</v>
      </c>
      <c r="Y23" s="48">
        <v>1</v>
      </c>
      <c r="Z23" s="81">
        <f t="shared" si="11"/>
        <v>0.4</v>
      </c>
      <c r="AA23" s="81">
        <f t="shared" si="11"/>
        <v>0.4</v>
      </c>
      <c r="AB23" s="81">
        <f t="shared" si="11"/>
        <v>0.4</v>
      </c>
      <c r="AC23" s="81">
        <f t="shared" si="11"/>
        <v>0.4</v>
      </c>
      <c r="AD23" s="81">
        <f t="shared" si="11"/>
        <v>0.4</v>
      </c>
      <c r="AE23" s="48">
        <v>1600</v>
      </c>
      <c r="AF23" s="48">
        <v>226</v>
      </c>
      <c r="AG23" s="48">
        <v>1</v>
      </c>
      <c r="AH23" s="48">
        <v>0.2</v>
      </c>
      <c r="AI23" s="48">
        <v>4.3312500000000002E-4</v>
      </c>
      <c r="AJ23" s="50">
        <v>5</v>
      </c>
      <c r="AK23" s="50">
        <v>226</v>
      </c>
    </row>
    <row r="24" spans="1:37" x14ac:dyDescent="0.25">
      <c r="A24" s="49" t="s">
        <v>34</v>
      </c>
      <c r="B24" s="50" t="s">
        <v>289</v>
      </c>
      <c r="C24" s="50"/>
      <c r="D24" s="48">
        <v>0</v>
      </c>
      <c r="E24" s="48">
        <v>0</v>
      </c>
      <c r="F24" s="48">
        <v>3.3861304799999998E-9</v>
      </c>
      <c r="G24" s="48">
        <v>0</v>
      </c>
      <c r="H24" s="48">
        <v>0</v>
      </c>
      <c r="I24" s="48">
        <v>0</v>
      </c>
      <c r="J24" s="48">
        <v>3.187633176E-12</v>
      </c>
      <c r="K24" s="48">
        <v>6.807289896E-10</v>
      </c>
      <c r="L24" s="48">
        <v>6.9240530159999999E-15</v>
      </c>
      <c r="M24" s="48">
        <v>6.9684230016000005E-10</v>
      </c>
      <c r="N24" s="48">
        <v>1.9616204160000001E-9</v>
      </c>
      <c r="O24" s="48">
        <v>3.0358411200000002E-9</v>
      </c>
      <c r="P24" s="48">
        <v>1</v>
      </c>
      <c r="Q24" s="48">
        <v>1</v>
      </c>
      <c r="R24" s="48">
        <v>1</v>
      </c>
      <c r="S24" s="48">
        <v>1</v>
      </c>
      <c r="T24" s="48">
        <v>1</v>
      </c>
      <c r="U24" s="48">
        <v>1</v>
      </c>
      <c r="V24" s="48">
        <v>1</v>
      </c>
      <c r="W24" s="48">
        <v>1</v>
      </c>
      <c r="X24" s="48">
        <v>1</v>
      </c>
      <c r="Y24" s="48">
        <v>1</v>
      </c>
      <c r="Z24" s="81">
        <f t="shared" ref="Z24:AD25" si="12">0.4*U24</f>
        <v>0.4</v>
      </c>
      <c r="AA24" s="81">
        <f t="shared" si="12"/>
        <v>0.4</v>
      </c>
      <c r="AB24" s="81">
        <f t="shared" si="12"/>
        <v>0.4</v>
      </c>
      <c r="AC24" s="81">
        <f t="shared" si="12"/>
        <v>0.4</v>
      </c>
      <c r="AD24" s="81">
        <f t="shared" si="12"/>
        <v>0.4</v>
      </c>
      <c r="AE24" s="48">
        <v>1.1098427194317601E-9</v>
      </c>
      <c r="AF24" s="48">
        <v>218</v>
      </c>
      <c r="AG24" s="48">
        <v>0</v>
      </c>
      <c r="AH24" s="48"/>
      <c r="AI24" s="48">
        <v>624412800</v>
      </c>
      <c r="AJ24" s="50"/>
      <c r="AK24" s="50">
        <v>218</v>
      </c>
    </row>
    <row r="25" spans="1:37" x14ac:dyDescent="0.25">
      <c r="A25" s="51" t="s">
        <v>35</v>
      </c>
      <c r="B25" s="50" t="s">
        <v>275</v>
      </c>
      <c r="C25" s="50">
        <v>1</v>
      </c>
      <c r="D25" s="48">
        <v>0</v>
      </c>
      <c r="E25" s="48">
        <v>0</v>
      </c>
      <c r="F25" s="48">
        <v>1.6930652399999999E-9</v>
      </c>
      <c r="G25" s="70">
        <v>2.28E-12</v>
      </c>
      <c r="H25" s="48">
        <v>0</v>
      </c>
      <c r="I25" s="48">
        <v>0</v>
      </c>
      <c r="J25" s="48">
        <v>1.6230073680000001E-12</v>
      </c>
      <c r="K25" s="48">
        <v>3.5028935999999998E-10</v>
      </c>
      <c r="L25" s="48">
        <v>3.5145699120000001E-15</v>
      </c>
      <c r="M25" s="48">
        <v>3.5682809472000002E-10</v>
      </c>
      <c r="N25" s="48">
        <v>1.00696514688E-9</v>
      </c>
      <c r="O25" s="48">
        <v>1.5412731840000001E-9</v>
      </c>
      <c r="P25" s="48">
        <v>1</v>
      </c>
      <c r="Q25" s="48">
        <v>1</v>
      </c>
      <c r="R25" s="48">
        <v>1</v>
      </c>
      <c r="S25" s="48">
        <v>1</v>
      </c>
      <c r="T25" s="48">
        <v>1</v>
      </c>
      <c r="U25" s="48">
        <v>1</v>
      </c>
      <c r="V25" s="48">
        <v>1</v>
      </c>
      <c r="W25" s="48">
        <v>1</v>
      </c>
      <c r="X25" s="48">
        <v>1</v>
      </c>
      <c r="Y25" s="48">
        <v>1</v>
      </c>
      <c r="Z25" s="81">
        <f t="shared" si="12"/>
        <v>0.4</v>
      </c>
      <c r="AA25" s="81">
        <f t="shared" si="12"/>
        <v>0.4</v>
      </c>
      <c r="AB25" s="81">
        <f t="shared" si="12"/>
        <v>0.4</v>
      </c>
      <c r="AC25" s="81">
        <f t="shared" si="12"/>
        <v>0.4</v>
      </c>
      <c r="AD25" s="81">
        <f t="shared" si="12"/>
        <v>0.4</v>
      </c>
      <c r="AE25" s="48">
        <v>1.04753424657534E-2</v>
      </c>
      <c r="AF25" s="48">
        <v>222</v>
      </c>
      <c r="AG25" s="48">
        <v>0</v>
      </c>
      <c r="AH25" s="48"/>
      <c r="AI25" s="48">
        <v>66.155355041192607</v>
      </c>
      <c r="AJ25" s="50"/>
      <c r="AK25" s="50">
        <v>222</v>
      </c>
    </row>
    <row r="26" spans="1:37" x14ac:dyDescent="0.25">
      <c r="A26" s="49" t="s">
        <v>36</v>
      </c>
      <c r="B26" s="50" t="s">
        <v>289</v>
      </c>
      <c r="C26" s="50"/>
      <c r="D26" s="48">
        <v>3.8480000000000001E-10</v>
      </c>
      <c r="E26" s="48">
        <v>2.9045000000000002E-10</v>
      </c>
      <c r="F26" s="48">
        <v>2.241851904E-7</v>
      </c>
      <c r="G26" s="48">
        <v>1.7464000000000001E-7</v>
      </c>
      <c r="H26" s="48">
        <v>2.2347999999999999E-10</v>
      </c>
      <c r="I26" s="48">
        <v>1.9683999999999999E-10</v>
      </c>
      <c r="J26" s="48">
        <v>3.0008121840000002E-10</v>
      </c>
      <c r="K26" s="48">
        <v>7.0758450719999997E-8</v>
      </c>
      <c r="L26" s="48">
        <v>6.6788504639999998E-13</v>
      </c>
      <c r="M26" s="48">
        <v>6.7629199103999999E-8</v>
      </c>
      <c r="N26" s="48">
        <v>1.7059091832000001E-7</v>
      </c>
      <c r="O26" s="48">
        <v>2.2184992799999999E-7</v>
      </c>
      <c r="P26" s="48">
        <v>1</v>
      </c>
      <c r="Q26" s="48">
        <v>1</v>
      </c>
      <c r="R26" s="48">
        <v>1</v>
      </c>
      <c r="S26" s="48">
        <v>1</v>
      </c>
      <c r="T26" s="48">
        <v>1</v>
      </c>
      <c r="U26" s="48">
        <v>1</v>
      </c>
      <c r="V26" s="48">
        <v>1</v>
      </c>
      <c r="W26" s="48">
        <v>1</v>
      </c>
      <c r="X26" s="48">
        <v>1</v>
      </c>
      <c r="Y26" s="48">
        <v>1</v>
      </c>
      <c r="Z26" s="81">
        <f t="shared" ref="Z26:AD26" si="13">0.4*U26</f>
        <v>0.4</v>
      </c>
      <c r="AA26" s="81">
        <f t="shared" si="13"/>
        <v>0.4</v>
      </c>
      <c r="AB26" s="81">
        <f t="shared" si="13"/>
        <v>0.4</v>
      </c>
      <c r="AC26" s="81">
        <f t="shared" si="13"/>
        <v>0.4</v>
      </c>
      <c r="AD26" s="81">
        <f t="shared" si="13"/>
        <v>0.4</v>
      </c>
      <c r="AE26" s="48">
        <v>7340</v>
      </c>
      <c r="AF26" s="48">
        <v>229</v>
      </c>
      <c r="AG26" s="48">
        <v>20</v>
      </c>
      <c r="AH26" s="48">
        <v>5.0000000000000001E-4</v>
      </c>
      <c r="AI26" s="48">
        <v>9.4414168937329696E-5</v>
      </c>
      <c r="AJ26" s="50">
        <v>15</v>
      </c>
      <c r="AK26" s="50">
        <v>229</v>
      </c>
    </row>
    <row r="27" spans="1:37" x14ac:dyDescent="0.25">
      <c r="A27" s="49" t="s">
        <v>37</v>
      </c>
      <c r="B27" s="50" t="s">
        <v>289</v>
      </c>
      <c r="C27" s="50"/>
      <c r="D27" s="48">
        <v>0</v>
      </c>
      <c r="E27" s="48">
        <v>0</v>
      </c>
      <c r="F27" s="48">
        <v>6.106711176E-9</v>
      </c>
      <c r="G27" s="48">
        <v>0</v>
      </c>
      <c r="H27" s="48">
        <v>0</v>
      </c>
      <c r="I27" s="48">
        <v>0</v>
      </c>
      <c r="J27" s="48">
        <v>9.3994311600000004E-12</v>
      </c>
      <c r="K27" s="48">
        <v>8.5704130080000005E-9</v>
      </c>
      <c r="L27" s="48">
        <v>1.4712153119999999E-14</v>
      </c>
      <c r="M27" s="48">
        <v>2.0737130111999998E-9</v>
      </c>
      <c r="N27" s="48">
        <v>4.4089754112000003E-9</v>
      </c>
      <c r="O27" s="48">
        <v>5.8615086239999998E-9</v>
      </c>
      <c r="P27" s="48">
        <v>1</v>
      </c>
      <c r="Q27" s="48">
        <v>1</v>
      </c>
      <c r="R27" s="48">
        <v>1</v>
      </c>
      <c r="S27" s="48">
        <v>1</v>
      </c>
      <c r="T27" s="48">
        <v>1</v>
      </c>
      <c r="U27" s="48">
        <v>1</v>
      </c>
      <c r="V27" s="48">
        <v>1</v>
      </c>
      <c r="W27" s="48">
        <v>1</v>
      </c>
      <c r="X27" s="48">
        <v>1</v>
      </c>
      <c r="Y27" s="48">
        <v>1</v>
      </c>
      <c r="Z27" s="81">
        <f t="shared" ref="Z27:AD30" si="14">0.4*U27</f>
        <v>0.4</v>
      </c>
      <c r="AA27" s="81">
        <f t="shared" si="14"/>
        <v>0.4</v>
      </c>
      <c r="AB27" s="81">
        <f t="shared" si="14"/>
        <v>0.4</v>
      </c>
      <c r="AC27" s="81">
        <f t="shared" si="14"/>
        <v>0.4</v>
      </c>
      <c r="AD27" s="81">
        <f t="shared" si="14"/>
        <v>0.4</v>
      </c>
      <c r="AE27" s="48">
        <v>7.9908675799086794E-6</v>
      </c>
      <c r="AF27" s="48">
        <v>206</v>
      </c>
      <c r="AG27" s="48">
        <v>1500</v>
      </c>
      <c r="AH27" s="48"/>
      <c r="AI27" s="48">
        <v>86724</v>
      </c>
      <c r="AJ27" s="50"/>
      <c r="AK27" s="50">
        <v>206</v>
      </c>
    </row>
    <row r="28" spans="1:37" x14ac:dyDescent="0.25">
      <c r="A28" s="49" t="s">
        <v>38</v>
      </c>
      <c r="B28" s="50" t="s">
        <v>289</v>
      </c>
      <c r="C28" s="50"/>
      <c r="D28" s="48">
        <v>0</v>
      </c>
      <c r="E28" s="48">
        <v>0</v>
      </c>
      <c r="F28" s="48">
        <v>1.0321859808E-5</v>
      </c>
      <c r="G28" s="48">
        <v>0</v>
      </c>
      <c r="H28" s="48">
        <v>0</v>
      </c>
      <c r="I28" s="48">
        <v>0</v>
      </c>
      <c r="J28" s="48">
        <v>9.5745758399999995E-9</v>
      </c>
      <c r="K28" s="48">
        <v>1.8565336080000001E-6</v>
      </c>
      <c r="L28" s="48">
        <v>2.078383536E-11</v>
      </c>
      <c r="M28" s="48">
        <v>1.9055741184E-6</v>
      </c>
      <c r="N28" s="48">
        <v>5.4738550656000002E-6</v>
      </c>
      <c r="O28" s="48">
        <v>8.710528752E-6</v>
      </c>
      <c r="P28" s="48">
        <v>1</v>
      </c>
      <c r="Q28" s="48">
        <v>1</v>
      </c>
      <c r="R28" s="48">
        <v>1</v>
      </c>
      <c r="S28" s="48">
        <v>1</v>
      </c>
      <c r="T28" s="48">
        <v>1</v>
      </c>
      <c r="U28" s="48">
        <v>1</v>
      </c>
      <c r="V28" s="48">
        <v>1</v>
      </c>
      <c r="W28" s="48">
        <v>1</v>
      </c>
      <c r="X28" s="48">
        <v>1</v>
      </c>
      <c r="Y28" s="48">
        <v>1</v>
      </c>
      <c r="Z28" s="81">
        <f t="shared" si="14"/>
        <v>0.4</v>
      </c>
      <c r="AA28" s="81">
        <f t="shared" si="14"/>
        <v>0.4</v>
      </c>
      <c r="AB28" s="81">
        <f t="shared" si="14"/>
        <v>0.4</v>
      </c>
      <c r="AC28" s="81">
        <f t="shared" si="14"/>
        <v>0.4</v>
      </c>
      <c r="AD28" s="81">
        <f t="shared" si="14"/>
        <v>0.4</v>
      </c>
      <c r="AE28" s="48">
        <v>4.1114916286149197E-6</v>
      </c>
      <c r="AF28" s="48">
        <v>209</v>
      </c>
      <c r="AG28" s="48">
        <v>1500</v>
      </c>
      <c r="AH28" s="48"/>
      <c r="AI28" s="48">
        <v>168551.966682092</v>
      </c>
      <c r="AJ28" s="50"/>
      <c r="AK28" s="50">
        <v>209</v>
      </c>
    </row>
    <row r="29" spans="1:37" x14ac:dyDescent="0.25">
      <c r="A29" s="49" t="s">
        <v>39</v>
      </c>
      <c r="B29" s="50" t="s">
        <v>289</v>
      </c>
      <c r="C29" s="50"/>
      <c r="D29" s="48">
        <v>0</v>
      </c>
      <c r="E29" s="48">
        <v>0</v>
      </c>
      <c r="F29" s="48">
        <v>1.34277588E-5</v>
      </c>
      <c r="G29" s="48">
        <v>0</v>
      </c>
      <c r="H29" s="48">
        <v>0</v>
      </c>
      <c r="I29" s="48">
        <v>0</v>
      </c>
      <c r="J29" s="48">
        <v>1.237689072E-8</v>
      </c>
      <c r="K29" s="48">
        <v>2.4053202719999999E-6</v>
      </c>
      <c r="L29" s="48">
        <v>2.6855517599999999E-11</v>
      </c>
      <c r="M29" s="48">
        <v>2.4847191936000002E-6</v>
      </c>
      <c r="N29" s="48">
        <v>7.1178797952000003E-6</v>
      </c>
      <c r="O29" s="48">
        <v>1.1361051576E-5</v>
      </c>
      <c r="P29" s="48">
        <v>1</v>
      </c>
      <c r="Q29" s="48">
        <v>1</v>
      </c>
      <c r="R29" s="48">
        <v>1</v>
      </c>
      <c r="S29" s="48">
        <v>1</v>
      </c>
      <c r="T29" s="48">
        <v>1</v>
      </c>
      <c r="U29" s="48">
        <v>1</v>
      </c>
      <c r="V29" s="48">
        <v>1</v>
      </c>
      <c r="W29" s="48">
        <v>1</v>
      </c>
      <c r="X29" s="48">
        <v>1</v>
      </c>
      <c r="Y29" s="48">
        <v>1</v>
      </c>
      <c r="Z29" s="81">
        <f t="shared" si="14"/>
        <v>0.4</v>
      </c>
      <c r="AA29" s="81">
        <f t="shared" si="14"/>
        <v>0.4</v>
      </c>
      <c r="AB29" s="81">
        <f t="shared" si="14"/>
        <v>0.4</v>
      </c>
      <c r="AC29" s="81">
        <f t="shared" si="14"/>
        <v>0.4</v>
      </c>
      <c r="AD29" s="81">
        <f t="shared" si="14"/>
        <v>0.4</v>
      </c>
      <c r="AE29" s="48">
        <v>2.4733637747336398E-6</v>
      </c>
      <c r="AF29" s="48">
        <v>210</v>
      </c>
      <c r="AG29" s="48">
        <v>1500</v>
      </c>
      <c r="AH29" s="48"/>
      <c r="AI29" s="48">
        <v>280185.23076923098</v>
      </c>
      <c r="AJ29" s="50"/>
      <c r="AK29" s="50">
        <v>210</v>
      </c>
    </row>
    <row r="30" spans="1:37" x14ac:dyDescent="0.25">
      <c r="A30" s="49" t="s">
        <v>40</v>
      </c>
      <c r="B30" s="50" t="s">
        <v>289</v>
      </c>
      <c r="C30" s="50"/>
      <c r="D30" s="48">
        <v>1.5022E-10</v>
      </c>
      <c r="E30" s="48">
        <v>9.6940000000000003E-11</v>
      </c>
      <c r="F30" s="48">
        <v>7.1108740080000005E-10</v>
      </c>
      <c r="G30" s="48">
        <v>2.8305000000000001E-8</v>
      </c>
      <c r="H30" s="48">
        <v>7.1779999999999997E-11</v>
      </c>
      <c r="I30" s="48">
        <v>5.2169999999999999E-11</v>
      </c>
      <c r="J30" s="48">
        <v>9.3760785359999994E-13</v>
      </c>
      <c r="K30" s="48">
        <v>3.5729514719999999E-10</v>
      </c>
      <c r="L30" s="48">
        <v>2.0900598480000001E-15</v>
      </c>
      <c r="M30" s="48">
        <v>2.0737130111999999E-10</v>
      </c>
      <c r="N30" s="48">
        <v>5.0628488832E-10</v>
      </c>
      <c r="O30" s="48">
        <v>6.8773477679999995E-10</v>
      </c>
      <c r="P30" s="48">
        <v>1</v>
      </c>
      <c r="Q30" s="48">
        <v>1</v>
      </c>
      <c r="R30" s="48">
        <v>1</v>
      </c>
      <c r="S30" s="48">
        <v>1</v>
      </c>
      <c r="T30" s="48">
        <v>1</v>
      </c>
      <c r="U30" s="48">
        <v>1</v>
      </c>
      <c r="V30" s="48">
        <v>1</v>
      </c>
      <c r="W30" s="48">
        <v>1</v>
      </c>
      <c r="X30" s="48">
        <v>1</v>
      </c>
      <c r="Y30" s="48">
        <v>1</v>
      </c>
      <c r="Z30" s="81">
        <f t="shared" si="14"/>
        <v>0.4</v>
      </c>
      <c r="AA30" s="81">
        <f t="shared" si="14"/>
        <v>0.4</v>
      </c>
      <c r="AB30" s="81">
        <f t="shared" si="14"/>
        <v>0.4</v>
      </c>
      <c r="AC30" s="81">
        <f t="shared" si="14"/>
        <v>0.4</v>
      </c>
      <c r="AD30" s="81">
        <f t="shared" si="14"/>
        <v>0.4</v>
      </c>
      <c r="AE30" s="48">
        <v>159200</v>
      </c>
      <c r="AF30" s="48">
        <v>233</v>
      </c>
      <c r="AG30" s="48">
        <v>0.4</v>
      </c>
      <c r="AH30" s="48">
        <v>0.02</v>
      </c>
      <c r="AI30" s="48">
        <v>4.3530150753768799E-6</v>
      </c>
      <c r="AJ30" s="50">
        <v>289207.91735594597</v>
      </c>
      <c r="AK30" s="50">
        <v>233</v>
      </c>
    </row>
  </sheetData>
  <sheetProtection algorithmName="SHA-512" hashValue="LeRSKCt1R6eIwfe7elPdWr1BS/JpziST3BPaW3rOaJdaydIqTLTtGK8jcF0sRLpoDz5YWcawoP2nVvPxqnxHog==" saltValue="MY2+P2/HU8QN6QyecEzqTA==" spinCount="100000" sheet="1" objects="1" scenarios="1" formatColumns="0" formatRows="0" autoFilter="0"/>
  <autoFilter ref="A1:AK30" xr:uid="{00000000-0009-0000-0000-000000000000}"/>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2D6DBA-D5C9-4533-A704-E5E1E807620C}">
  <sheetPr codeName="Sheet3"/>
  <dimension ref="A1:X78"/>
  <sheetViews>
    <sheetView zoomScale="80" zoomScaleNormal="80" workbookViewId="0">
      <pane ySplit="1" topLeftCell="A2" activePane="bottomLeft" state="frozen"/>
      <selection pane="bottomLeft" activeCell="A2" sqref="A2"/>
    </sheetView>
  </sheetViews>
  <sheetFormatPr defaultColWidth="12.42578125" defaultRowHeight="15" x14ac:dyDescent="0.25"/>
  <cols>
    <col min="1" max="1" width="8.28515625" style="82" customWidth="1"/>
    <col min="2" max="2" width="10.7109375" style="82" customWidth="1"/>
    <col min="3" max="3" width="14.85546875" style="82" bestFit="1" customWidth="1"/>
    <col min="4" max="4" width="9.7109375" style="82" customWidth="1"/>
    <col min="5" max="5" width="9.5703125" style="82" customWidth="1"/>
    <col min="6" max="6" width="15" style="82" bestFit="1" customWidth="1"/>
    <col min="7" max="7" width="10.85546875" style="82" customWidth="1"/>
    <col min="8" max="8" width="9.140625" style="82" customWidth="1"/>
    <col min="9" max="9" width="15" style="82" bestFit="1" customWidth="1"/>
    <col min="10" max="10" width="10.28515625" style="82" customWidth="1"/>
    <col min="11" max="11" width="9.140625" style="82" customWidth="1"/>
    <col min="12" max="12" width="15" style="82" bestFit="1" customWidth="1"/>
    <col min="13" max="13" width="11.140625" style="82" customWidth="1"/>
    <col min="14" max="14" width="9.42578125" style="82" customWidth="1"/>
    <col min="15" max="15" width="15" style="82" bestFit="1" customWidth="1"/>
    <col min="16" max="16" width="10.28515625" style="82" customWidth="1"/>
    <col min="17" max="17" width="10.85546875" style="82" customWidth="1"/>
    <col min="18" max="18" width="20.5703125" style="82" bestFit="1" customWidth="1"/>
    <col min="19" max="19" width="10.7109375" style="82" customWidth="1"/>
    <col min="20" max="20" width="11.7109375" style="82" customWidth="1"/>
    <col min="21" max="21" width="20.5703125" style="82" bestFit="1" customWidth="1"/>
    <col min="22" max="22" width="14.85546875" style="82" customWidth="1"/>
    <col min="23" max="23" width="11.140625" style="82" customWidth="1"/>
    <col min="24" max="24" width="26.5703125" style="82" bestFit="1" customWidth="1"/>
    <col min="25" max="16384" width="12.42578125" style="82"/>
  </cols>
  <sheetData>
    <row r="1" spans="1:24" ht="18.75" x14ac:dyDescent="0.3">
      <c r="A1" s="101" t="s">
        <v>52</v>
      </c>
      <c r="B1" s="101"/>
      <c r="C1" s="101"/>
      <c r="D1" s="102" t="s">
        <v>342</v>
      </c>
      <c r="E1" s="102"/>
      <c r="F1" s="102"/>
      <c r="G1" s="103" t="s">
        <v>343</v>
      </c>
      <c r="H1" s="103"/>
      <c r="I1" s="103"/>
      <c r="J1" s="104" t="s">
        <v>344</v>
      </c>
      <c r="K1" s="104"/>
      <c r="L1" s="104"/>
      <c r="M1" s="105" t="s">
        <v>345</v>
      </c>
      <c r="N1" s="105"/>
      <c r="O1" s="105"/>
      <c r="P1" s="106" t="s">
        <v>346</v>
      </c>
      <c r="Q1" s="106"/>
      <c r="R1" s="106"/>
      <c r="S1" s="99" t="s">
        <v>347</v>
      </c>
      <c r="T1" s="99"/>
      <c r="U1" s="99"/>
      <c r="V1" s="100" t="s">
        <v>348</v>
      </c>
      <c r="W1" s="100"/>
      <c r="X1" s="100"/>
    </row>
    <row r="2" spans="1:24" ht="18.75" x14ac:dyDescent="0.35">
      <c r="A2" s="82" t="s">
        <v>268</v>
      </c>
      <c r="B2" s="40">
        <v>9.9999999999999995E-7</v>
      </c>
      <c r="C2" s="82" t="s">
        <v>349</v>
      </c>
      <c r="D2" s="82" t="s">
        <v>93</v>
      </c>
      <c r="E2" s="41">
        <v>25</v>
      </c>
      <c r="F2" s="3" t="s">
        <v>53</v>
      </c>
      <c r="G2" s="82" t="s">
        <v>92</v>
      </c>
      <c r="H2" s="41">
        <v>25</v>
      </c>
      <c r="I2" s="3" t="s">
        <v>53</v>
      </c>
      <c r="J2" s="82" t="s">
        <v>91</v>
      </c>
      <c r="K2" s="41">
        <v>25</v>
      </c>
      <c r="L2" s="3" t="s">
        <v>53</v>
      </c>
      <c r="M2" s="82" t="s">
        <v>94</v>
      </c>
      <c r="N2" s="41">
        <v>1</v>
      </c>
      <c r="O2" s="3" t="s">
        <v>53</v>
      </c>
      <c r="P2" s="82" t="s">
        <v>153</v>
      </c>
      <c r="Q2" s="92">
        <f>Q_C_wind*((3600)/(Q12*(1-V)*((Um/Ut)^3)*F_x))</f>
        <v>1359344473.5814338</v>
      </c>
      <c r="R2" s="82" t="s">
        <v>95</v>
      </c>
      <c r="S2" s="83" t="s">
        <v>154</v>
      </c>
      <c r="T2" s="92">
        <f>Q_C_sc*(1/F_D)*((T_t*A_R)/((((2.6*(s/12)^0.8)*((W/3)^0.4))/((M_dry/0.2)^0.3))*((365-p_days)/365)*281.9*Σ_VKT))</f>
        <v>776129.4078035407</v>
      </c>
      <c r="U2" s="82" t="s">
        <v>95</v>
      </c>
      <c r="V2" s="83" t="s">
        <v>164</v>
      </c>
      <c r="W2" s="92">
        <f>Q_C__sc*(1/F_D)*(1/J__T)</f>
        <v>118686072.68913849</v>
      </c>
      <c r="X2" s="82" t="s">
        <v>95</v>
      </c>
    </row>
    <row r="3" spans="1:24" ht="18" x14ac:dyDescent="0.35">
      <c r="A3" s="84" t="s">
        <v>286</v>
      </c>
      <c r="B3" s="42">
        <v>1</v>
      </c>
      <c r="C3" s="3" t="s">
        <v>350</v>
      </c>
      <c r="D3" s="82" t="s">
        <v>89</v>
      </c>
      <c r="E3" s="91">
        <f>ED_ind</f>
        <v>25</v>
      </c>
      <c r="F3" s="3" t="s">
        <v>53</v>
      </c>
      <c r="G3" s="82" t="s">
        <v>88</v>
      </c>
      <c r="H3" s="91">
        <f>ED_out</f>
        <v>25</v>
      </c>
      <c r="I3" s="3" t="s">
        <v>53</v>
      </c>
      <c r="J3" s="82" t="s">
        <v>87</v>
      </c>
      <c r="K3" s="91">
        <f>ED_com</f>
        <v>25</v>
      </c>
      <c r="L3" s="3" t="s">
        <v>53</v>
      </c>
      <c r="M3" s="82" t="s">
        <v>90</v>
      </c>
      <c r="N3" s="91">
        <f>ED_con</f>
        <v>1</v>
      </c>
      <c r="O3" s="3" t="s">
        <v>53</v>
      </c>
      <c r="P3" s="85" t="s">
        <v>96</v>
      </c>
      <c r="Q3" s="41">
        <v>4.6900000000000004</v>
      </c>
      <c r="R3" s="82" t="s">
        <v>97</v>
      </c>
      <c r="S3" s="83" t="s">
        <v>160</v>
      </c>
      <c r="T3" s="92">
        <f>A_sc*EXP((((LN(Ac))-B_sc)^2)/C_sc)</f>
        <v>16.403103329458006</v>
      </c>
      <c r="U3" s="82" t="s">
        <v>351</v>
      </c>
      <c r="V3" s="83" t="s">
        <v>165</v>
      </c>
      <c r="W3" s="92">
        <f>A__sc*EXP((((LN(Ac))-B__sc)^2)/C__sc)</f>
        <v>9.4355742285493491</v>
      </c>
      <c r="X3" s="82" t="s">
        <v>351</v>
      </c>
    </row>
    <row r="4" spans="1:24" ht="18.75" x14ac:dyDescent="0.35">
      <c r="A4" s="84" t="s">
        <v>61</v>
      </c>
      <c r="B4" s="43">
        <v>0.5</v>
      </c>
      <c r="C4" s="82" t="s">
        <v>352</v>
      </c>
      <c r="D4" s="84" t="s">
        <v>66</v>
      </c>
      <c r="E4" s="42">
        <v>60</v>
      </c>
      <c r="F4" s="84" t="s">
        <v>59</v>
      </c>
      <c r="G4" s="84" t="s">
        <v>70</v>
      </c>
      <c r="H4" s="42">
        <v>60</v>
      </c>
      <c r="I4" s="84" t="s">
        <v>59</v>
      </c>
      <c r="J4" s="84" t="s">
        <v>284</v>
      </c>
      <c r="K4" s="42">
        <v>60</v>
      </c>
      <c r="L4" s="84" t="s">
        <v>59</v>
      </c>
      <c r="M4" s="84" t="s">
        <v>74</v>
      </c>
      <c r="N4" s="42">
        <v>60</v>
      </c>
      <c r="O4" s="84" t="s">
        <v>59</v>
      </c>
      <c r="P4" s="85" t="s">
        <v>98</v>
      </c>
      <c r="Q4" s="41">
        <v>11.32</v>
      </c>
      <c r="R4" s="82" t="s">
        <v>97</v>
      </c>
      <c r="S4" s="82" t="s">
        <v>169</v>
      </c>
      <c r="T4" s="92">
        <f>ED_con*EF_cw*ET_cw_o*3600</f>
        <v>7200000</v>
      </c>
      <c r="U4" s="83" t="s">
        <v>103</v>
      </c>
      <c r="V4" s="83" t="s">
        <v>126</v>
      </c>
      <c r="W4" s="92">
        <f>(M_pc_wind+M_excav+M_doz+M_grade+M_till)/(A_surf*T_t)</f>
        <v>4.2779519518602913E-7</v>
      </c>
      <c r="X4" s="82" t="s">
        <v>353</v>
      </c>
    </row>
    <row r="5" spans="1:24" ht="18" x14ac:dyDescent="0.25">
      <c r="A5" s="86" t="s">
        <v>57</v>
      </c>
      <c r="B5" s="42">
        <v>1</v>
      </c>
      <c r="C5" s="82" t="s">
        <v>354</v>
      </c>
      <c r="D5" s="84" t="s">
        <v>83</v>
      </c>
      <c r="E5" s="42">
        <v>50</v>
      </c>
      <c r="F5" s="84" t="s">
        <v>54</v>
      </c>
      <c r="G5" s="84" t="s">
        <v>84</v>
      </c>
      <c r="H5" s="42">
        <v>100</v>
      </c>
      <c r="I5" s="84" t="s">
        <v>54</v>
      </c>
      <c r="J5" s="84" t="s">
        <v>65</v>
      </c>
      <c r="K5" s="42">
        <v>100</v>
      </c>
      <c r="L5" s="84" t="s">
        <v>54</v>
      </c>
      <c r="M5" s="84" t="s">
        <v>85</v>
      </c>
      <c r="N5" s="42">
        <v>330</v>
      </c>
      <c r="O5" s="84" t="s">
        <v>54</v>
      </c>
      <c r="P5" s="87" t="s">
        <v>99</v>
      </c>
      <c r="Q5" s="44">
        <v>0.19400000000000001</v>
      </c>
      <c r="R5" s="83" t="s">
        <v>60</v>
      </c>
      <c r="S5" s="83" t="s">
        <v>104</v>
      </c>
      <c r="T5" s="92">
        <f>L_R*W_R*T24</f>
        <v>867.14059713578104</v>
      </c>
      <c r="U5" s="83" t="s">
        <v>105</v>
      </c>
      <c r="V5" s="83" t="s">
        <v>127</v>
      </c>
      <c r="W5" s="92">
        <f>0.036*(1-V)*((Um/Ut)^3)*F_x*ED_con*A_surf*8760</f>
        <v>44019.567729252136</v>
      </c>
      <c r="X5" s="83" t="s">
        <v>128</v>
      </c>
    </row>
    <row r="6" spans="1:24" ht="18" x14ac:dyDescent="0.25">
      <c r="A6" s="86" t="s">
        <v>58</v>
      </c>
      <c r="B6" s="42">
        <v>0.4</v>
      </c>
      <c r="C6" s="82" t="s">
        <v>354</v>
      </c>
      <c r="D6" s="84" t="s">
        <v>67</v>
      </c>
      <c r="E6" s="42">
        <v>250</v>
      </c>
      <c r="F6" s="84" t="s">
        <v>55</v>
      </c>
      <c r="G6" s="84" t="s">
        <v>71</v>
      </c>
      <c r="H6" s="42">
        <v>225</v>
      </c>
      <c r="I6" s="84" t="s">
        <v>55</v>
      </c>
      <c r="J6" s="84" t="s">
        <v>62</v>
      </c>
      <c r="K6" s="42">
        <v>250</v>
      </c>
      <c r="L6" s="84" t="s">
        <v>55</v>
      </c>
      <c r="M6" s="84" t="s">
        <v>75</v>
      </c>
      <c r="N6" s="45">
        <f>N7*N8</f>
        <v>250</v>
      </c>
      <c r="O6" s="84" t="s">
        <v>55</v>
      </c>
      <c r="P6" s="87" t="s">
        <v>100</v>
      </c>
      <c r="Q6" s="44">
        <v>0.5</v>
      </c>
      <c r="R6" s="82" t="s">
        <v>354</v>
      </c>
      <c r="S6" s="83" t="s">
        <v>106</v>
      </c>
      <c r="T6" s="92">
        <f>((N_cars*T26)+(N_trucks*T27))/(N_cars+N_trucks)</f>
        <v>8</v>
      </c>
      <c r="U6" s="83" t="s">
        <v>107</v>
      </c>
      <c r="V6" s="83" t="s">
        <v>129</v>
      </c>
      <c r="W6" s="92">
        <f>(0.35*0.0016*((Um/2.2)^1.3)/((M_m_excav/2)^1.4))*ρ_soil*A_excav*d_excav*N_A_dump*1000</f>
        <v>1658.1505859098856</v>
      </c>
      <c r="X6" s="83" t="s">
        <v>128</v>
      </c>
    </row>
    <row r="7" spans="1:24" ht="18" x14ac:dyDescent="0.35">
      <c r="A7" s="86"/>
      <c r="B7" s="42"/>
      <c r="D7" s="84" t="s">
        <v>68</v>
      </c>
      <c r="E7" s="42">
        <v>0</v>
      </c>
      <c r="F7" s="84" t="s">
        <v>355</v>
      </c>
      <c r="G7" s="84" t="s">
        <v>72</v>
      </c>
      <c r="H7" s="42">
        <v>8</v>
      </c>
      <c r="I7" s="84" t="s">
        <v>355</v>
      </c>
      <c r="J7" s="84" t="s">
        <v>63</v>
      </c>
      <c r="K7" s="42">
        <v>4</v>
      </c>
      <c r="L7" s="84" t="s">
        <v>355</v>
      </c>
      <c r="M7" s="84" t="s">
        <v>78</v>
      </c>
      <c r="N7" s="42">
        <v>5</v>
      </c>
      <c r="O7" s="84" t="s">
        <v>79</v>
      </c>
      <c r="P7" s="83" t="s">
        <v>156</v>
      </c>
      <c r="Q7" s="92">
        <f>A_wind*EXP((((LN(As))-B_wind)^2)/C_wind)</f>
        <v>93.773582452087695</v>
      </c>
      <c r="R7" s="82" t="s">
        <v>351</v>
      </c>
      <c r="S7" s="83" t="s">
        <v>108</v>
      </c>
      <c r="T7" s="92">
        <f>(N_cars+N_trucks)*distance*EW_cw*DW_cw</f>
        <v>1066.8565089676306</v>
      </c>
      <c r="U7" s="83" t="s">
        <v>109</v>
      </c>
      <c r="V7" s="83" t="s">
        <v>130</v>
      </c>
      <c r="W7" s="92">
        <f>0.75*((0.45*(s_doz^1.5))/(M_m_doz^1.4))*(Σ_VKT_doz/S_doz_speed)*1000</f>
        <v>739.26351214461999</v>
      </c>
      <c r="X7" s="83" t="s">
        <v>128</v>
      </c>
    </row>
    <row r="8" spans="1:24" x14ac:dyDescent="0.25">
      <c r="D8" s="84" t="s">
        <v>69</v>
      </c>
      <c r="E8" s="42">
        <v>8</v>
      </c>
      <c r="F8" s="84" t="s">
        <v>356</v>
      </c>
      <c r="G8" s="84" t="s">
        <v>73</v>
      </c>
      <c r="H8" s="42">
        <v>0</v>
      </c>
      <c r="I8" s="84" t="s">
        <v>356</v>
      </c>
      <c r="J8" s="84" t="s">
        <v>64</v>
      </c>
      <c r="K8" s="42">
        <v>4</v>
      </c>
      <c r="L8" s="84" t="s">
        <v>356</v>
      </c>
      <c r="M8" s="84" t="s">
        <v>80</v>
      </c>
      <c r="N8" s="42">
        <v>50</v>
      </c>
      <c r="O8" s="84" t="s">
        <v>81</v>
      </c>
      <c r="P8" s="87" t="s">
        <v>101</v>
      </c>
      <c r="Q8" s="44">
        <v>0.5</v>
      </c>
      <c r="R8" s="83" t="s">
        <v>102</v>
      </c>
      <c r="S8" s="83" t="s">
        <v>110</v>
      </c>
      <c r="T8" s="92">
        <f>0.1852+(5.3537/t_c)+(-9.6318/(t_c)^2)</f>
        <v>0.18583720873299323</v>
      </c>
      <c r="U8" s="83" t="s">
        <v>60</v>
      </c>
      <c r="V8" s="83" t="s">
        <v>131</v>
      </c>
      <c r="W8" s="92">
        <f>0.6*0.0056*(S_grade^2)*Σ_VKT_grade*1000</f>
        <v>10863.846413114754</v>
      </c>
      <c r="X8" s="83" t="s">
        <v>128</v>
      </c>
    </row>
    <row r="9" spans="1:24" ht="18" x14ac:dyDescent="0.35">
      <c r="A9" s="84"/>
      <c r="B9" s="42"/>
      <c r="C9" s="84"/>
      <c r="F9" s="3"/>
      <c r="M9" s="84" t="s">
        <v>76</v>
      </c>
      <c r="N9" s="42">
        <v>8</v>
      </c>
      <c r="O9" s="84" t="s">
        <v>355</v>
      </c>
      <c r="P9" s="83" t="s">
        <v>157</v>
      </c>
      <c r="Q9" s="46">
        <v>16.2302</v>
      </c>
      <c r="R9" s="83"/>
      <c r="S9" s="83" t="s">
        <v>111</v>
      </c>
      <c r="T9" s="92">
        <f>ED_con*EW_cw*T22*T23</f>
        <v>8400</v>
      </c>
      <c r="U9" s="83" t="s">
        <v>112</v>
      </c>
      <c r="V9" s="83" t="s">
        <v>132</v>
      </c>
      <c r="W9" s="92">
        <f>1.1*(s_till^0.6)*A_till*4047*(1/10000)*1000*N_A_till</f>
        <v>5043.3532488378178</v>
      </c>
      <c r="X9" s="83" t="s">
        <v>128</v>
      </c>
    </row>
    <row r="10" spans="1:24" ht="18" x14ac:dyDescent="0.35">
      <c r="A10" s="84"/>
      <c r="B10" s="42"/>
      <c r="C10" s="84"/>
      <c r="E10" s="41"/>
      <c r="M10" s="84" t="s">
        <v>77</v>
      </c>
      <c r="N10" s="42">
        <v>0</v>
      </c>
      <c r="O10" s="84" t="s">
        <v>356</v>
      </c>
      <c r="P10" s="83" t="s">
        <v>158</v>
      </c>
      <c r="Q10" s="46">
        <v>18.776199999999999</v>
      </c>
      <c r="R10" s="83"/>
      <c r="S10" s="83" t="s">
        <v>113</v>
      </c>
      <c r="T10" s="92">
        <f>SQRT(Ac*43560.17)</f>
        <v>466.69138625005706</v>
      </c>
      <c r="U10" s="83" t="s">
        <v>114</v>
      </c>
      <c r="V10" s="83" t="s">
        <v>133</v>
      </c>
      <c r="W10" s="92">
        <f>Ac*4046.86</f>
        <v>20234.3</v>
      </c>
      <c r="X10" s="83" t="s">
        <v>105</v>
      </c>
    </row>
    <row r="11" spans="1:24" ht="18" x14ac:dyDescent="0.35">
      <c r="A11" s="84"/>
      <c r="B11" s="42"/>
      <c r="C11" s="84"/>
      <c r="P11" s="83" t="s">
        <v>159</v>
      </c>
      <c r="Q11" s="46">
        <v>216.108</v>
      </c>
      <c r="R11" s="83"/>
      <c r="S11" s="83" t="s">
        <v>115</v>
      </c>
      <c r="T11" s="92">
        <f>L_R*0.0003048</f>
        <v>0.14224753452901739</v>
      </c>
      <c r="U11" s="83" t="s">
        <v>116</v>
      </c>
      <c r="V11" s="83" t="s">
        <v>134</v>
      </c>
      <c r="W11" s="92">
        <f>Ac_doz*A_excav*(1/B_doz)*(1/1000)*N_A_doz</f>
        <v>24.879098360655735</v>
      </c>
      <c r="X11" s="83" t="s">
        <v>109</v>
      </c>
    </row>
    <row r="12" spans="1:24" x14ac:dyDescent="0.25">
      <c r="A12" s="84"/>
      <c r="B12" s="42"/>
      <c r="C12" s="84"/>
      <c r="P12" s="83"/>
      <c r="Q12" s="44">
        <v>3.5999999999999997E-2</v>
      </c>
      <c r="R12" s="82" t="s">
        <v>357</v>
      </c>
      <c r="S12" s="83" t="s">
        <v>117</v>
      </c>
      <c r="T12" s="44">
        <v>20</v>
      </c>
      <c r="U12" s="83" t="s">
        <v>114</v>
      </c>
      <c r="V12" s="83" t="s">
        <v>135</v>
      </c>
      <c r="W12" s="92">
        <f>Ac_grade*A_excav*(1/B_grade)*(1/1000)*N_A_grade</f>
        <v>24.879098360655735</v>
      </c>
      <c r="X12" s="83" t="s">
        <v>109</v>
      </c>
    </row>
    <row r="13" spans="1:24" x14ac:dyDescent="0.25">
      <c r="A13" s="84"/>
      <c r="B13" s="42"/>
      <c r="C13" s="84"/>
      <c r="S13" s="83" t="s">
        <v>118</v>
      </c>
      <c r="T13" s="44">
        <v>20</v>
      </c>
      <c r="U13" s="82" t="s">
        <v>358</v>
      </c>
      <c r="V13" s="87" t="s">
        <v>136</v>
      </c>
      <c r="W13" s="44">
        <v>1.68</v>
      </c>
      <c r="X13" s="83" t="s">
        <v>137</v>
      </c>
    </row>
    <row r="14" spans="1:24" x14ac:dyDescent="0.25">
      <c r="A14" s="84"/>
      <c r="B14" s="42"/>
      <c r="C14" s="84"/>
      <c r="S14" s="83" t="s">
        <v>119</v>
      </c>
      <c r="T14" s="44">
        <v>10</v>
      </c>
      <c r="U14" s="82" t="s">
        <v>359</v>
      </c>
      <c r="V14" s="87" t="s">
        <v>138</v>
      </c>
      <c r="W14" s="44">
        <v>4047</v>
      </c>
      <c r="X14" s="83" t="s">
        <v>105</v>
      </c>
    </row>
    <row r="15" spans="1:24" x14ac:dyDescent="0.25">
      <c r="A15" s="84"/>
      <c r="B15" s="42"/>
      <c r="C15" s="84"/>
      <c r="D15" s="84"/>
      <c r="E15" s="42"/>
      <c r="F15" s="84"/>
      <c r="S15" s="83" t="s">
        <v>152</v>
      </c>
      <c r="T15" s="44">
        <v>5</v>
      </c>
      <c r="U15" s="83" t="s">
        <v>102</v>
      </c>
      <c r="V15" s="87" t="s">
        <v>139</v>
      </c>
      <c r="W15" s="44">
        <v>1</v>
      </c>
      <c r="X15" s="83" t="s">
        <v>82</v>
      </c>
    </row>
    <row r="16" spans="1:24" x14ac:dyDescent="0.25">
      <c r="A16" s="84"/>
      <c r="B16" s="42"/>
      <c r="C16" s="84"/>
      <c r="S16" s="83" t="s">
        <v>120</v>
      </c>
      <c r="T16" s="44">
        <v>0.2</v>
      </c>
      <c r="U16" s="83" t="s">
        <v>121</v>
      </c>
      <c r="V16" s="87" t="s">
        <v>140</v>
      </c>
      <c r="W16" s="44">
        <v>2</v>
      </c>
      <c r="X16" s="82" t="s">
        <v>360</v>
      </c>
    </row>
    <row r="17" spans="1:24" ht="18" x14ac:dyDescent="0.35">
      <c r="A17" s="84"/>
      <c r="B17" s="42"/>
      <c r="C17" s="84"/>
      <c r="S17" s="83" t="s">
        <v>155</v>
      </c>
      <c r="T17" s="44">
        <v>70</v>
      </c>
      <c r="U17" s="83" t="s">
        <v>55</v>
      </c>
      <c r="V17" s="87" t="s">
        <v>141</v>
      </c>
      <c r="W17" s="44">
        <v>12</v>
      </c>
      <c r="X17" s="83" t="s">
        <v>121</v>
      </c>
    </row>
    <row r="18" spans="1:24" x14ac:dyDescent="0.25">
      <c r="A18" s="84"/>
      <c r="B18" s="42"/>
      <c r="C18" s="84"/>
      <c r="S18" s="83" t="s">
        <v>122</v>
      </c>
      <c r="T18" s="44">
        <v>8.5</v>
      </c>
      <c r="U18" s="83" t="s">
        <v>121</v>
      </c>
      <c r="V18" s="87" t="s">
        <v>142</v>
      </c>
      <c r="W18" s="44">
        <v>6.9</v>
      </c>
      <c r="X18" s="83" t="s">
        <v>121</v>
      </c>
    </row>
    <row r="19" spans="1:24" ht="18" x14ac:dyDescent="0.35">
      <c r="A19" s="86"/>
      <c r="B19" s="88"/>
      <c r="C19" s="86"/>
      <c r="S19" s="83" t="s">
        <v>161</v>
      </c>
      <c r="T19" s="46">
        <v>12.9351</v>
      </c>
      <c r="U19" s="83"/>
      <c r="V19" s="87" t="s">
        <v>143</v>
      </c>
      <c r="W19" s="44">
        <v>7.9</v>
      </c>
      <c r="X19" s="83" t="s">
        <v>121</v>
      </c>
    </row>
    <row r="20" spans="1:24" ht="18" x14ac:dyDescent="0.35">
      <c r="A20" s="86"/>
      <c r="B20" s="88"/>
      <c r="C20" s="86"/>
      <c r="D20" s="84"/>
      <c r="E20" s="42"/>
      <c r="F20" s="84"/>
      <c r="S20" s="83" t="s">
        <v>162</v>
      </c>
      <c r="T20" s="46">
        <v>5.7382999999999997</v>
      </c>
      <c r="U20" s="83"/>
      <c r="V20" s="87" t="s">
        <v>170</v>
      </c>
      <c r="W20" s="44">
        <v>11.4</v>
      </c>
      <c r="X20" s="83" t="s">
        <v>144</v>
      </c>
    </row>
    <row r="21" spans="1:24" ht="18" x14ac:dyDescent="0.35">
      <c r="A21" s="86"/>
      <c r="B21" s="88"/>
      <c r="C21" s="86"/>
      <c r="S21" s="83" t="s">
        <v>163</v>
      </c>
      <c r="T21" s="46">
        <v>71.771100000000004</v>
      </c>
      <c r="U21" s="83"/>
      <c r="V21" s="87" t="s">
        <v>145</v>
      </c>
      <c r="W21" s="44">
        <v>11.4</v>
      </c>
      <c r="X21" s="83" t="s">
        <v>144</v>
      </c>
    </row>
    <row r="22" spans="1:24" x14ac:dyDescent="0.25">
      <c r="A22" s="86"/>
      <c r="B22" s="88"/>
      <c r="C22" s="86"/>
      <c r="S22" s="83"/>
      <c r="T22" s="44">
        <v>7</v>
      </c>
      <c r="U22" s="83" t="s">
        <v>79</v>
      </c>
      <c r="V22" s="87" t="s">
        <v>146</v>
      </c>
      <c r="W22" s="44">
        <v>18</v>
      </c>
      <c r="X22" s="83" t="s">
        <v>121</v>
      </c>
    </row>
    <row r="23" spans="1:24" x14ac:dyDescent="0.25">
      <c r="A23" s="86"/>
      <c r="B23" s="88"/>
      <c r="C23" s="86"/>
      <c r="S23" s="83"/>
      <c r="T23" s="44">
        <v>24</v>
      </c>
      <c r="U23" s="83" t="s">
        <v>56</v>
      </c>
      <c r="V23" s="87" t="s">
        <v>147</v>
      </c>
      <c r="W23" s="44">
        <v>1</v>
      </c>
      <c r="X23" s="83" t="s">
        <v>102</v>
      </c>
    </row>
    <row r="24" spans="1:24" x14ac:dyDescent="0.25">
      <c r="A24" s="86"/>
      <c r="B24" s="88"/>
      <c r="C24" s="86"/>
      <c r="S24" s="83"/>
      <c r="T24" s="44">
        <v>9.2902999999999999E-2</v>
      </c>
      <c r="U24" s="83" t="s">
        <v>123</v>
      </c>
      <c r="V24" s="87" t="s">
        <v>148</v>
      </c>
      <c r="W24" s="44">
        <v>2</v>
      </c>
      <c r="X24" s="82" t="s">
        <v>361</v>
      </c>
    </row>
    <row r="25" spans="1:24" x14ac:dyDescent="0.25">
      <c r="A25" s="86"/>
      <c r="B25" s="88"/>
      <c r="C25" s="86"/>
      <c r="D25" s="84"/>
      <c r="E25" s="42"/>
      <c r="F25" s="84"/>
      <c r="S25" s="83"/>
      <c r="T25" s="44">
        <v>365</v>
      </c>
      <c r="U25" s="83" t="s">
        <v>55</v>
      </c>
      <c r="V25" s="87" t="s">
        <v>149</v>
      </c>
      <c r="W25" s="44">
        <v>5</v>
      </c>
      <c r="X25" s="83" t="s">
        <v>102</v>
      </c>
    </row>
    <row r="26" spans="1:24" x14ac:dyDescent="0.25">
      <c r="A26" s="86"/>
      <c r="B26" s="88"/>
      <c r="C26" s="86"/>
      <c r="S26" s="83"/>
      <c r="T26" s="44">
        <v>2</v>
      </c>
      <c r="U26" s="83" t="s">
        <v>124</v>
      </c>
      <c r="V26" s="87" t="s">
        <v>150</v>
      </c>
      <c r="W26" s="44">
        <v>5</v>
      </c>
      <c r="X26" s="83" t="s">
        <v>102</v>
      </c>
    </row>
    <row r="27" spans="1:24" x14ac:dyDescent="0.25">
      <c r="A27" s="86"/>
      <c r="B27" s="88"/>
      <c r="C27" s="86"/>
      <c r="S27" s="83"/>
      <c r="T27" s="44">
        <v>20</v>
      </c>
      <c r="U27" s="83" t="s">
        <v>125</v>
      </c>
      <c r="V27" s="87" t="s">
        <v>264</v>
      </c>
      <c r="W27" s="44">
        <v>2.44</v>
      </c>
      <c r="X27" s="83" t="s">
        <v>82</v>
      </c>
    </row>
    <row r="28" spans="1:24" x14ac:dyDescent="0.25">
      <c r="A28" s="86"/>
      <c r="B28" s="88"/>
      <c r="V28" s="87" t="s">
        <v>263</v>
      </c>
      <c r="W28" s="44">
        <v>2.44</v>
      </c>
      <c r="X28" s="83" t="s">
        <v>82</v>
      </c>
    </row>
    <row r="29" spans="1:24" x14ac:dyDescent="0.25">
      <c r="V29" s="87" t="s">
        <v>151</v>
      </c>
      <c r="W29" s="44">
        <v>3</v>
      </c>
      <c r="X29" s="82" t="s">
        <v>362</v>
      </c>
    </row>
    <row r="30" spans="1:24" x14ac:dyDescent="0.25">
      <c r="V30" s="87" t="s">
        <v>262</v>
      </c>
      <c r="W30" s="41">
        <v>3</v>
      </c>
      <c r="X30" s="82" t="s">
        <v>363</v>
      </c>
    </row>
    <row r="31" spans="1:24" ht="18" x14ac:dyDescent="0.35">
      <c r="V31" s="83" t="s">
        <v>166</v>
      </c>
      <c r="W31" s="46">
        <v>2.4538000000000002</v>
      </c>
      <c r="X31" s="83"/>
    </row>
    <row r="32" spans="1:24" ht="18" x14ac:dyDescent="0.35">
      <c r="V32" s="83" t="s">
        <v>167</v>
      </c>
      <c r="W32" s="46">
        <v>17.565999999999999</v>
      </c>
    </row>
    <row r="33" spans="4:23" ht="18" x14ac:dyDescent="0.35">
      <c r="V33" s="83" t="s">
        <v>168</v>
      </c>
      <c r="W33" s="46">
        <v>189.04259999999999</v>
      </c>
    </row>
    <row r="35" spans="4:23" x14ac:dyDescent="0.25">
      <c r="D35" s="84"/>
      <c r="E35" s="42"/>
      <c r="F35" s="84"/>
    </row>
    <row r="36" spans="4:23" x14ac:dyDescent="0.25">
      <c r="D36" s="84"/>
      <c r="E36" s="42"/>
      <c r="F36" s="84"/>
    </row>
    <row r="39" spans="4:23" x14ac:dyDescent="0.25">
      <c r="D39" s="84"/>
      <c r="E39" s="42"/>
    </row>
    <row r="40" spans="4:23" x14ac:dyDescent="0.25">
      <c r="F40" s="84"/>
    </row>
    <row r="41" spans="4:23" x14ac:dyDescent="0.25">
      <c r="D41" s="84"/>
      <c r="E41" s="42"/>
      <c r="F41" s="84"/>
    </row>
    <row r="42" spans="4:23" x14ac:dyDescent="0.25">
      <c r="D42" s="84"/>
      <c r="E42" s="42"/>
      <c r="F42" s="84"/>
    </row>
    <row r="74" spans="5:5" x14ac:dyDescent="0.25">
      <c r="E74" s="89"/>
    </row>
    <row r="76" spans="5:5" x14ac:dyDescent="0.25">
      <c r="E76" s="90"/>
    </row>
    <row r="77" spans="5:5" x14ac:dyDescent="0.25">
      <c r="E77" s="90"/>
    </row>
    <row r="78" spans="5:5" x14ac:dyDescent="0.25">
      <c r="E78" s="90"/>
    </row>
  </sheetData>
  <sheetProtection algorithmName="SHA-512" hashValue="K5Ua0oGG/sUjDD3qSgt1OFuCO/7Zem25XvejBtc6X4icv8M4YP/CR6xTRpAMip4cA1CBOrTSOOk/2piL+IuxtA==" saltValue="/510xt8tP/ubZAck3cjToA==" spinCount="100000" sheet="1" formatColumns="0" formatRows="0" autoFilter="0"/>
  <mergeCells count="8">
    <mergeCell ref="S1:U1"/>
    <mergeCell ref="V1:X1"/>
    <mergeCell ref="A1:C1"/>
    <mergeCell ref="D1:F1"/>
    <mergeCell ref="G1:I1"/>
    <mergeCell ref="J1:L1"/>
    <mergeCell ref="M1:O1"/>
    <mergeCell ref="P1:R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theme="9" tint="-0.499984740745262"/>
  </sheetPr>
  <dimension ref="A1:N76"/>
  <sheetViews>
    <sheetView zoomScale="90" zoomScaleNormal="90" workbookViewId="0">
      <pane xSplit="2" ySplit="1" topLeftCell="C2" activePane="bottomRight" state="frozen"/>
      <selection activeCell="AA1390" sqref="AA1390"/>
      <selection pane="topRight" activeCell="AA1390" sqref="AA1390"/>
      <selection pane="bottomLeft" activeCell="AA1390" sqref="AA1390"/>
      <selection pane="bottomRight" activeCell="C2" sqref="C2"/>
    </sheetView>
  </sheetViews>
  <sheetFormatPr defaultColWidth="9.140625" defaultRowHeight="15" x14ac:dyDescent="0.25"/>
  <cols>
    <col min="1" max="1" width="15.42578125" style="3" customWidth="1"/>
    <col min="2" max="2" width="13.28515625" style="3" bestFit="1" customWidth="1"/>
    <col min="3" max="3" width="14.42578125" style="2" bestFit="1" customWidth="1"/>
    <col min="4" max="4" width="14.5703125" style="2" bestFit="1" customWidth="1"/>
    <col min="5" max="5" width="14.28515625" style="2" bestFit="1" customWidth="1"/>
    <col min="6" max="6" width="14.140625" style="2" bestFit="1" customWidth="1"/>
    <col min="7" max="7" width="13.5703125" style="2" bestFit="1" customWidth="1"/>
    <col min="8" max="9" width="15.42578125" style="2" bestFit="1" customWidth="1"/>
    <col min="10" max="10" width="16.42578125" style="2" bestFit="1" customWidth="1"/>
    <col min="11" max="12" width="13.85546875" style="2" bestFit="1" customWidth="1"/>
    <col min="13" max="13" width="14.140625" style="2" bestFit="1" customWidth="1"/>
    <col min="14" max="14" width="13.28515625" style="2" bestFit="1" customWidth="1"/>
    <col min="15" max="16384" width="9.140625" style="2"/>
  </cols>
  <sheetData>
    <row r="1" spans="1:14" x14ac:dyDescent="0.25">
      <c r="A1" s="47" t="s">
        <v>51</v>
      </c>
      <c r="B1" s="47" t="s">
        <v>274</v>
      </c>
      <c r="C1" s="48" t="s">
        <v>364</v>
      </c>
      <c r="D1" s="48" t="s">
        <v>365</v>
      </c>
      <c r="E1" s="48" t="s">
        <v>366</v>
      </c>
      <c r="F1" s="48" t="s">
        <v>367</v>
      </c>
      <c r="G1" s="48" t="s">
        <v>368</v>
      </c>
      <c r="H1" s="48" t="s">
        <v>369</v>
      </c>
      <c r="I1" s="48" t="s">
        <v>370</v>
      </c>
      <c r="J1" s="48" t="s">
        <v>371</v>
      </c>
      <c r="K1" s="48" t="s">
        <v>372</v>
      </c>
      <c r="L1" s="48" t="s">
        <v>373</v>
      </c>
      <c r="M1" s="48" t="s">
        <v>374</v>
      </c>
      <c r="N1" s="48" t="s">
        <v>375</v>
      </c>
    </row>
    <row r="2" spans="1:14" ht="15" customHeight="1" x14ac:dyDescent="0.25">
      <c r="A2" s="49" t="s">
        <v>12</v>
      </c>
      <c r="B2" s="50" t="s">
        <v>289</v>
      </c>
      <c r="C2" s="48">
        <f>IFERROR((TR/(RadSpec!I2*EF_iw*ED_ind*IRS_iw*(1/1000)))*1,".")</f>
        <v>35.445281346920687</v>
      </c>
      <c r="D2" s="48">
        <f>IFERROR(IF(A2="H-3",(TR/(RadSpec!G2*EF_iw*ED_ind*ET_iw_i*(1/24)*IRA_iw*(1/17)*1000))*1,(TR/(RadSpec!G2*EF_iw*ED_ind*ET_iw_i*(1/24)*IRA_iw*(1/PEF_wind)*1000))*1),".")</f>
        <v>380.71543861684188</v>
      </c>
      <c r="E2" s="48">
        <f>IFERROR((TR/(RadSpec!F2*EF_iw*(1/365)*ED_ind*RadSpec!Q2*ET_iw_i*(1/24)*RadSpec!AA2))*1,".")</f>
        <v>10.626584842312749</v>
      </c>
      <c r="F2" s="48">
        <f t="shared" ref="F2" si="0">(IF(AND(ISNUMBER(C2),ISNUMBER(D2),ISNUMBER(E2)),1/((1/C2)+(1/D2)+(1/E2)),IF(AND(ISNUMBER(C2),ISNUMBER(D2),NOT(ISNUMBER(E2))), 1/((1/C2)+(1/D2)),IF(AND(ISNUMBER(C2),NOT(ISNUMBER(D2)),ISNUMBER(E2)),1/((1/C2)+(1/E2)),IF(AND(NOT(ISNUMBER(C2)),ISNUMBER(D2),ISNUMBER(E2)),1/((1/D2)+(1/E2)),IF(AND(ISNUMBER(C2),NOT(ISNUMBER(D2)),NOT(ISNUMBER(E2))),1/((1/C2)),IF(AND(NOT(ISNUMBER(C2)),NOT(ISNUMBER(D2)),ISNUMBER(E2)),1/((1/E2)),IF(AND(NOT(ISNUMBER(C2)),ISNUMBER(D2),NOT(ISNUMBER(E2))),1/((1/D2)),IF(AND(NOT(ISNUMBER(C2)),NOT(ISNUMBER(D2)),NOT(ISNUMBER(E2))),".")))))))))</f>
        <v>8.0036660563238122</v>
      </c>
      <c r="G2" s="48">
        <f>IFERROR((TR/(RadSpec!F2*EF_iw*(1/365)*ED_ind*RadSpec!Q2*ET_iw_i*(1/24)*RadSpec!AA2))*1,".")</f>
        <v>10.626584842312749</v>
      </c>
      <c r="H2" s="48">
        <f>IFERROR((TR/(RadSpec!M2*EF_iw*(1/365)*ED_ind*RadSpec!W2*ET_iw_i*(1/24)*RadSpec!AB2))*1,".")</f>
        <v>37.936735935845476</v>
      </c>
      <c r="I2" s="48">
        <f>IFERROR((TR/(RadSpec!N2*EF_iw*(1/365)*ED_ind*RadSpec!X2*ET_iw_i*(1/24)*RadSpec!AC2))*1,".")</f>
        <v>14.653064255220313</v>
      </c>
      <c r="J2" s="48">
        <f>IFERROR((TR/(RadSpec!O2*EF_iw*(1/365)*ED_ind*RadSpec!Y2*ET_iw_i*(1/24)*RadSpec!AD2))*1,".")</f>
        <v>10.904605957373255</v>
      </c>
      <c r="K2" s="48">
        <f>IFERROR((TR/(RadSpec!K2*EF_iw*(1/365)*ED_ind*RadSpec!U2*ET_iw_i*(1/24)*RadSpec!Z2))*1,".")</f>
        <v>36.419266498411645</v>
      </c>
      <c r="L2" s="48">
        <f>IFERROR(TR/(RadSpec!G2*EF_iw*ED_ind*ET_iw_i*(1/24)*IRA_iw),".")</f>
        <v>2.8007281893292258E-4</v>
      </c>
      <c r="M2" s="48">
        <f>IFERROR(TR/(RadSpec!J2*EF_iw*(1/365)*ED_ind*ET_iw_i*(1/24)*GSF_a),".")</f>
        <v>3402.4348746815417</v>
      </c>
      <c r="N2" s="48">
        <f t="shared" ref="N2" si="1">IFERROR(IF(AND(ISNUMBER(L2),ISNUMBER(M2)),1/((1/L2)+(1/M2)),IF(AND(ISNUMBER(L2),NOT(ISNUMBER(M2))),1/((1/L2)),IF(AND(NOT(ISNUMBER(L2)),ISNUMBER(M2)),1/((1/M2)),IF(AND(NOT(ISNUMBER(L2)),NOT(ISNUMBER(M2))),".")))),".")</f>
        <v>2.800727958786158E-4</v>
      </c>
    </row>
    <row r="3" spans="1:14" x14ac:dyDescent="0.25">
      <c r="A3" s="51" t="s">
        <v>13</v>
      </c>
      <c r="B3" s="50" t="s">
        <v>275</v>
      </c>
      <c r="C3" s="48">
        <f>IFERROR((TR/(RadSpec!I3*EF_iw*ED_ind*IRS_iw*(1/1000)))*1,".")</f>
        <v>35.157108327840035</v>
      </c>
      <c r="D3" s="48">
        <f>IFERROR(IF(A3="H-3",(TR/(RadSpec!G3*EF_iw*ED_ind*ET_iw_i*(1/24)*IRA_iw*(1/17)*1000))*1,(TR/(RadSpec!G3*EF_iw*ED_ind*ET_iw_i*(1/24)*IRA_iw*(1/PEF_wind)*1000))*1),".")</f>
        <v>288.14933197274695</v>
      </c>
      <c r="E3" s="48">
        <f>IFERROR((TR/(RadSpec!F3*EF_iw*(1/365)*ED_ind*RadSpec!Q3*ET_iw_i*(1/24)*RadSpec!AA3))*1,".")</f>
        <v>15.827782486651477</v>
      </c>
      <c r="F3" s="48">
        <f>(IF(AND(ISNUMBER(C3),ISNUMBER(D3),ISNUMBER(E3)),1/((1/C3)+(1/D3)+(1/E3)),IF(AND(ISNUMBER(C3),ISNUMBER(D3),NOT(ISNUMBER(E3))), 1/((1/C3)+(1/D3)),IF(AND(ISNUMBER(C3),NOT(ISNUMBER(D3)),ISNUMBER(E3)),1/((1/C3)+(1/E3)),IF(AND(NOT(ISNUMBER(C3)),ISNUMBER(D3),ISNUMBER(E3)),1/((1/D3)+(1/E3)),IF(AND(ISNUMBER(C3),NOT(ISNUMBER(D3)),NOT(ISNUMBER(E3))),1/((1/C3)),IF(AND(NOT(ISNUMBER(C3)),NOT(ISNUMBER(D3)),ISNUMBER(E3)),1/((1/E3)),IF(AND(NOT(ISNUMBER(C3)),ISNUMBER(D3),NOT(ISNUMBER(E3))),1/((1/D3)),IF(AND(NOT(ISNUMBER(C3)),NOT(ISNUMBER(D3)),NOT(ISNUMBER(E3))),".")))))))))</f>
        <v>10.515886560049738</v>
      </c>
      <c r="G3" s="48">
        <f>IFERROR((TR/(RadSpec!F3*EF_iw*(1/365)*ED_ind*RadSpec!Q3*ET_iw_i*(1/24)*RadSpec!AA3))*1,".")</f>
        <v>15.827782486651477</v>
      </c>
      <c r="H3" s="48">
        <f>IFERROR((TR/(RadSpec!M3*EF_iw*(1/365)*ED_ind*RadSpec!W3*ET_iw_i*(1/24)*RadSpec!AB3))*1,".")</f>
        <v>31.843671046998299</v>
      </c>
      <c r="I3" s="48">
        <f>IFERROR((TR/(RadSpec!N3*EF_iw*(1/365)*ED_ind*RadSpec!X3*ET_iw_i*(1/24)*RadSpec!AC3))*1,".")</f>
        <v>16.989060006052533</v>
      </c>
      <c r="J3" s="48">
        <f>IFERROR((TR/(RadSpec!O3*EF_iw*(1/365)*ED_ind*RadSpec!Y3*ET_iw_i*(1/24)*RadSpec!AD3))*1,".")</f>
        <v>15.827782486651477</v>
      </c>
      <c r="K3" s="48">
        <f>IFERROR((TR/(RadSpec!K3*EF_iw*(1/365)*ED_ind*RadSpec!U3*ET_iw_i*(1/24)*RadSpec!Z3))*1,".")</f>
        <v>23.444902808352499</v>
      </c>
      <c r="L3" s="48">
        <f>IFERROR(TR/(RadSpec!G3*EF_iw*ED_ind*ET_iw_i*(1/24)*IRA_iw),".")</f>
        <v>2.1197668256491784E-4</v>
      </c>
      <c r="M3" s="48">
        <f>IFERROR(TR/(RadSpec!J3*EF_iw*(1/365)*ED_ind*ET_iw_i*(1/24)*GSF_a),".")</f>
        <v>3019.0619310554525</v>
      </c>
      <c r="N3" s="48">
        <f t="shared" ref="N3" si="2">IFERROR(IF(AND(ISNUMBER(L3),ISNUMBER(M3)),1/((1/L3)+(1/M3)),IF(AND(ISNUMBER(L3),NOT(ISNUMBER(M3))),1/((1/L3)),IF(AND(NOT(ISNUMBER(L3)),ISNUMBER(M3)),1/((1/M3)),IF(AND(NOT(ISNUMBER(L3)),NOT(ISNUMBER(M3))),".")))),".")</f>
        <v>2.1197666768145014E-4</v>
      </c>
    </row>
    <row r="4" spans="1:14" ht="15" customHeight="1" x14ac:dyDescent="0.25">
      <c r="A4" s="49" t="s">
        <v>14</v>
      </c>
      <c r="B4" s="50" t="s">
        <v>289</v>
      </c>
      <c r="C4" s="48" t="str">
        <f>IFERROR((TR/(RadSpec!I4*EF_iw*ED_ind*IRS_iw*(1/1000)))*1,".")</f>
        <v>.</v>
      </c>
      <c r="D4" s="48" t="str">
        <f>IFERROR(IF(A4="H-3",(TR/(RadSpec!G4*EF_iw*ED_ind*ET_iw_i*(1/24)*IRA_iw*(1/17)*1000))*1,(TR/(RadSpec!G4*EF_iw*ED_ind*ET_iw_i*(1/24)*IRA_iw*(1/PEF_wind)*1000))*1),".")</f>
        <v>.</v>
      </c>
      <c r="E4" s="48">
        <f>IFERROR((TR/(RadSpec!F4*EF_iw*(1/365)*ED_ind*RadSpec!Q4*ET_iw_i*(1/24)*RadSpec!AA4))*1,".")</f>
        <v>467.7287343312218</v>
      </c>
      <c r="F4" s="48">
        <f t="shared" ref="F4:F5" si="3">(IF(AND(ISNUMBER(C4),ISNUMBER(D4),ISNUMBER(E4)),1/((1/C4)+(1/D4)+(1/E4)),IF(AND(ISNUMBER(C4),ISNUMBER(D4),NOT(ISNUMBER(E4))), 1/((1/C4)+(1/D4)),IF(AND(ISNUMBER(C4),NOT(ISNUMBER(D4)),ISNUMBER(E4)),1/((1/C4)+(1/E4)),IF(AND(NOT(ISNUMBER(C4)),ISNUMBER(D4),ISNUMBER(E4)),1/((1/D4)+(1/E4)),IF(AND(ISNUMBER(C4),NOT(ISNUMBER(D4)),NOT(ISNUMBER(E4))),1/((1/C4)),IF(AND(NOT(ISNUMBER(C4)),NOT(ISNUMBER(D4)),ISNUMBER(E4)),1/((1/E4)),IF(AND(NOT(ISNUMBER(C4)),ISNUMBER(D4),NOT(ISNUMBER(E4))),1/((1/D4)),IF(AND(NOT(ISNUMBER(C4)),NOT(ISNUMBER(D4)),NOT(ISNUMBER(E4))),".")))))))))</f>
        <v>467.7287343312218</v>
      </c>
      <c r="G4" s="48">
        <f>IFERROR((TR/(RadSpec!F4*EF_iw*(1/365)*ED_ind*RadSpec!Q4*ET_iw_i*(1/24)*RadSpec!AA4))*1,".")</f>
        <v>467.7287343312218</v>
      </c>
      <c r="H4" s="48">
        <f>IFERROR((TR/(RadSpec!M4*EF_iw*(1/365)*ED_ind*RadSpec!W4*ET_iw_i*(1/24)*RadSpec!AB4))*1,".")</f>
        <v>2021.1123110648705</v>
      </c>
      <c r="I4" s="48">
        <f>IFERROR((TR/(RadSpec!N4*EF_iw*(1/365)*ED_ind*RadSpec!X4*ET_iw_i*(1/24)*RadSpec!AC4))*1,".")</f>
        <v>732.65321276101554</v>
      </c>
      <c r="J4" s="48">
        <f>IFERROR((TR/(RadSpec!O4*EF_iw*(1/365)*ED_ind*RadSpec!Y4*ET_iw_i*(1/24)*RadSpec!AD4))*1,".")</f>
        <v>498.82771932664889</v>
      </c>
      <c r="K4" s="48">
        <f>IFERROR((TR/(RadSpec!K4*EF_iw*(1/365)*ED_ind*RadSpec!U4*ET_iw_i*(1/24)*RadSpec!Z4))*1,".")</f>
        <v>2061.0903567782416</v>
      </c>
      <c r="L4" s="48" t="str">
        <f>IFERROR(TR/(RadSpec!G4*EF_iw*ED_ind*ET_iw_i*(1/24)*IRA_iw),".")</f>
        <v>.</v>
      </c>
      <c r="M4" s="48">
        <f>IFERROR(TR/(RadSpec!J4*EF_iw*(1/365)*ED_ind*ET_iw_i*(1/24)*GSF_a),".")</f>
        <v>179482.50953762681</v>
      </c>
      <c r="N4" s="48">
        <f t="shared" ref="N4:N5" si="4">IFERROR(IF(AND(ISNUMBER(L4),ISNUMBER(M4)),1/((1/L4)+(1/M4)),IF(AND(ISNUMBER(L4),NOT(ISNUMBER(M4))),1/((1/L4)),IF(AND(NOT(ISNUMBER(L4)),ISNUMBER(M4)),1/((1/M4)),IF(AND(NOT(ISNUMBER(L4)),NOT(ISNUMBER(M4))),".")))),".")</f>
        <v>179482.50953762681</v>
      </c>
    </row>
    <row r="5" spans="1:14" ht="15" customHeight="1" x14ac:dyDescent="0.25">
      <c r="A5" s="49" t="s">
        <v>15</v>
      </c>
      <c r="B5" s="50" t="s">
        <v>289</v>
      </c>
      <c r="C5" s="48" t="str">
        <f>IFERROR((TR/(RadSpec!I5*EF_iw*ED_ind*IRS_iw*(1/1000)))*1,".")</f>
        <v>.</v>
      </c>
      <c r="D5" s="48" t="str">
        <f>IFERROR(IF(A5="H-3",(TR/(RadSpec!G5*EF_iw*ED_ind*ET_iw_i*(1/24)*IRA_iw*(1/17)*1000))*1,(TR/(RadSpec!G5*EF_iw*ED_ind*ET_iw_i*(1/24)*IRA_iw*(1/PEF_wind)*1000))*1),".")</f>
        <v>.</v>
      </c>
      <c r="E5" s="48">
        <f>IFERROR((TR/(RadSpec!F5*EF_iw*(1/365)*ED_ind*RadSpec!Q5*ET_iw_i*(1/24)*RadSpec!AA5))*1,".")</f>
        <v>17736.096687169735</v>
      </c>
      <c r="F5" s="48">
        <f t="shared" si="3"/>
        <v>17736.096687169735</v>
      </c>
      <c r="G5" s="48">
        <f>IFERROR((TR/(RadSpec!F5*EF_iw*(1/365)*ED_ind*RadSpec!Q5*ET_iw_i*(1/24)*RadSpec!AA5))*1,".")</f>
        <v>17736.096687169735</v>
      </c>
      <c r="H5" s="48">
        <f>IFERROR((TR/(RadSpec!M5*EF_iw*(1/365)*ED_ind*RadSpec!W5*ET_iw_i*(1/24)*RadSpec!AB5))*1,".")</f>
        <v>52215.819172277275</v>
      </c>
      <c r="I5" s="48">
        <f>IFERROR((TR/(RadSpec!N5*EF_iw*(1/365)*ED_ind*RadSpec!X5*ET_iw_i*(1/24)*RadSpec!AC5))*1,".")</f>
        <v>23756.709622143127</v>
      </c>
      <c r="J5" s="48">
        <f>IFERROR((TR/(RadSpec!O5*EF_iw*(1/365)*ED_ind*RadSpec!Y5*ET_iw_i*(1/24)*RadSpec!AD5))*1,".")</f>
        <v>17128.696115691317</v>
      </c>
      <c r="K5" s="48">
        <f>IFERROR((TR/(RadSpec!K5*EF_iw*(1/365)*ED_ind*RadSpec!U5*ET_iw_i*(1/24)*RadSpec!Z5))*1,".")</f>
        <v>21936.751165709942</v>
      </c>
      <c r="L5" s="48" t="str">
        <f>IFERROR(TR/(RadSpec!G5*EF_iw*ED_ind*ET_iw_i*(1/24)*IRA_iw),".")</f>
        <v>.</v>
      </c>
      <c r="M5" s="48">
        <f>IFERROR(TR/(RadSpec!J5*EF_iw*(1/365)*ED_ind*ET_iw_i*(1/24)*GSF_a),".")</f>
        <v>5683612.8020248478</v>
      </c>
      <c r="N5" s="48">
        <f t="shared" si="4"/>
        <v>5683612.8020248478</v>
      </c>
    </row>
    <row r="6" spans="1:14" ht="15" customHeight="1" x14ac:dyDescent="0.25">
      <c r="A6" s="49" t="s">
        <v>16</v>
      </c>
      <c r="B6" s="50" t="s">
        <v>289</v>
      </c>
      <c r="C6" s="48" t="str">
        <f>IFERROR((TR/(RadSpec!I6*EF_iw*ED_ind*IRS_iw*(1/1000)))*1,".")</f>
        <v>.</v>
      </c>
      <c r="D6" s="48" t="str">
        <f>IFERROR(IF(A6="H-3",(TR/(RadSpec!G6*EF_iw*ED_ind*ET_iw_i*(1/24)*IRA_iw*(1/17)*1000))*1,(TR/(RadSpec!G6*EF_iw*ED_ind*ET_iw_i*(1/24)*IRA_iw*(1/PEF_wind)*1000))*1),".")</f>
        <v>.</v>
      </c>
      <c r="E6" s="48">
        <f>IFERROR((TR/(RadSpec!F6*EF_iw*(1/365)*ED_ind*RadSpec!Q6*ET_iw_i*(1/24)*RadSpec!AA6))*1,".")</f>
        <v>0.16309497605810436</v>
      </c>
      <c r="F6" s="48">
        <f t="shared" ref="F6:F9" si="5">(IF(AND(ISNUMBER(C6),ISNUMBER(D6),ISNUMBER(E6)),1/((1/C6)+(1/D6)+(1/E6)),IF(AND(ISNUMBER(C6),ISNUMBER(D6),NOT(ISNUMBER(E6))), 1/((1/C6)+(1/D6)),IF(AND(ISNUMBER(C6),NOT(ISNUMBER(D6)),ISNUMBER(E6)),1/((1/C6)+(1/E6)),IF(AND(NOT(ISNUMBER(C6)),ISNUMBER(D6),ISNUMBER(E6)),1/((1/D6)+(1/E6)),IF(AND(ISNUMBER(C6),NOT(ISNUMBER(D6)),NOT(ISNUMBER(E6))),1/((1/C6)),IF(AND(NOT(ISNUMBER(C6)),NOT(ISNUMBER(D6)),ISNUMBER(E6)),1/((1/E6)),IF(AND(NOT(ISNUMBER(C6)),ISNUMBER(D6),NOT(ISNUMBER(E6))),1/((1/D6)),IF(AND(NOT(ISNUMBER(C6)),NOT(ISNUMBER(D6)),NOT(ISNUMBER(E6))),".")))))))))</f>
        <v>0.16309497605810436</v>
      </c>
      <c r="G6" s="48">
        <f>IFERROR((TR/(RadSpec!F6*EF_iw*(1/365)*ED_ind*RadSpec!Q6*ET_iw_i*(1/24)*RadSpec!AA6))*1,".")</f>
        <v>0.16309497605810436</v>
      </c>
      <c r="H6" s="48">
        <f>IFERROR((TR/(RadSpec!M6*EF_iw*(1/365)*ED_ind*RadSpec!W6*ET_iw_i*(1/24)*RadSpec!AB6))*1,".")</f>
        <v>0.80016733134308871</v>
      </c>
      <c r="I6" s="48">
        <f>IFERROR((TR/(RadSpec!N6*EF_iw*(1/365)*ED_ind*RadSpec!X6*ET_iw_i*(1/24)*RadSpec!AC6))*1,".")</f>
        <v>0.28375071477582448</v>
      </c>
      <c r="J6" s="48">
        <f>IFERROR((TR/(RadSpec!O6*EF_iw*(1/365)*ED_ind*RadSpec!Y6*ET_iw_i*(1/24)*RadSpec!AD6))*1,".")</f>
        <v>0.18298460728470242</v>
      </c>
      <c r="K6" s="48">
        <f>IFERROR((TR/(RadSpec!K6*EF_iw*(1/365)*ED_ind*RadSpec!U6*ET_iw_i*(1/24)*RadSpec!Z6))*1,".")</f>
        <v>0.81725151401664486</v>
      </c>
      <c r="L6" s="48" t="str">
        <f>IFERROR(TR/(RadSpec!G6*EF_iw*ED_ind*ET_iw_i*(1/24)*IRA_iw),".")</f>
        <v>.</v>
      </c>
      <c r="M6" s="48">
        <f>IFERROR(TR/(RadSpec!J6*EF_iw*(1/365)*ED_ind*ET_iw_i*(1/24)*GSF_a),".")</f>
        <v>69.466378691414818</v>
      </c>
      <c r="N6" s="48">
        <f t="shared" ref="N6:N9" si="6">IFERROR(IF(AND(ISNUMBER(L6),ISNUMBER(M6)),1/((1/L6)+(1/M6)),IF(AND(ISNUMBER(L6),NOT(ISNUMBER(M6))),1/((1/L6)),IF(AND(NOT(ISNUMBER(L6)),ISNUMBER(M6)),1/((1/M6)),IF(AND(NOT(ISNUMBER(L6)),NOT(ISNUMBER(M6))),".")))),".")</f>
        <v>69.466378691414818</v>
      </c>
    </row>
    <row r="7" spans="1:14" ht="15" customHeight="1" x14ac:dyDescent="0.25">
      <c r="A7" s="49" t="s">
        <v>17</v>
      </c>
      <c r="B7" s="50" t="s">
        <v>289</v>
      </c>
      <c r="C7" s="48">
        <f>IFERROR((TR/(RadSpec!I7*EF_iw*ED_ind*IRS_iw*(1/1000)))*1,".")</f>
        <v>856.30184640085633</v>
      </c>
      <c r="D7" s="48">
        <f>IFERROR(IF(A7="H-3",(TR/(RadSpec!G7*EF_iw*ED_ind*ET_iw_i*(1/24)*IRA_iw*(1/17)*1000))*1,(TR/(RadSpec!G7*EF_iw*ED_ind*ET_iw_i*(1/24)*IRA_iw*(1/PEF_wind)*1000))*1),".")</f>
        <v>23895.31045627658</v>
      </c>
      <c r="E7" s="48">
        <f>IFERROR((TR/(RadSpec!F7*EF_iw*(1/365)*ED_ind*RadSpec!Q7*ET_iw_i*(1/24)*RadSpec!AA7))*1,".")</f>
        <v>158.27782486651475</v>
      </c>
      <c r="F7" s="48">
        <f t="shared" si="5"/>
        <v>132.84329824716289</v>
      </c>
      <c r="G7" s="48">
        <f>IFERROR((TR/(RadSpec!F7*EF_iw*(1/365)*ED_ind*RadSpec!Q7*ET_iw_i*(1/24)*RadSpec!AA7))*1,".")</f>
        <v>158.27782486651475</v>
      </c>
      <c r="H7" s="48">
        <f>IFERROR((TR/(RadSpec!M7*EF_iw*(1/365)*ED_ind*RadSpec!W7*ET_iw_i*(1/24)*RadSpec!AB7))*1,".")</f>
        <v>458.80436024173196</v>
      </c>
      <c r="I7" s="48">
        <f>IFERROR((TR/(RadSpec!N7*EF_iw*(1/365)*ED_ind*RadSpec!X7*ET_iw_i*(1/24)*RadSpec!AC7))*1,".")</f>
        <v>213.13548007593181</v>
      </c>
      <c r="J7" s="48">
        <f>IFERROR((TR/(RadSpec!O7*EF_iw*(1/365)*ED_ind*RadSpec!Y7*ET_iw_i*(1/24)*RadSpec!AD7))*1,".")</f>
        <v>163.09497605810438</v>
      </c>
      <c r="K7" s="48">
        <f>IFERROR((TR/(RadSpec!K7*EF_iw*(1/365)*ED_ind*RadSpec!U7*ET_iw_i*(1/24)*RadSpec!Z7))*1,".")</f>
        <v>90.827710637685215</v>
      </c>
      <c r="L7" s="48">
        <f>IFERROR(TR/(RadSpec!G7*EF_iw*ED_ind*ET_iw_i*(1/24)*IRA_iw),".")</f>
        <v>1.757855416392002E-2</v>
      </c>
      <c r="M7" s="48">
        <f>IFERROR(TR/(RadSpec!J7*EF_iw*(1/365)*ED_ind*ET_iw_i*(1/24)*GSF_a),".")</f>
        <v>33123.04149524415</v>
      </c>
      <c r="N7" s="48">
        <f t="shared" si="6"/>
        <v>1.7578544834903464E-2</v>
      </c>
    </row>
    <row r="8" spans="1:14" ht="15" customHeight="1" x14ac:dyDescent="0.25">
      <c r="A8" s="49" t="s">
        <v>18</v>
      </c>
      <c r="B8" s="50" t="s">
        <v>289</v>
      </c>
      <c r="C8" s="48">
        <f>IFERROR((TR/(RadSpec!I8*EF_iw*ED_ind*IRS_iw*(1/1000)))*1,".")</f>
        <v>10091.772052098771</v>
      </c>
      <c r="D8" s="48">
        <f>IFERROR(IF(A8="H-3",(TR/(RadSpec!G8*EF_iw*ED_ind*ET_iw_i*(1/24)*IRA_iw*(1/17)*1000))*1,(TR/(RadSpec!G8*EF_iw*ED_ind*ET_iw_i*(1/24)*IRA_iw*(1/PEF_wind)*1000))*1),".")</f>
        <v>146956.15930610095</v>
      </c>
      <c r="E8" s="48">
        <f>IFERROR((TR/(RadSpec!F8*EF_iw*(1/365)*ED_ind*RadSpec!Q8*ET_iw_i*(1/24)*RadSpec!AA8))*1,".")</f>
        <v>0.80670633319062346</v>
      </c>
      <c r="F8" s="48">
        <f t="shared" si="5"/>
        <v>0.80663742500277136</v>
      </c>
      <c r="G8" s="48">
        <f>IFERROR((TR/(RadSpec!F8*EF_iw*(1/365)*ED_ind*RadSpec!Q8*ET_iw_i*(1/24)*RadSpec!AA8))*1,".")</f>
        <v>0.80670633319062346</v>
      </c>
      <c r="H8" s="48">
        <f>IFERROR((TR/(RadSpec!M8*EF_iw*(1/365)*ED_ind*RadSpec!W8*ET_iw_i*(1/24)*RadSpec!AB8))*1,".")</f>
        <v>3.7214131441829359</v>
      </c>
      <c r="I8" s="48">
        <f>IFERROR((TR/(RadSpec!N8*EF_iw*(1/365)*ED_ind*RadSpec!X8*ET_iw_i*(1/24)*RadSpec!AC8))*1,".")</f>
        <v>1.3320967504745738</v>
      </c>
      <c r="J8" s="48">
        <f>IFERROR((TR/(RadSpec!O8*EF_iw*(1/365)*ED_ind*RadSpec!Y8*ET_iw_i*(1/24)*RadSpec!AD8))*1,".")</f>
        <v>0.88055972989117337</v>
      </c>
      <c r="K8" s="48">
        <f>IFERROR((TR/(RadSpec!K8*EF_iw*(1/365)*ED_ind*RadSpec!U8*ET_iw_i*(1/24)*RadSpec!Z8))*1,".")</f>
        <v>3.6419266498411647</v>
      </c>
      <c r="L8" s="48">
        <f>IFERROR(TR/(RadSpec!G8*EF_iw*ED_ind*ET_iw_i*(1/24)*IRA_iw),".")</f>
        <v>0.10810810810810811</v>
      </c>
      <c r="M8" s="48">
        <f>IFERROR(TR/(RadSpec!J8*EF_iw*(1/365)*ED_ind*ET_iw_i*(1/24)*GSF_a),".")</f>
        <v>329.05126748564919</v>
      </c>
      <c r="N8" s="48">
        <f t="shared" si="6"/>
        <v>0.10807260140860234</v>
      </c>
    </row>
    <row r="9" spans="1:14" ht="15" customHeight="1" x14ac:dyDescent="0.25">
      <c r="A9" s="49" t="s">
        <v>19</v>
      </c>
      <c r="B9" s="50" t="s">
        <v>289</v>
      </c>
      <c r="C9" s="48">
        <f>IFERROR((TR/(RadSpec!I9*EF_iw*ED_ind*IRS_iw*(1/1000)))*1,".")</f>
        <v>21730.272986554395</v>
      </c>
      <c r="D9" s="48">
        <f>IFERROR(IF(A9="H-3",(TR/(RadSpec!G9*EF_iw*ED_ind*ET_iw_i*(1/24)*IRA_iw*(1/17)*1000))*1,(TR/(RadSpec!G9*EF_iw*ED_ind*ET_iw_i*(1/24)*IRA_iw*(1/PEF_wind)*1000))*1),".")</f>
        <v>175966.92214646391</v>
      </c>
      <c r="E9" s="48">
        <f>IFERROR((TR/(RadSpec!F9*EF_iw*(1/365)*ED_ind*RadSpec!Q9*ET_iw_i*(1/24)*RadSpec!AA9))*1,".")</f>
        <v>5.9637272644457853E-2</v>
      </c>
      <c r="F9" s="48">
        <f t="shared" si="5"/>
        <v>5.9637088762763656E-2</v>
      </c>
      <c r="G9" s="48">
        <f>IFERROR((TR/(RadSpec!F9*EF_iw*(1/365)*ED_ind*RadSpec!Q9*ET_iw_i*(1/24)*RadSpec!AA9))*1,".")</f>
        <v>5.9637272644457853E-2</v>
      </c>
      <c r="H9" s="48">
        <f>IFERROR((TR/(RadSpec!M9*EF_iw*(1/365)*ED_ind*RadSpec!W9*ET_iw_i*(1/24)*RadSpec!AB9))*1,".")</f>
        <v>0.3302098987091901</v>
      </c>
      <c r="I9" s="48">
        <f>IFERROR((TR/(RadSpec!N9*EF_iw*(1/365)*ED_ind*RadSpec!X9*ET_iw_i*(1/24)*RadSpec!AC9))*1,".")</f>
        <v>0.11492599415859069</v>
      </c>
      <c r="J9" s="48">
        <f>IFERROR((TR/(RadSpec!O9*EF_iw*(1/365)*ED_ind*RadSpec!Y9*ET_iw_i*(1/24)*RadSpec!AD9))*1,".")</f>
        <v>7.1315293713619776E-2</v>
      </c>
      <c r="K9" s="48">
        <f>IFERROR((TR/(RadSpec!K9*EF_iw*(1/365)*ED_ind*RadSpec!U9*ET_iw_i*(1/24)*RadSpec!Z9))*1,".")</f>
        <v>0.34101676812149084</v>
      </c>
      <c r="L9" s="48">
        <f>IFERROR(TR/(RadSpec!G9*EF_iw*ED_ind*ET_iw_i*(1/24)*IRA_iw),".")</f>
        <v>0.12944983818770225</v>
      </c>
      <c r="M9" s="48">
        <f>IFERROR(TR/(RadSpec!J9*EF_iw*(1/365)*ED_ind*ET_iw_i*(1/24)*GSF_a),".")</f>
        <v>26.186278878439094</v>
      </c>
      <c r="N9" s="48">
        <f t="shared" si="6"/>
        <v>0.12881306081447169</v>
      </c>
    </row>
    <row r="10" spans="1:14" ht="15" customHeight="1" x14ac:dyDescent="0.25">
      <c r="A10" s="51" t="s">
        <v>20</v>
      </c>
      <c r="B10" s="50" t="s">
        <v>275</v>
      </c>
      <c r="C10" s="48">
        <f>IFERROR((TR/(RadSpec!I10*EF_iw*ED_ind*IRS_iw*(1/1000)))*1,".")</f>
        <v>100.6827549318818</v>
      </c>
      <c r="D10" s="48">
        <f>IFERROR(IF(A10="H-3",(TR/(RadSpec!G10*EF_iw*ED_ind*ET_iw_i*(1/24)*IRA_iw*(1/17)*1000))*1,(TR/(RadSpec!G10*EF_iw*ED_ind*ET_iw_i*(1/24)*IRA_iw*(1/PEF_wind)*1000))*1),".")</f>
        <v>96681.683754013779</v>
      </c>
      <c r="E10" s="48">
        <f>IFERROR((TR/(RadSpec!F10*EF_iw*(1/365)*ED_ind*RadSpec!Q10*ET_iw_i*(1/24)*RadSpec!AA10))*1,".")</f>
        <v>793.06225144532766</v>
      </c>
      <c r="F10" s="48">
        <f t="shared" ref="F10" si="7">(IF(AND(ISNUMBER(C10),ISNUMBER(D10),ISNUMBER(E10)),1/((1/C10)+(1/D10)+(1/E10)),IF(AND(ISNUMBER(C10),ISNUMBER(D10),NOT(ISNUMBER(E10))), 1/((1/C10)+(1/D10)),IF(AND(ISNUMBER(C10),NOT(ISNUMBER(D10)),ISNUMBER(E10)),1/((1/C10)+(1/E10)),IF(AND(NOT(ISNUMBER(C10)),ISNUMBER(D10),ISNUMBER(E10)),1/((1/D10)+(1/E10)),IF(AND(ISNUMBER(C10),NOT(ISNUMBER(D10)),NOT(ISNUMBER(E10))),1/((1/C10)),IF(AND(NOT(ISNUMBER(C10)),NOT(ISNUMBER(D10)),ISNUMBER(E10)),1/((1/E10)),IF(AND(NOT(ISNUMBER(C10)),ISNUMBER(D10),NOT(ISNUMBER(E10))),1/((1/D10)),IF(AND(NOT(ISNUMBER(C10)),NOT(ISNUMBER(D10)),NOT(ISNUMBER(E10))),".")))))))))</f>
        <v>89.258093816554407</v>
      </c>
      <c r="G10" s="48">
        <f>IFERROR((TR/(RadSpec!F10*EF_iw*(1/365)*ED_ind*RadSpec!Q10*ET_iw_i*(1/24)*RadSpec!AA10))*1,".")</f>
        <v>793.06225144532766</v>
      </c>
      <c r="H10" s="48">
        <f>IFERROR((TR/(RadSpec!M10*EF_iw*(1/365)*ED_ind*RadSpec!W10*ET_iw_i*(1/24)*RadSpec!AB10))*1,".")</f>
        <v>2276.2041561507281</v>
      </c>
      <c r="I10" s="48">
        <f>IFERROR((TR/(RadSpec!N10*EF_iw*(1/365)*ED_ind*RadSpec!X10*ET_iw_i*(1/24)*RadSpec!AC10))*1,".")</f>
        <v>1032.8151016895376</v>
      </c>
      <c r="J10" s="48">
        <f>IFERROR((TR/(RadSpec!O10*EF_iw*(1/365)*ED_ind*RadSpec!Y10*ET_iw_i*(1/24)*RadSpec!AD10))*1,".")</f>
        <v>808.44492442594833</v>
      </c>
      <c r="K10" s="48">
        <f>IFERROR((TR/(RadSpec!K10*EF_iw*(1/365)*ED_ind*RadSpec!U10*ET_iw_i*(1/24)*RadSpec!Z10))*1,".")</f>
        <v>791.38912433257394</v>
      </c>
      <c r="L10" s="48">
        <f>IFERROR(TR/(RadSpec!G10*EF_iw*ED_ind*ET_iw_i*(1/24)*IRA_iw),".")</f>
        <v>7.1123755334281655E-2</v>
      </c>
      <c r="M10" s="48">
        <f>IFERROR(TR/(RadSpec!J10*EF_iw*(1/365)*ED_ind*ET_iw_i*(1/24)*GSF_a),".")</f>
        <v>107947.75393773813</v>
      </c>
      <c r="N10" s="48">
        <f t="shared" ref="N10" si="8">IFERROR(IF(AND(ISNUMBER(L10),ISNUMBER(M10)),1/((1/L10)+(1/M10)),IF(AND(ISNUMBER(L10),NOT(ISNUMBER(M10))),1/((1/L10)),IF(AND(NOT(ISNUMBER(L10)),ISNUMBER(M10)),1/((1/M10)),IF(AND(NOT(ISNUMBER(L10)),NOT(ISNUMBER(M10))),".")))),".")</f>
        <v>7.1123708472859759E-2</v>
      </c>
    </row>
    <row r="11" spans="1:14" ht="15" customHeight="1" x14ac:dyDescent="0.25">
      <c r="A11" s="49" t="s">
        <v>21</v>
      </c>
      <c r="B11" s="50" t="s">
        <v>289</v>
      </c>
      <c r="C11" s="48" t="str">
        <f>IFERROR((TR/(RadSpec!I11*EF_iw*ED_ind*IRS_iw*(1/1000)))*1,".")</f>
        <v>.</v>
      </c>
      <c r="D11" s="48" t="str">
        <f>IFERROR(IF(A11="H-3",(TR/(RadSpec!G11*EF_iw*ED_ind*ET_iw_i*(1/24)*IRA_iw*(1/17)*1000))*1,(TR/(RadSpec!G11*EF_iw*ED_ind*ET_iw_i*(1/24)*IRA_iw*(1/PEF_wind)*1000))*1),".")</f>
        <v>.</v>
      </c>
      <c r="E11" s="48">
        <f>IFERROR((TR/(RadSpec!F11*EF_iw*(1/365)*ED_ind*RadSpec!Q11*ET_iw_i*(1/24)*RadSpec!AA11))*1,".")</f>
        <v>4.1772655337821822</v>
      </c>
      <c r="F11" s="48">
        <f t="shared" ref="F11" si="9">(IF(AND(ISNUMBER(C11),ISNUMBER(D11),ISNUMBER(E11)),1/((1/C11)+(1/D11)+(1/E11)),IF(AND(ISNUMBER(C11),ISNUMBER(D11),NOT(ISNUMBER(E11))), 1/((1/C11)+(1/D11)),IF(AND(ISNUMBER(C11),NOT(ISNUMBER(D11)),ISNUMBER(E11)),1/((1/C11)+(1/E11)),IF(AND(NOT(ISNUMBER(C11)),ISNUMBER(D11),ISNUMBER(E11)),1/((1/D11)+(1/E11)),IF(AND(ISNUMBER(C11),NOT(ISNUMBER(D11)),NOT(ISNUMBER(E11))),1/((1/C11)),IF(AND(NOT(ISNUMBER(C11)),NOT(ISNUMBER(D11)),ISNUMBER(E11)),1/((1/E11)),IF(AND(NOT(ISNUMBER(C11)),ISNUMBER(D11),NOT(ISNUMBER(E11))),1/((1/D11)),IF(AND(NOT(ISNUMBER(C11)),NOT(ISNUMBER(D11)),NOT(ISNUMBER(E11))),".")))))))))</f>
        <v>4.1772655337821822</v>
      </c>
      <c r="G11" s="48">
        <f>IFERROR((TR/(RadSpec!F11*EF_iw*(1/365)*ED_ind*RadSpec!Q11*ET_iw_i*(1/24)*RadSpec!AA11))*1,".")</f>
        <v>4.1772655337821822</v>
      </c>
      <c r="H11" s="48">
        <f>IFERROR((TR/(RadSpec!M11*EF_iw*(1/365)*ED_ind*RadSpec!W11*ET_iw_i*(1/24)*RadSpec!AB11))*1,".")</f>
        <v>17.113067743322993</v>
      </c>
      <c r="I11" s="48">
        <f>IFERROR((TR/(RadSpec!N11*EF_iw*(1/365)*ED_ind*RadSpec!X11*ET_iw_i*(1/24)*RadSpec!AC11))*1,".")</f>
        <v>6.2023552403048932</v>
      </c>
      <c r="J11" s="48">
        <f>IFERROR((TR/(RadSpec!O11*EF_iw*(1/365)*ED_ind*RadSpec!Y11*ET_iw_i*(1/24)*RadSpec!AD11))*1,".")</f>
        <v>4.3366294211981495</v>
      </c>
      <c r="K11" s="48">
        <f>IFERROR((TR/(RadSpec!K11*EF_iw*(1/365)*ED_ind*RadSpec!U11*ET_iw_i*(1/24)*RadSpec!Z11))*1,".")</f>
        <v>17.366594672853704</v>
      </c>
      <c r="L11" s="48" t="str">
        <f>IFERROR(TR/(RadSpec!G11*EF_iw*ED_ind*ET_iw_i*(1/24)*IRA_iw),".")</f>
        <v>.</v>
      </c>
      <c r="M11" s="48">
        <f>IFERROR(TR/(RadSpec!J11*EF_iw*(1/365)*ED_ind*ET_iw_i*(1/24)*GSF_a),".")</f>
        <v>1520.2368589002633</v>
      </c>
      <c r="N11" s="48">
        <f t="shared" ref="N11" si="10">IFERROR(IF(AND(ISNUMBER(L11),ISNUMBER(M11)),1/((1/L11)+(1/M11)),IF(AND(ISNUMBER(L11),NOT(ISNUMBER(M11))),1/((1/L11)),IF(AND(NOT(ISNUMBER(L11)),ISNUMBER(M11)),1/((1/M11)),IF(AND(NOT(ISNUMBER(L11)),NOT(ISNUMBER(M11))),".")))),".")</f>
        <v>1520.2368589002633</v>
      </c>
    </row>
    <row r="12" spans="1:14" ht="15" customHeight="1" x14ac:dyDescent="0.25">
      <c r="A12" s="49" t="s">
        <v>22</v>
      </c>
      <c r="B12" s="50" t="s">
        <v>289</v>
      </c>
      <c r="C12" s="48" t="str">
        <f>IFERROR((TR/(RadSpec!I12*EF_iw*ED_ind*IRS_iw*(1/1000)))*1,".")</f>
        <v>.</v>
      </c>
      <c r="D12" s="48" t="str">
        <f>IFERROR(IF(A12="H-3",(TR/(RadSpec!G12*EF_iw*ED_ind*ET_iw_i*(1/24)*IRA_iw*(1/17)*1000))*1,(TR/(RadSpec!G12*EF_iw*ED_ind*ET_iw_i*(1/24)*IRA_iw*(1/PEF_wind)*1000))*1),".")</f>
        <v>.</v>
      </c>
      <c r="E12" s="48">
        <f>IFERROR((TR/(RadSpec!F12*EF_iw*(1/365)*ED_ind*RadSpec!Q12*ET_iw_i*(1/24)*RadSpec!AA12))*1,".")</f>
        <v>0.90608320032280187</v>
      </c>
      <c r="F12" s="48">
        <f t="shared" ref="F12" si="11">(IF(AND(ISNUMBER(C12),ISNUMBER(D12),ISNUMBER(E12)),1/((1/C12)+(1/D12)+(1/E12)),IF(AND(ISNUMBER(C12),ISNUMBER(D12),NOT(ISNUMBER(E12))), 1/((1/C12)+(1/D12)),IF(AND(ISNUMBER(C12),NOT(ISNUMBER(D12)),ISNUMBER(E12)),1/((1/C12)+(1/E12)),IF(AND(NOT(ISNUMBER(C12)),ISNUMBER(D12),ISNUMBER(E12)),1/((1/D12)+(1/E12)),IF(AND(ISNUMBER(C12),NOT(ISNUMBER(D12)),NOT(ISNUMBER(E12))),1/((1/C12)),IF(AND(NOT(ISNUMBER(C12)),NOT(ISNUMBER(D12)),ISNUMBER(E12)),1/((1/E12)),IF(AND(NOT(ISNUMBER(C12)),ISNUMBER(D12),NOT(ISNUMBER(E12))),1/((1/D12)),IF(AND(NOT(ISNUMBER(C12)),NOT(ISNUMBER(D12)),NOT(ISNUMBER(E12))),".")))))))))</f>
        <v>0.90608320032280187</v>
      </c>
      <c r="G12" s="48">
        <f>IFERROR((TR/(RadSpec!F12*EF_iw*(1/365)*ED_ind*RadSpec!Q12*ET_iw_i*(1/24)*RadSpec!AA12))*1,".")</f>
        <v>0.90608320032280187</v>
      </c>
      <c r="H12" s="48">
        <f>IFERROR((TR/(RadSpec!M12*EF_iw*(1/365)*ED_ind*RadSpec!W12*ET_iw_i*(1/24)*RadSpec!AB12))*1,".")</f>
        <v>3.9872283687674313</v>
      </c>
      <c r="I12" s="48">
        <f>IFERROR((TR/(RadSpec!N12*EF_iw*(1/365)*ED_ind*RadSpec!X12*ET_iw_i*(1/24)*RadSpec!AC12))*1,".")</f>
        <v>1.4295672444117375</v>
      </c>
      <c r="J12" s="48">
        <f>IFERROR((TR/(RadSpec!O12*EF_iw*(1/365)*ED_ind*RadSpec!Y12*ET_iw_i*(1/24)*RadSpec!AD12))*1,".")</f>
        <v>0.96929830732206723</v>
      </c>
      <c r="K12" s="48">
        <f>IFERROR((TR/(RadSpec!K12*EF_iw*(1/365)*ED_ind*RadSpec!U12*ET_iw_i*(1/24)*RadSpec!Z12))*1,".")</f>
        <v>3.9197329669136884</v>
      </c>
      <c r="L12" s="48" t="str">
        <f>IFERROR(TR/(RadSpec!G12*EF_iw*ED_ind*ET_iw_i*(1/24)*IRA_iw),".")</f>
        <v>.</v>
      </c>
      <c r="M12" s="48">
        <f>IFERROR(TR/(RadSpec!J12*EF_iw*(1/365)*ED_ind*ET_iw_i*(1/24)*GSF_a),".")</f>
        <v>353.0526540551906</v>
      </c>
      <c r="N12" s="48">
        <f t="shared" ref="N12" si="12">IFERROR(IF(AND(ISNUMBER(L12),ISNUMBER(M12)),1/((1/L12)+(1/M12)),IF(AND(ISNUMBER(L12),NOT(ISNUMBER(M12))),1/((1/L12)),IF(AND(NOT(ISNUMBER(L12)),ISNUMBER(M12)),1/((1/M12)),IF(AND(NOT(ISNUMBER(L12)),NOT(ISNUMBER(M12))),".")))),".")</f>
        <v>353.0526540551906</v>
      </c>
    </row>
    <row r="13" spans="1:14" ht="15" customHeight="1" x14ac:dyDescent="0.25">
      <c r="A13" s="49" t="s">
        <v>23</v>
      </c>
      <c r="B13" s="50" t="s">
        <v>289</v>
      </c>
      <c r="C13" s="48">
        <f>IFERROR((TR/(RadSpec!I13*EF_iw*ED_ind*IRS_iw*(1/1000)))*1,".")</f>
        <v>68.09959565865077</v>
      </c>
      <c r="D13" s="48">
        <f>IFERROR(IF(A13="H-3",(TR/(RadSpec!G13*EF_iw*ED_ind*ET_iw_i*(1/24)*IRA_iw*(1/17)*1000))*1,(TR/(RadSpec!G13*EF_iw*ED_ind*ET_iw_i*(1/24)*IRA_iw*(1/PEF_wind)*1000))*1),".")</f>
        <v>379.24170143509923</v>
      </c>
      <c r="E13" s="48">
        <f>IFERROR((TR/(RadSpec!F13*EF_iw*(1/365)*ED_ind*RadSpec!Q13*ET_iw_i*(1/24)*RadSpec!AA13))*1,".")</f>
        <v>8.4676849872153515</v>
      </c>
      <c r="F13" s="48">
        <f t="shared" ref="F13:F14" si="13">(IF(AND(ISNUMBER(C13),ISNUMBER(D13),ISNUMBER(E13)),1/((1/C13)+(1/D13)+(1/E13)),IF(AND(ISNUMBER(C13),ISNUMBER(D13),NOT(ISNUMBER(E13))), 1/((1/C13)+(1/D13)),IF(AND(ISNUMBER(C13),NOT(ISNUMBER(D13)),ISNUMBER(E13)),1/((1/C13)+(1/E13)),IF(AND(NOT(ISNUMBER(C13)),ISNUMBER(D13),ISNUMBER(E13)),1/((1/D13)+(1/E13)),IF(AND(ISNUMBER(C13),NOT(ISNUMBER(D13)),NOT(ISNUMBER(E13))),1/((1/C13)),IF(AND(NOT(ISNUMBER(C13)),NOT(ISNUMBER(D13)),ISNUMBER(E13)),1/((1/E13)),IF(AND(NOT(ISNUMBER(C13)),ISNUMBER(D13),NOT(ISNUMBER(E13))),1/((1/D13)),IF(AND(NOT(ISNUMBER(C13)),NOT(ISNUMBER(D13)),NOT(ISNUMBER(E13))),".")))))))))</f>
        <v>7.3845836749079146</v>
      </c>
      <c r="G13" s="48">
        <f>IFERROR((TR/(RadSpec!F13*EF_iw*(1/365)*ED_ind*RadSpec!Q13*ET_iw_i*(1/24)*RadSpec!AA13))*1,".")</f>
        <v>8.4676849872153515</v>
      </c>
      <c r="H13" s="48">
        <f>IFERROR((TR/(RadSpec!M13*EF_iw*(1/365)*ED_ind*RadSpec!W13*ET_iw_i*(1/24)*RadSpec!AB13))*1,".")</f>
        <v>25.243502350850605</v>
      </c>
      <c r="I13" s="48">
        <f>IFERROR((TR/(RadSpec!N13*EF_iw*(1/365)*ED_ind*RadSpec!X13*ET_iw_i*(1/24)*RadSpec!AC13))*1,".")</f>
        <v>10.608553306946835</v>
      </c>
      <c r="J13" s="48">
        <f>IFERROR((TR/(RadSpec!O13*EF_iw*(1/365)*ED_ind*RadSpec!Y13*ET_iw_i*(1/24)*RadSpec!AD13))*1,".")</f>
        <v>8.506087186703855</v>
      </c>
      <c r="K13" s="48">
        <f>IFERROR((TR/(RadSpec!K13*EF_iw*(1/365)*ED_ind*RadSpec!U13*ET_iw_i*(1/24)*RadSpec!Z13))*1,".")</f>
        <v>20.839913607424439</v>
      </c>
      <c r="L13" s="48">
        <f>IFERROR(TR/(RadSpec!G13*EF_iw*ED_ind*ET_iw_i*(1/24)*IRA_iw),".")</f>
        <v>2.7898866608544026E-4</v>
      </c>
      <c r="M13" s="48">
        <f>IFERROR(TR/(RadSpec!J13*EF_iw*(1/365)*ED_ind*ET_iw_i*(1/24)*GSF_a),".")</f>
        <v>2283.8261487588434</v>
      </c>
      <c r="N13" s="48">
        <f t="shared" ref="N13:N14" si="14">IFERROR(IF(AND(ISNUMBER(L13),ISNUMBER(M13)),1/((1/L13)+(1/M13)),IF(AND(ISNUMBER(L13),NOT(ISNUMBER(M13))),1/((1/L13)),IF(AND(NOT(ISNUMBER(L13)),ISNUMBER(M13)),1/((1/M13)),IF(AND(NOT(ISNUMBER(L13)),NOT(ISNUMBER(M13))),".")))),".")</f>
        <v>2.7898863200462093E-4</v>
      </c>
    </row>
    <row r="14" spans="1:14" ht="15" customHeight="1" x14ac:dyDescent="0.25">
      <c r="A14" s="49" t="s">
        <v>24</v>
      </c>
      <c r="B14" s="50" t="s">
        <v>289</v>
      </c>
      <c r="C14" s="48">
        <f>IFERROR((TR/(RadSpec!I14*EF_iw*ED_ind*IRS_iw*(1/1000)))*1,".")</f>
        <v>1239.0614109811818</v>
      </c>
      <c r="D14" s="48">
        <f>IFERROR(IF(A14="H-3",(TR/(RadSpec!G14*EF_iw*ED_ind*ET_iw_i*(1/24)*IRA_iw*(1/17)*1000))*1,(TR/(RadSpec!G14*EF_iw*ED_ind*ET_iw_i*(1/24)*IRA_iw*(1/PEF_wind)*1000))*1),".")</f>
        <v>711652.10317724443</v>
      </c>
      <c r="E14" s="48">
        <f>IFERROR((TR/(RadSpec!F14*EF_iw*(1/365)*ED_ind*RadSpec!Q14*ET_iw_i*(1/24)*RadSpec!AA14))*1,".")</f>
        <v>0.54523029786866284</v>
      </c>
      <c r="F14" s="48">
        <f t="shared" si="13"/>
        <v>0.54499006566211727</v>
      </c>
      <c r="G14" s="48">
        <f>IFERROR((TR/(RadSpec!F14*EF_iw*(1/365)*ED_ind*RadSpec!Q14*ET_iw_i*(1/24)*RadSpec!AA14))*1,".")</f>
        <v>0.54523029786866284</v>
      </c>
      <c r="H14" s="48">
        <f>IFERROR((TR/(RadSpec!M14*EF_iw*(1/365)*ED_ind*RadSpec!W14*ET_iw_i*(1/24)*RadSpec!AB14))*1,".")</f>
        <v>2.2985198831718137</v>
      </c>
      <c r="I14" s="48">
        <f>IFERROR((TR/(RadSpec!N14*EF_iw*(1/365)*ED_ind*RadSpec!X14*ET_iw_i*(1/24)*RadSpec!AC14))*1,".")</f>
        <v>0.83731795744116055</v>
      </c>
      <c r="J14" s="48">
        <f>IFERROR((TR/(RadSpec!O14*EF_iw*(1/365)*ED_ind*RadSpec!Y14*ET_iw_i*(1/24)*RadSpec!AD14))*1,".")</f>
        <v>0.57621880942187398</v>
      </c>
      <c r="K14" s="48">
        <f>IFERROR((TR/(RadSpec!K14*EF_iw*(1/365)*ED_ind*RadSpec!U14*ET_iw_i*(1/24)*RadSpec!Z14))*1,".")</f>
        <v>2.3299282294014909</v>
      </c>
      <c r="L14" s="48">
        <f>IFERROR(TR/(RadSpec!G14*EF_iw*ED_ind*ET_iw_i*(1/24)*IRA_iw),".")</f>
        <v>0.52352594725476087</v>
      </c>
      <c r="M14" s="48">
        <f>IFERROR(TR/(RadSpec!J14*EF_iw*(1/365)*ED_ind*ET_iw_i*(1/24)*GSF_a),".")</f>
        <v>205.26317096232015</v>
      </c>
      <c r="N14" s="48">
        <f t="shared" si="14"/>
        <v>0.52219408556707636</v>
      </c>
    </row>
    <row r="15" spans="1:14" ht="15" customHeight="1" x14ac:dyDescent="0.25">
      <c r="A15" s="49" t="s">
        <v>25</v>
      </c>
      <c r="B15" s="50" t="s">
        <v>289</v>
      </c>
      <c r="C15" s="48">
        <f>IFERROR((TR/(RadSpec!I15*EF_iw*ED_ind*IRS_iw*(1/1000)))*1,".")</f>
        <v>26208.026208026207</v>
      </c>
      <c r="D15" s="48">
        <f>IFERROR(IF(A15="H-3",(TR/(RadSpec!G15*EF_iw*ED_ind*ET_iw_i*(1/24)*IRA_iw*(1/17)*1000))*1,(TR/(RadSpec!G15*EF_iw*ED_ind*ET_iw_i*(1/24)*IRA_iw*(1/PEF_wind)*1000))*1),".")</f>
        <v>52297565.589359768</v>
      </c>
      <c r="E15" s="48">
        <f>IFERROR((TR/(RadSpec!F15*EF_iw*(1/365)*ED_ind*RadSpec!Q15*ET_iw_i*(1/24)*RadSpec!AA15))*1,".")</f>
        <v>906.08320032280176</v>
      </c>
      <c r="F15" s="48">
        <f t="shared" ref="F15:F17" si="15">(IF(AND(ISNUMBER(C15),ISNUMBER(D15),ISNUMBER(E15)),1/((1/C15)+(1/D15)+(1/E15)),IF(AND(ISNUMBER(C15),ISNUMBER(D15),NOT(ISNUMBER(E15))), 1/((1/C15)+(1/D15)),IF(AND(ISNUMBER(C15),NOT(ISNUMBER(D15)),ISNUMBER(E15)),1/((1/C15)+(1/E15)),IF(AND(NOT(ISNUMBER(C15)),ISNUMBER(D15),ISNUMBER(E15)),1/((1/D15)+(1/E15)),IF(AND(ISNUMBER(C15),NOT(ISNUMBER(D15)),NOT(ISNUMBER(E15))),1/((1/C15)),IF(AND(NOT(ISNUMBER(C15)),NOT(ISNUMBER(D15)),ISNUMBER(E15)),1/((1/E15)),IF(AND(NOT(ISNUMBER(C15)),ISNUMBER(D15),NOT(ISNUMBER(E15))),1/((1/D15)),IF(AND(NOT(ISNUMBER(C15)),NOT(ISNUMBER(D15)),NOT(ISNUMBER(E15))),".")))))))))</f>
        <v>875.78958375651621</v>
      </c>
      <c r="G15" s="48">
        <f>IFERROR((TR/(RadSpec!F15*EF_iw*(1/365)*ED_ind*RadSpec!Q15*ET_iw_i*(1/24)*RadSpec!AA15))*1,".")</f>
        <v>906.08320032280176</v>
      </c>
      <c r="H15" s="48">
        <f>IFERROR((TR/(RadSpec!M15*EF_iw*(1/365)*ED_ind*RadSpec!W15*ET_iw_i*(1/24)*RadSpec!AB15))*1,".")</f>
        <v>2377.1764571206586</v>
      </c>
      <c r="I15" s="48">
        <f>IFERROR((TR/(RadSpec!N15*EF_iw*(1/365)*ED_ind*RadSpec!X15*ET_iw_i*(1/24)*RadSpec!AC15))*1,".")</f>
        <v>1051.3409331099776</v>
      </c>
      <c r="J15" s="48">
        <f>IFERROR((TR/(RadSpec!O15*EF_iw*(1/365)*ED_ind*RadSpec!Y15*ET_iw_i*(1/24)*RadSpec!AD15))*1,".")</f>
        <v>828.07603738110356</v>
      </c>
      <c r="K15" s="48">
        <f>IFERROR((TR/(RadSpec!K15*EF_iw*(1/365)*ED_ind*RadSpec!U15*ET_iw_i*(1/24)*RadSpec!Z15))*1,".")</f>
        <v>775.03810936702462</v>
      </c>
      <c r="L15" s="48">
        <f>IFERROR(TR/(RadSpec!G15*EF_iw*ED_ind*ET_iw_i*(1/24)*IRA_iw),".")</f>
        <v>38.472636337405021</v>
      </c>
      <c r="M15" s="48">
        <f>IFERROR(TR/(RadSpec!J15*EF_iw*(1/365)*ED_ind*ET_iw_i*(1/24)*GSF_a),".")</f>
        <v>102772.17669414794</v>
      </c>
      <c r="N15" s="48">
        <f t="shared" ref="N15:N17" si="16">IFERROR(IF(AND(ISNUMBER(L15),ISNUMBER(M15)),1/((1/L15)+(1/M15)),IF(AND(ISNUMBER(L15),NOT(ISNUMBER(M15))),1/((1/L15)),IF(AND(NOT(ISNUMBER(L15)),ISNUMBER(M15)),1/((1/M15)),IF(AND(NOT(ISNUMBER(L15)),NOT(ISNUMBER(M15))),".")))),".")</f>
        <v>38.458239543333697</v>
      </c>
    </row>
    <row r="16" spans="1:14" ht="15" customHeight="1" x14ac:dyDescent="0.25">
      <c r="A16" s="49" t="s">
        <v>26</v>
      </c>
      <c r="B16" s="50" t="s">
        <v>289</v>
      </c>
      <c r="C16" s="48">
        <f>IFERROR((TR/(RadSpec!I16*EF_iw*ED_ind*IRS_iw*(1/1000)))*1,".")</f>
        <v>5.3386720053386716</v>
      </c>
      <c r="D16" s="48">
        <f>IFERROR(IF(A16="H-3",(TR/(RadSpec!G16*EF_iw*ED_ind*ET_iw_i*(1/24)*IRA_iw*(1/17)*1000))*1,(TR/(RadSpec!G16*EF_iw*ED_ind*ET_iw_i*(1/24)*IRA_iw*(1/PEF_wind)*1000))*1),".")</f>
        <v>685.11029979534248</v>
      </c>
      <c r="E16" s="48">
        <f>IFERROR((TR/(RadSpec!F16*EF_iw*(1/365)*ED_ind*RadSpec!Q16*ET_iw_i*(1/24)*RadSpec!AA16))*1,".")</f>
        <v>295.36885427845669</v>
      </c>
      <c r="F16" s="48">
        <f t="shared" si="15"/>
        <v>5.2040585163984083</v>
      </c>
      <c r="G16" s="48">
        <f>IFERROR((TR/(RadSpec!F16*EF_iw*(1/365)*ED_ind*RadSpec!Q16*ET_iw_i*(1/24)*RadSpec!AA16))*1,".")</f>
        <v>295.36885427845669</v>
      </c>
      <c r="H16" s="48">
        <f>IFERROR((TR/(RadSpec!M16*EF_iw*(1/365)*ED_ind*RadSpec!W16*ET_iw_i*(1/24)*RadSpec!AB16))*1,".")</f>
        <v>459.70397663436273</v>
      </c>
      <c r="I16" s="48">
        <f>IFERROR((TR/(RadSpec!N16*EF_iw*(1/365)*ED_ind*RadSpec!X16*ET_iw_i*(1/24)*RadSpec!AC16))*1,".")</f>
        <v>298.66118227200633</v>
      </c>
      <c r="J16" s="48">
        <f>IFERROR((TR/(RadSpec!O16*EF_iw*(1/365)*ED_ind*RadSpec!Y16*ET_iw_i*(1/24)*RadSpec!AD16))*1,".")</f>
        <v>295.36885427845669</v>
      </c>
      <c r="K16" s="48">
        <f>IFERROR((TR/(RadSpec!K16*EF_iw*(1/365)*ED_ind*RadSpec!U16*ET_iw_i*(1/24)*RadSpec!Z16))*1,".")</f>
        <v>255.1826156011156</v>
      </c>
      <c r="L16" s="48">
        <f>IFERROR(TR/(RadSpec!G16*EF_iw*ED_ind*ET_iw_i*(1/24)*IRA_iw),".")</f>
        <v>5.0400050400050398E-4</v>
      </c>
      <c r="M16" s="48">
        <f>IFERROR(TR/(RadSpec!J16*EF_iw*(1/365)*ED_ind*ET_iw_i*(1/24)*GSF_a),".")</f>
        <v>44524.444502509206</v>
      </c>
      <c r="N16" s="48">
        <f t="shared" si="16"/>
        <v>5.0400049829540179E-4</v>
      </c>
    </row>
    <row r="17" spans="1:14" ht="15" customHeight="1" x14ac:dyDescent="0.25">
      <c r="A17" s="49" t="s">
        <v>27</v>
      </c>
      <c r="B17" s="50" t="s">
        <v>289</v>
      </c>
      <c r="C17" s="48">
        <f>IFERROR((TR/(RadSpec!I17*EF_iw*ED_ind*IRS_iw*(1/1000)))*1,".")</f>
        <v>14511.155450752763</v>
      </c>
      <c r="D17" s="48">
        <f>IFERROR(IF(A17="H-3",(TR/(RadSpec!G17*EF_iw*ED_ind*ET_iw_i*(1/24)*IRA_iw*(1/17)*1000))*1,(TR/(RadSpec!G17*EF_iw*ED_ind*ET_iw_i*(1/24)*IRA_iw*(1/PEF_wind)*1000))*1),".")</f>
        <v>139958.24695819139</v>
      </c>
      <c r="E17" s="48">
        <f>IFERROR((TR/(RadSpec!F17*EF_iw*(1/365)*ED_ind*RadSpec!Q17*ET_iw_i*(1/24)*RadSpec!AA17))*1,".")</f>
        <v>0.44079723258947118</v>
      </c>
      <c r="F17" s="48">
        <f t="shared" si="15"/>
        <v>0.44078245494763385</v>
      </c>
      <c r="G17" s="48">
        <f>IFERROR((TR/(RadSpec!F17*EF_iw*(1/365)*ED_ind*RadSpec!Q17*ET_iw_i*(1/24)*RadSpec!AA17))*1,".")</f>
        <v>0.44079723258947118</v>
      </c>
      <c r="H17" s="48">
        <f>IFERROR((TR/(RadSpec!M17*EF_iw*(1/365)*ED_ind*RadSpec!W17*ET_iw_i*(1/24)*RadSpec!AB17))*1,".")</f>
        <v>1.9375952734175619</v>
      </c>
      <c r="I17" s="48">
        <f>IFERROR((TR/(RadSpec!N17*EF_iw*(1/365)*ED_ind*RadSpec!X17*ET_iw_i*(1/24)*RadSpec!AC17))*1,".")</f>
        <v>0.69569444535170621</v>
      </c>
      <c r="J17" s="48">
        <f>IFERROR((TR/(RadSpec!O17*EF_iw*(1/365)*ED_ind*RadSpec!Y17*ET_iw_i*(1/24)*RadSpec!AD17))*1,".")</f>
        <v>0.47066304257671254</v>
      </c>
      <c r="K17" s="48">
        <f>IFERROR((TR/(RadSpec!K17*EF_iw*(1/365)*ED_ind*RadSpec!U17*ET_iw_i*(1/24)*RadSpec!Z17))*1,".")</f>
        <v>1.9639709158829317</v>
      </c>
      <c r="L17" s="48">
        <f>IFERROR(TR/(RadSpec!G17*EF_iw*ED_ind*ET_iw_i*(1/24)*IRA_iw),".")</f>
        <v>0.10296010296010297</v>
      </c>
      <c r="M17" s="48">
        <f>IFERROR(TR/(RadSpec!J17*EF_iw*(1/365)*ED_ind*ET_iw_i*(1/24)*GSF_a),".")</f>
        <v>171.87557614370675</v>
      </c>
      <c r="N17" s="48">
        <f t="shared" si="16"/>
        <v>0.10289846280992546</v>
      </c>
    </row>
    <row r="18" spans="1:14" ht="15" customHeight="1" x14ac:dyDescent="0.25">
      <c r="A18" s="49" t="s">
        <v>28</v>
      </c>
      <c r="B18" s="50" t="s">
        <v>289</v>
      </c>
      <c r="C18" s="48">
        <f>IFERROR((TR/(RadSpec!I18*EF_iw*ED_ind*IRS_iw*(1/1000)))*1,".")</f>
        <v>2.229033156868208</v>
      </c>
      <c r="D18" s="48">
        <f>IFERROR(IF(A18="H-3",(TR/(RadSpec!G18*EF_iw*ED_ind*ET_iw_i*(1/24)*IRA_iw*(1/17)*1000))*1,(TR/(RadSpec!G18*EF_iw*ED_ind*ET_iw_i*(1/24)*IRA_iw*(1/PEF_wind)*1000))*1),".")</f>
        <v>749.77632299031086</v>
      </c>
      <c r="E18" s="48">
        <f>IFERROR((TR/(RadSpec!F18*EF_iw*(1/365)*ED_ind*RadSpec!Q18*ET_iw_i*(1/24)*RadSpec!AA18))*1,".")</f>
        <v>9718.0944283326426</v>
      </c>
      <c r="F18" s="48">
        <f t="shared" ref="F18:F21" si="17">(IF(AND(ISNUMBER(C18),ISNUMBER(D18),ISNUMBER(E18)),1/((1/C18)+(1/D18)+(1/E18)),IF(AND(ISNUMBER(C18),ISNUMBER(D18),NOT(ISNUMBER(E18))), 1/((1/C18)+(1/D18)),IF(AND(ISNUMBER(C18),NOT(ISNUMBER(D18)),ISNUMBER(E18)),1/((1/C18)+(1/E18)),IF(AND(NOT(ISNUMBER(C18)),ISNUMBER(D18),ISNUMBER(E18)),1/((1/D18)+(1/E18)),IF(AND(ISNUMBER(C18),NOT(ISNUMBER(D18)),NOT(ISNUMBER(E18))),1/((1/C18)),IF(AND(NOT(ISNUMBER(C18)),NOT(ISNUMBER(D18)),ISNUMBER(E18)),1/((1/E18)),IF(AND(NOT(ISNUMBER(C18)),ISNUMBER(D18),NOT(ISNUMBER(E18))),1/((1/D18)),IF(AND(NOT(ISNUMBER(C18)),NOT(ISNUMBER(D18)),NOT(ISNUMBER(E18))),".")))))))))</f>
        <v>2.2219179086823915</v>
      </c>
      <c r="G18" s="48">
        <f>IFERROR((TR/(RadSpec!F18*EF_iw*(1/365)*ED_ind*RadSpec!Q18*ET_iw_i*(1/24)*RadSpec!AA18))*1,".")</f>
        <v>9718.0944283326426</v>
      </c>
      <c r="H18" s="48">
        <f>IFERROR((TR/(RadSpec!M18*EF_iw*(1/365)*ED_ind*RadSpec!W18*ET_iw_i*(1/24)*RadSpec!AB18))*1,".")</f>
        <v>48945.517345203545</v>
      </c>
      <c r="I18" s="48">
        <f>IFERROR((TR/(RadSpec!N18*EF_iw*(1/365)*ED_ind*RadSpec!X18*ET_iw_i*(1/24)*RadSpec!AC18))*1,".")</f>
        <v>17238.899123788604</v>
      </c>
      <c r="J18" s="48">
        <f>IFERROR((TR/(RadSpec!O18*EF_iw*(1/365)*ED_ind*RadSpec!Y18*ET_iw_i*(1/24)*RadSpec!AD18))*1,".")</f>
        <v>11065.440853499706</v>
      </c>
      <c r="K18" s="48">
        <f>IFERROR((TR/(RadSpec!K18*EF_iw*(1/365)*ED_ind*RadSpec!U18*ET_iw_i*(1/24)*RadSpec!Z18))*1,".")</f>
        <v>50351.469118609391</v>
      </c>
      <c r="L18" s="48">
        <f>IFERROR(TR/(RadSpec!G18*EF_iw*ED_ind*ET_iw_i*(1/24)*IRA_iw),".")</f>
        <v>5.5157198014340865E-4</v>
      </c>
      <c r="M18" s="48">
        <f>IFERROR(TR/(RadSpec!J18*EF_iw*(1/365)*ED_ind*ET_iw_i*(1/24)*GSF_a),".")</f>
        <v>4191267.5411579888</v>
      </c>
      <c r="N18" s="48">
        <f t="shared" ref="N18:N21" si="18">IFERROR(IF(AND(ISNUMBER(L18),ISNUMBER(M18)),1/((1/L18)+(1/M18)),IF(AND(ISNUMBER(L18),NOT(ISNUMBER(M18))),1/((1/L18)),IF(AND(NOT(ISNUMBER(L18)),ISNUMBER(M18)),1/((1/M18)),IF(AND(NOT(ISNUMBER(L18)),NOT(ISNUMBER(M18))),".")))),".")</f>
        <v>5.5157198007082164E-4</v>
      </c>
    </row>
    <row r="19" spans="1:14" ht="15" customHeight="1" x14ac:dyDescent="0.25">
      <c r="A19" s="49" t="s">
        <v>29</v>
      </c>
      <c r="B19" s="50" t="s">
        <v>289</v>
      </c>
      <c r="C19" s="48" t="str">
        <f>IFERROR((TR/(RadSpec!I19*EF_iw*ED_ind*IRS_iw*(1/1000)))*1,".")</f>
        <v>.</v>
      </c>
      <c r="D19" s="48" t="str">
        <f>IFERROR(IF(A19="H-3",(TR/(RadSpec!G19*EF_iw*ED_ind*ET_iw_i*(1/24)*IRA_iw*(1/17)*1000))*1,(TR/(RadSpec!G19*EF_iw*ED_ind*ET_iw_i*(1/24)*IRA_iw*(1/PEF_wind)*1000))*1),".")</f>
        <v>.</v>
      </c>
      <c r="E19" s="48">
        <f>IFERROR((TR/(RadSpec!F19*EF_iw*(1/365)*ED_ind*RadSpec!Q19*ET_iw_i*(1/24)*RadSpec!AA19))*1,".")</f>
        <v>2534.5840873894595</v>
      </c>
      <c r="F19" s="48">
        <f t="shared" si="17"/>
        <v>2534.5840873894595</v>
      </c>
      <c r="G19" s="48">
        <f>IFERROR((TR/(RadSpec!F19*EF_iw*(1/365)*ED_ind*RadSpec!Q19*ET_iw_i*(1/24)*RadSpec!AA19))*1,".")</f>
        <v>2534.5840873894595</v>
      </c>
      <c r="H19" s="48">
        <f>IFERROR((TR/(RadSpec!M19*EF_iw*(1/365)*ED_ind*RadSpec!W19*ET_iw_i*(1/24)*RadSpec!AB19))*1,".")</f>
        <v>12672.920436947297</v>
      </c>
      <c r="I19" s="48">
        <f>IFERROR((TR/(RadSpec!N19*EF_iw*(1/365)*ED_ind*RadSpec!X19*ET_iw_i*(1/24)*RadSpec!AC19))*1,".")</f>
        <v>4499.9813451732234</v>
      </c>
      <c r="J19" s="48">
        <f>IFERROR((TR/(RadSpec!O19*EF_iw*(1/365)*ED_ind*RadSpec!Y19*ET_iw_i*(1/24)*RadSpec!AD19))*1,".")</f>
        <v>2885.5264994895388</v>
      </c>
      <c r="K19" s="48">
        <f>IFERROR((TR/(RadSpec!K19*EF_iw*(1/365)*ED_ind*RadSpec!U19*ET_iw_i*(1/24)*RadSpec!Z19))*1,".")</f>
        <v>13024.94600464028</v>
      </c>
      <c r="L19" s="48" t="str">
        <f>IFERROR(TR/(RadSpec!G19*EF_iw*ED_ind*ET_iw_i*(1/24)*IRA_iw),".")</f>
        <v>.</v>
      </c>
      <c r="M19" s="48">
        <f>IFERROR(TR/(RadSpec!J19*EF_iw*(1/365)*ED_ind*ET_iw_i*(1/24)*GSF_a),".")</f>
        <v>1087299.8403873623</v>
      </c>
      <c r="N19" s="48">
        <f t="shared" si="18"/>
        <v>1087299.8403873623</v>
      </c>
    </row>
    <row r="20" spans="1:14" ht="15" customHeight="1" x14ac:dyDescent="0.25">
      <c r="A20" s="49" t="s">
        <v>30</v>
      </c>
      <c r="B20" s="50" t="s">
        <v>289</v>
      </c>
      <c r="C20" s="48" t="str">
        <f>IFERROR((TR/(RadSpec!I20*EF_iw*ED_ind*IRS_iw*(1/1000)))*1,".")</f>
        <v>.</v>
      </c>
      <c r="D20" s="48" t="str">
        <f>IFERROR(IF(A20="H-3",(TR/(RadSpec!G20*EF_iw*ED_ind*ET_iw_i*(1/24)*IRA_iw*(1/17)*1000))*1,(TR/(RadSpec!G20*EF_iw*ED_ind*ET_iw_i*(1/24)*IRA_iw*(1/PEF_wind)*1000))*1),".")</f>
        <v>.</v>
      </c>
      <c r="E20" s="48">
        <f>IFERROR((TR/(RadSpec!F20*EF_iw*(1/365)*ED_ind*RadSpec!Q20*ET_iw_i*(1/24)*RadSpec!AA20))*1,".")</f>
        <v>1136.7225604049697</v>
      </c>
      <c r="F20" s="48">
        <f t="shared" si="17"/>
        <v>1136.7225604049697</v>
      </c>
      <c r="G20" s="48">
        <f>IFERROR((TR/(RadSpec!F20*EF_iw*(1/365)*ED_ind*RadSpec!Q20*ET_iw_i*(1/24)*RadSpec!AA20))*1,".")</f>
        <v>1136.7225604049697</v>
      </c>
      <c r="H20" s="48">
        <f>IFERROR((TR/(RadSpec!M20*EF_iw*(1/365)*ED_ind*RadSpec!W20*ET_iw_i*(1/24)*RadSpec!AB20))*1,".")</f>
        <v>5746.2997079295337</v>
      </c>
      <c r="I20" s="48">
        <f>IFERROR((TR/(RadSpec!N20*EF_iw*(1/365)*ED_ind*RadSpec!X20*ET_iw_i*(1/24)*RadSpec!AC20))*1,".")</f>
        <v>2038.6872007263041</v>
      </c>
      <c r="J20" s="48">
        <f>IFERROR((TR/(RadSpec!O20*EF_iw*(1/365)*ED_ind*RadSpec!Y20*ET_iw_i*(1/24)*RadSpec!AD20))*1,".")</f>
        <v>1297.9876987323184</v>
      </c>
      <c r="K20" s="48">
        <f>IFERROR((TR/(RadSpec!K20*EF_iw*(1/365)*ED_ind*RadSpec!U20*ET_iw_i*(1/24)*RadSpec!Z20))*1,".")</f>
        <v>5898.0887568182388</v>
      </c>
      <c r="L20" s="48" t="str">
        <f>IFERROR(TR/(RadSpec!G20*EF_iw*ED_ind*ET_iw_i*(1/24)*IRA_iw),".")</f>
        <v>.</v>
      </c>
      <c r="M20" s="48">
        <f>IFERROR(TR/(RadSpec!J20*EF_iw*(1/365)*ED_ind*ET_iw_i*(1/24)*GSF_a),".")</f>
        <v>490350.90840998688</v>
      </c>
      <c r="N20" s="48">
        <f t="shared" si="18"/>
        <v>490350.90840998682</v>
      </c>
    </row>
    <row r="21" spans="1:14" ht="15" customHeight="1" x14ac:dyDescent="0.25">
      <c r="A21" s="49" t="s">
        <v>31</v>
      </c>
      <c r="B21" s="50" t="s">
        <v>289</v>
      </c>
      <c r="C21" s="48" t="str">
        <f>IFERROR((TR/(RadSpec!I21*EF_iw*ED_ind*IRS_iw*(1/1000)))*1,".")</f>
        <v>.</v>
      </c>
      <c r="D21" s="48">
        <f>IFERROR(IF(A21="H-3",(TR/(RadSpec!G21*EF_iw*ED_ind*ET_iw_i*(1/24)*IRA_iw*(1/17)*1000))*1,(TR/(RadSpec!G21*EF_iw*ED_ind*ET_iw_i*(1/24)*IRA_iw*(1/PEF_wind)*1000))*1),".")</f>
        <v>782356.53155765973</v>
      </c>
      <c r="E21" s="48">
        <f>IFERROR((TR/(RadSpec!F21*EF_iw*(1/365)*ED_ind*RadSpec!Q21*ET_iw_i*(1/24)*RadSpec!AA21))*1,".")</f>
        <v>71125985.008274555</v>
      </c>
      <c r="F21" s="48">
        <f t="shared" si="17"/>
        <v>773844.56021519902</v>
      </c>
      <c r="G21" s="48">
        <f>IFERROR((TR/(RadSpec!F21*EF_iw*(1/365)*ED_ind*RadSpec!Q21*ET_iw_i*(1/24)*RadSpec!AA21))*1,".")</f>
        <v>71125985.008274555</v>
      </c>
      <c r="H21" s="48">
        <f>IFERROR((TR/(RadSpec!M21*EF_iw*(1/365)*ED_ind*RadSpec!W21*ET_iw_i*(1/24)*RadSpec!AB21))*1,".")</f>
        <v>138727235.55238163</v>
      </c>
      <c r="I21" s="48">
        <f>IFERROR((TR/(RadSpec!N21*EF_iw*(1/365)*ED_ind*RadSpec!X21*ET_iw_i*(1/24)*RadSpec!AC21))*1,".")</f>
        <v>73265321.276101559</v>
      </c>
      <c r="J21" s="48">
        <f>IFERROR((TR/(RadSpec!O21*EF_iw*(1/365)*ED_ind*RadSpec!Y21*ET_iw_i*(1/24)*RadSpec!AD21))*1,".")</f>
        <v>64232610.433842473</v>
      </c>
      <c r="K21" s="48">
        <f>IFERROR((TR/(RadSpec!K21*EF_iw*(1/365)*ED_ind*RadSpec!U21*ET_iw_i*(1/24)*RadSpec!Z21))*1,".")</f>
        <v>82625208.135163009</v>
      </c>
      <c r="L21" s="48">
        <f>IFERROR(TR/(RadSpec!G21*EF_iw*ED_ind*ET_iw_i*(1/24)*IRA_iw),".")</f>
        <v>0.57553956834532372</v>
      </c>
      <c r="M21" s="48">
        <f>IFERROR(TR/(RadSpec!J21*EF_iw*(1/365)*ED_ind*ET_iw_i*(1/24)*GSF_a),".")</f>
        <v>4439271537.6762133</v>
      </c>
      <c r="N21" s="48">
        <f t="shared" si="18"/>
        <v>0.57553956827070651</v>
      </c>
    </row>
    <row r="22" spans="1:14" ht="15" customHeight="1" x14ac:dyDescent="0.25">
      <c r="A22" s="49" t="s">
        <v>32</v>
      </c>
      <c r="B22" s="50" t="s">
        <v>289</v>
      </c>
      <c r="C22" s="48">
        <f>IFERROR((TR/(RadSpec!I22*EF_iw*ED_ind*IRS_iw*(1/1000)))*1,".")</f>
        <v>43.028102729595261</v>
      </c>
      <c r="D22" s="48">
        <f>IFERROR(IF(A22="H-3",(TR/(RadSpec!G22*EF_iw*ED_ind*ET_iw_i*(1/24)*IRA_iw*(1/17)*1000))*1,(TR/(RadSpec!G22*EF_iw*ED_ind*ET_iw_i*(1/24)*IRA_iw*(1/PEF_wind)*1000))*1),".")</f>
        <v>415.71756522235063</v>
      </c>
      <c r="E22" s="48">
        <f>IFERROR((TR/(RadSpec!F22*EF_iw*(1/365)*ED_ind*RadSpec!Q22*ET_iw_i*(1/24)*RadSpec!AA22))*1,".")</f>
        <v>71.724368056145323</v>
      </c>
      <c r="F22" s="48">
        <f t="shared" ref="F22:F23" si="19">(IF(AND(ISNUMBER(C22),ISNUMBER(D22),ISNUMBER(E22)),1/((1/C22)+(1/D22)+(1/E22)),IF(AND(ISNUMBER(C22),ISNUMBER(D22),NOT(ISNUMBER(E22))), 1/((1/C22)+(1/D22)),IF(AND(ISNUMBER(C22),NOT(ISNUMBER(D22)),ISNUMBER(E22)),1/((1/C22)+(1/E22)),IF(AND(NOT(ISNUMBER(C22)),ISNUMBER(D22),ISNUMBER(E22)),1/((1/D22)+(1/E22)),IF(AND(ISNUMBER(C22),NOT(ISNUMBER(D22)),NOT(ISNUMBER(E22))),1/((1/C22)),IF(AND(NOT(ISNUMBER(C22)),NOT(ISNUMBER(D22)),ISNUMBER(E22)),1/((1/E22)),IF(AND(NOT(ISNUMBER(C22)),ISNUMBER(D22),NOT(ISNUMBER(E22))),1/((1/D22)),IF(AND(NOT(ISNUMBER(C22)),NOT(ISNUMBER(D22)),NOT(ISNUMBER(E22))),".")))))))))</f>
        <v>25.259945511916079</v>
      </c>
      <c r="G22" s="48">
        <f>IFERROR((TR/(RadSpec!F22*EF_iw*(1/365)*ED_ind*RadSpec!Q22*ET_iw_i*(1/24)*RadSpec!AA22))*1,".")</f>
        <v>71.724368056145323</v>
      </c>
      <c r="H22" s="48">
        <f>IFERROR((TR/(RadSpec!M22*EF_iw*(1/365)*ED_ind*RadSpec!W22*ET_iw_i*(1/24)*RadSpec!AB22))*1,".")</f>
        <v>98.507994993077716</v>
      </c>
      <c r="I22" s="48">
        <f>IFERROR((TR/(RadSpec!N22*EF_iw*(1/365)*ED_ind*RadSpec!X22*ET_iw_i*(1/24)*RadSpec!AC22))*1,".")</f>
        <v>72.138162487238446</v>
      </c>
      <c r="J22" s="48">
        <f>IFERROR((TR/(RadSpec!O22*EF_iw*(1/365)*ED_ind*RadSpec!Y22*ET_iw_i*(1/24)*RadSpec!AD22))*1,".")</f>
        <v>71.86177106008428</v>
      </c>
      <c r="K22" s="48">
        <f>IFERROR((TR/(RadSpec!K22*EF_iw*(1/365)*ED_ind*RadSpec!U22*ET_iw_i*(1/24)*RadSpec!Z22))*1,".")</f>
        <v>49.553295235619551</v>
      </c>
      <c r="L22" s="48">
        <f>IFERROR(TR/(RadSpec!G22*EF_iw*ED_ind*ET_iw_i*(1/24)*IRA_iw),".")</f>
        <v>3.0582208800030585E-4</v>
      </c>
      <c r="M22" s="48">
        <f>IFERROR(TR/(RadSpec!J22*EF_iw*(1/365)*ED_ind*ET_iw_i*(1/24)*GSF_a),".")</f>
        <v>9496.6694919908859</v>
      </c>
      <c r="N22" s="48">
        <f t="shared" ref="N22:N23" si="20">IFERROR(IF(AND(ISNUMBER(L22),ISNUMBER(M22)),1/((1/L22)+(1/M22)),IF(AND(ISNUMBER(L22),NOT(ISNUMBER(M22))),1/((1/L22)),IF(AND(NOT(ISNUMBER(L22)),ISNUMBER(M22)),1/((1/M22)),IF(AND(NOT(ISNUMBER(L22)),NOT(ISNUMBER(M22))),".")))),".")</f>
        <v>3.0582207815189042E-4</v>
      </c>
    </row>
    <row r="23" spans="1:14" ht="15" customHeight="1" x14ac:dyDescent="0.25">
      <c r="A23" s="51" t="s">
        <v>33</v>
      </c>
      <c r="B23" s="50" t="s">
        <v>275</v>
      </c>
      <c r="C23" s="48">
        <f>IFERROR((TR/(RadSpec!I23*EF_iw*ED_ind*IRS_iw*(1/1000)))*1,".")</f>
        <v>10.865136493277198</v>
      </c>
      <c r="D23" s="48">
        <f>IFERROR(IF(A23="H-3",(TR/(RadSpec!G23*EF_iw*ED_ind*ET_iw_i*(1/24)*IRA_iw*(1/17)*1000))*1,(TR/(RadSpec!G23*EF_iw*ED_ind*ET_iw_i*(1/24)*IRA_iw*(1/PEF_wind)*1000))*1),".")</f>
        <v>386.21855270985793</v>
      </c>
      <c r="E23" s="48">
        <f>IFERROR((TR/(RadSpec!F23*EF_iw*(1/365)*ED_ind*RadSpec!Q23*ET_iw_i*(1/24)*RadSpec!AA23))*1,".")</f>
        <v>17.528899295964482</v>
      </c>
      <c r="F23" s="48">
        <f t="shared" si="19"/>
        <v>6.5930288965899129</v>
      </c>
      <c r="G23" s="48">
        <f>IFERROR((TR/(RadSpec!F23*EF_iw*(1/365)*ED_ind*RadSpec!Q23*ET_iw_i*(1/24)*RadSpec!AA23))*1,".")</f>
        <v>17.528899295964482</v>
      </c>
      <c r="H23" s="48">
        <f>IFERROR((TR/(RadSpec!M23*EF_iw*(1/365)*ED_ind*RadSpec!W23*ET_iw_i*(1/24)*RadSpec!AB23))*1,".")</f>
        <v>69.159005334373163</v>
      </c>
      <c r="I23" s="48">
        <f>IFERROR((TR/(RadSpec!N23*EF_iw*(1/365)*ED_ind*RadSpec!X23*ET_iw_i*(1/24)*RadSpec!AC23))*1,".")</f>
        <v>25.294568100717463</v>
      </c>
      <c r="J23" s="48">
        <f>IFERROR((TR/(RadSpec!O23*EF_iw*(1/365)*ED_ind*RadSpec!Y23*ET_iw_i*(1/24)*RadSpec!AD23))*1,".")</f>
        <v>18.034540621809612</v>
      </c>
      <c r="K23" s="48">
        <f>IFERROR((TR/(RadSpec!K23*EF_iw*(1/365)*ED_ind*RadSpec!U23*ET_iw_i*(1/24)*RadSpec!Z23))*1,".")</f>
        <v>70.115597183857929</v>
      </c>
      <c r="L23" s="48">
        <f>IFERROR(TR/(RadSpec!G23*EF_iw*ED_ind*ET_iw_i*(1/24)*IRA_iw),".")</f>
        <v>2.8412117768228151E-4</v>
      </c>
      <c r="M23" s="48">
        <f>IFERROR(TR/(RadSpec!J23*EF_iw*(1/365)*ED_ind*ET_iw_i*(1/24)*GSF_a),".")</f>
        <v>6149.4827038301655</v>
      </c>
      <c r="N23" s="48">
        <f t="shared" si="20"/>
        <v>2.8412116455518716E-4</v>
      </c>
    </row>
    <row r="24" spans="1:14" ht="15" customHeight="1" x14ac:dyDescent="0.25">
      <c r="A24" s="49" t="s">
        <v>34</v>
      </c>
      <c r="B24" s="50" t="s">
        <v>289</v>
      </c>
      <c r="C24" s="48" t="str">
        <f>IFERROR((TR/(RadSpec!I24*EF_iw*ED_ind*IRS_iw*(1/1000)))*1,".")</f>
        <v>.</v>
      </c>
      <c r="D24" s="48" t="str">
        <f>IFERROR(IF(A24="H-3",(TR/(RadSpec!G24*EF_iw*ED_ind*ET_iw_i*(1/24)*IRA_iw*(1/17)*1000))*1,(TR/(RadSpec!G24*EF_iw*ED_ind*ET_iw_i*(1/24)*IRA_iw*(1/PEF_wind)*1000))*1),".")</f>
        <v>.</v>
      </c>
      <c r="E24" s="48">
        <f>IFERROR((TR/(RadSpec!F24*EF_iw*(1/365)*ED_ind*RadSpec!Q24*ET_iw_i*(1/24)*RadSpec!AA24))*1,".")</f>
        <v>129.35118790815176</v>
      </c>
      <c r="F24" s="48">
        <f t="shared" ref="F24:F25" si="21">(IF(AND(ISNUMBER(C24),ISNUMBER(D24),ISNUMBER(E24)),1/((1/C24)+(1/D24)+(1/E24)),IF(AND(ISNUMBER(C24),ISNUMBER(D24),NOT(ISNUMBER(E24))), 1/((1/C24)+(1/D24)),IF(AND(ISNUMBER(C24),NOT(ISNUMBER(D24)),ISNUMBER(E24)),1/((1/C24)+(1/E24)),IF(AND(NOT(ISNUMBER(C24)),ISNUMBER(D24),ISNUMBER(E24)),1/((1/D24)+(1/E24)),IF(AND(ISNUMBER(C24),NOT(ISNUMBER(D24)),NOT(ISNUMBER(E24))),1/((1/C24)),IF(AND(NOT(ISNUMBER(C24)),NOT(ISNUMBER(D24)),ISNUMBER(E24)),1/((1/E24)),IF(AND(NOT(ISNUMBER(C24)),ISNUMBER(D24),NOT(ISNUMBER(E24))),1/((1/D24)),IF(AND(NOT(ISNUMBER(C24)),NOT(ISNUMBER(D24)),NOT(ISNUMBER(E24))),".")))))))))</f>
        <v>129.35118790815176</v>
      </c>
      <c r="G24" s="48">
        <f>IFERROR((TR/(RadSpec!F24*EF_iw*(1/365)*ED_ind*RadSpec!Q24*ET_iw_i*(1/24)*RadSpec!AA24))*1,".")</f>
        <v>129.35118790815176</v>
      </c>
      <c r="H24" s="48">
        <f>IFERROR((TR/(RadSpec!M24*EF_iw*(1/365)*ED_ind*RadSpec!W24*ET_iw_i*(1/24)*RadSpec!AB24))*1,".")</f>
        <v>628.54967314617954</v>
      </c>
      <c r="I24" s="48">
        <f>IFERROR((TR/(RadSpec!N24*EF_iw*(1/365)*ED_ind*RadSpec!X24*ET_iw_i*(1/24)*RadSpec!AC24))*1,".")</f>
        <v>223.28478865097617</v>
      </c>
      <c r="J24" s="48">
        <f>IFERROR((TR/(RadSpec!O24*EF_iw*(1/365)*ED_ind*RadSpec!Y24*ET_iw_i*(1/24)*RadSpec!AD24))*1,".")</f>
        <v>144.27632497447689</v>
      </c>
      <c r="K24" s="48">
        <f>IFERROR((TR/(RadSpec!K24*EF_iw*(1/365)*ED_ind*RadSpec!U24*ET_iw_i*(1/24)*RadSpec!Z24))*1,".")</f>
        <v>643.4278643801714</v>
      </c>
      <c r="L24" s="48" t="str">
        <f>IFERROR(TR/(RadSpec!G24*EF_iw*ED_ind*ET_iw_i*(1/24)*IRA_iw),".")</f>
        <v>.</v>
      </c>
      <c r="M24" s="48">
        <f>IFERROR(TR/(RadSpec!J24*EF_iw*(1/365)*ED_ind*ET_iw_i*(1/24)*GSF_a),".")</f>
        <v>54962.409514086437</v>
      </c>
      <c r="N24" s="48">
        <f t="shared" ref="N24:N25" si="22">IFERROR(IF(AND(ISNUMBER(L24),ISNUMBER(M24)),1/((1/L24)+(1/M24)),IF(AND(ISNUMBER(L24),NOT(ISNUMBER(M24))),1/((1/L24)),IF(AND(NOT(ISNUMBER(L24)),ISNUMBER(M24)),1/((1/M24)),IF(AND(NOT(ISNUMBER(L24)),NOT(ISNUMBER(M24))),".")))),".")</f>
        <v>54962.409514086445</v>
      </c>
    </row>
    <row r="25" spans="1:14" ht="15" customHeight="1" x14ac:dyDescent="0.25">
      <c r="A25" s="51" t="s">
        <v>35</v>
      </c>
      <c r="B25" s="50" t="s">
        <v>275</v>
      </c>
      <c r="C25" s="48" t="str">
        <f>IFERROR((TR/(RadSpec!I25*EF_iw*ED_ind*IRS_iw*(1/1000)))*1,".")</f>
        <v>.</v>
      </c>
      <c r="D25" s="48">
        <f>IFERROR(IF(A25="H-3",(TR/(RadSpec!G25*EF_iw*ED_ind*ET_iw_i*(1/24)*IRA_iw*(1/17)*1000))*1,(TR/(RadSpec!G25*EF_iw*ED_ind*ET_iw_i*(1/24)*IRA_iw*(1/PEF_wind)*1000))*1),".")</f>
        <v>4769629.7318646796</v>
      </c>
      <c r="E25" s="48">
        <f>IFERROR((TR/(RadSpec!F25*EF_iw*(1/365)*ED_ind*RadSpec!Q25*ET_iw_i*(1/24)*RadSpec!AA25))*1,".")</f>
        <v>258.70237581630352</v>
      </c>
      <c r="F25" s="48">
        <f t="shared" si="21"/>
        <v>258.68834468744677</v>
      </c>
      <c r="G25" s="48">
        <f>IFERROR((TR/(RadSpec!F25*EF_iw*(1/365)*ED_ind*RadSpec!Q25*ET_iw_i*(1/24)*RadSpec!AA25))*1,".")</f>
        <v>258.70237581630352</v>
      </c>
      <c r="H25" s="48">
        <f>IFERROR((TR/(RadSpec!M25*EF_iw*(1/365)*ED_ind*RadSpec!W25*ET_iw_i*(1/24)*RadSpec!AB25))*1,".")</f>
        <v>1227.4818224268322</v>
      </c>
      <c r="I25" s="48">
        <f>IFERROR((TR/(RadSpec!N25*EF_iw*(1/365)*ED_ind*RadSpec!X25*ET_iw_i*(1/24)*RadSpec!AC25))*1,".")</f>
        <v>434.97036750190171</v>
      </c>
      <c r="J25" s="48">
        <f>IFERROR((TR/(RadSpec!O25*EF_iw*(1/365)*ED_ind*RadSpec!Y25*ET_iw_i*(1/24)*RadSpec!AD25))*1,".")</f>
        <v>284.18064010124243</v>
      </c>
      <c r="K25" s="48">
        <f>IFERROR((TR/(RadSpec!K25*EF_iw*(1/365)*ED_ind*RadSpec!U25*ET_iw_i*(1/24)*RadSpec!Z25))*1,".")</f>
        <v>1250.3948164454669</v>
      </c>
      <c r="L25" s="48">
        <f>IFERROR(TR/(RadSpec!G25*EF_iw*ED_ind*ET_iw_i*(1/24)*IRA_iw),".")</f>
        <v>3.5087719298245617</v>
      </c>
      <c r="M25" s="48">
        <f>IFERROR(TR/(RadSpec!J25*EF_iw*(1/365)*ED_ind*ET_iw_i*(1/24)*GSF_a),".")</f>
        <v>107947.75393773813</v>
      </c>
      <c r="N25" s="48">
        <f t="shared" si="22"/>
        <v>3.5086578831691866</v>
      </c>
    </row>
    <row r="26" spans="1:14" ht="15" customHeight="1" x14ac:dyDescent="0.25">
      <c r="A26" s="49" t="s">
        <v>36</v>
      </c>
      <c r="B26" s="50" t="s">
        <v>289</v>
      </c>
      <c r="C26" s="48">
        <f>IFERROR((TR/(RadSpec!I26*EF_iw*ED_ind*IRS_iw*(1/1000)))*1,".")</f>
        <v>16.256858362121523</v>
      </c>
      <c r="D26" s="48">
        <f>IFERROR(IF(A26="H-3",(TR/(RadSpec!G26*EF_iw*ED_ind*ET_iw_i*(1/24)*IRA_iw*(1/17)*1000))*1,(TR/(RadSpec!G26*EF_iw*ED_ind*ET_iw_i*(1/24)*IRA_iw*(1/PEF_wind)*1000))*1),".")</f>
        <v>62.269559028008885</v>
      </c>
      <c r="E26" s="48">
        <f>IFERROR((TR/(RadSpec!F26*EF_iw*(1/365)*ED_ind*RadSpec!Q26*ET_iw_i*(1/24)*RadSpec!AA26))*1,".")</f>
        <v>1.9537419006960415</v>
      </c>
      <c r="F26" s="48">
        <f t="shared" ref="F26:F29" si="23">(IF(AND(ISNUMBER(C26),ISNUMBER(D26),ISNUMBER(E26)),1/((1/C26)+(1/D26)+(1/E26)),IF(AND(ISNUMBER(C26),ISNUMBER(D26),NOT(ISNUMBER(E26))), 1/((1/C26)+(1/D26)),IF(AND(ISNUMBER(C26),NOT(ISNUMBER(D26)),ISNUMBER(E26)),1/((1/C26)+(1/E26)),IF(AND(NOT(ISNUMBER(C26)),ISNUMBER(D26),ISNUMBER(E26)),1/((1/D26)+(1/E26)),IF(AND(ISNUMBER(C26),NOT(ISNUMBER(D26)),NOT(ISNUMBER(E26))),1/((1/C26)),IF(AND(NOT(ISNUMBER(C26)),NOT(ISNUMBER(D26)),ISNUMBER(E26)),1/((1/E26)),IF(AND(NOT(ISNUMBER(C26)),ISNUMBER(D26),NOT(ISNUMBER(E26))),1/((1/D26)),IF(AND(NOT(ISNUMBER(C26)),NOT(ISNUMBER(D26)),NOT(ISNUMBER(E26))),".")))))))))</f>
        <v>1.6966117352747883</v>
      </c>
      <c r="G26" s="48">
        <f>IFERROR((TR/(RadSpec!F26*EF_iw*(1/365)*ED_ind*RadSpec!Q26*ET_iw_i*(1/24)*RadSpec!AA26))*1,".")</f>
        <v>1.9537419006960415</v>
      </c>
      <c r="H26" s="48">
        <f>IFERROR((TR/(RadSpec!M26*EF_iw*(1/365)*ED_ind*RadSpec!W26*ET_iw_i*(1/24)*RadSpec!AB26))*1,".")</f>
        <v>6.4764924884951656</v>
      </c>
      <c r="I26" s="48">
        <f>IFERROR((TR/(RadSpec!N26*EF_iw*(1/365)*ED_ind*RadSpec!X26*ET_iw_i*(1/24)*RadSpec!AC26))*1,".")</f>
        <v>2.5675458243233402</v>
      </c>
      <c r="J26" s="48">
        <f>IFERROR((TR/(RadSpec!O26*EF_iw*(1/365)*ED_ind*RadSpec!Y26*ET_iw_i*(1/24)*RadSpec!AD26))*1,".")</f>
        <v>1.9743076049138948</v>
      </c>
      <c r="K26" s="48">
        <f>IFERROR((TR/(RadSpec!K26*EF_iw*(1/365)*ED_ind*RadSpec!U26*ET_iw_i*(1/24)*RadSpec!Z26))*1,".")</f>
        <v>6.1900733487399338</v>
      </c>
      <c r="L26" s="48">
        <f>IFERROR(TR/(RadSpec!G26*EF_iw*ED_ind*ET_iw_i*(1/24)*IRA_iw),".")</f>
        <v>4.5808520384791572E-5</v>
      </c>
      <c r="M26" s="48">
        <f>IFERROR(TR/(RadSpec!J26*EF_iw*(1/365)*ED_ind*ET_iw_i*(1/24)*GSF_a),".")</f>
        <v>583.84193763990652</v>
      </c>
      <c r="N26" s="48">
        <f t="shared" ref="N26:N29" si="24">IFERROR(IF(AND(ISNUMBER(L26),ISNUMBER(M26)),1/((1/L26)+(1/M26)),IF(AND(ISNUMBER(L26),NOT(ISNUMBER(M26))),1/((1/L26)),IF(AND(NOT(ISNUMBER(L26)),ISNUMBER(M26)),1/((1/M26)),IF(AND(NOT(ISNUMBER(L26)),NOT(ISNUMBER(M26))),".")))),".")</f>
        <v>4.5808516790633222E-5</v>
      </c>
    </row>
    <row r="27" spans="1:14" ht="15" customHeight="1" x14ac:dyDescent="0.25">
      <c r="A27" s="49" t="s">
        <v>37</v>
      </c>
      <c r="B27" s="50" t="s">
        <v>289</v>
      </c>
      <c r="C27" s="48" t="str">
        <f>IFERROR((TR/(RadSpec!I27*EF_iw*ED_ind*IRS_iw*(1/1000)))*1,".")</f>
        <v>.</v>
      </c>
      <c r="D27" s="48" t="str">
        <f>IFERROR(IF(A27="H-3",(TR/(RadSpec!G27*EF_iw*ED_ind*ET_iw_i*(1/24)*IRA_iw*(1/17)*1000))*1,(TR/(RadSpec!G27*EF_iw*ED_ind*ET_iw_i*(1/24)*IRA_iw*(1/PEF_wind)*1000))*1),".")</f>
        <v>.</v>
      </c>
      <c r="E27" s="48">
        <f>IFERROR((TR/(RadSpec!F27*EF_iw*(1/365)*ED_ind*RadSpec!Q27*ET_iw_i*(1/24)*RadSpec!AA27))*1,".")</f>
        <v>71.724368056145323</v>
      </c>
      <c r="F27" s="48">
        <f t="shared" si="23"/>
        <v>71.724368056145323</v>
      </c>
      <c r="G27" s="48">
        <f>IFERROR((TR/(RadSpec!F27*EF_iw*(1/365)*ED_ind*RadSpec!Q27*ET_iw_i*(1/24)*RadSpec!AA27))*1,".")</f>
        <v>71.724368056145323</v>
      </c>
      <c r="H27" s="48">
        <f>IFERROR((TR/(RadSpec!M27*EF_iw*(1/365)*ED_ind*RadSpec!W27*ET_iw_i*(1/24)*RadSpec!AB27))*1,".")</f>
        <v>211.21534061578831</v>
      </c>
      <c r="I27" s="48">
        <f>IFERROR((TR/(RadSpec!N27*EF_iw*(1/365)*ED_ind*RadSpec!X27*ET_iw_i*(1/24)*RadSpec!AC27))*1,".")</f>
        <v>99.342808509968222</v>
      </c>
      <c r="J27" s="48">
        <f>IFERROR((TR/(RadSpec!O27*EF_iw*(1/365)*ED_ind*RadSpec!Y27*ET_iw_i*(1/24)*RadSpec!AD27))*1,".")</f>
        <v>74.724789827418334</v>
      </c>
      <c r="K27" s="48">
        <f>IFERROR((TR/(RadSpec!K27*EF_iw*(1/365)*ED_ind*RadSpec!U27*ET_iw_i*(1/24)*RadSpec!Z27))*1,".")</f>
        <v>51.106055168070839</v>
      </c>
      <c r="L27" s="48" t="str">
        <f>IFERROR(TR/(RadSpec!G27*EF_iw*ED_ind*ET_iw_i*(1/24)*IRA_iw),".")</f>
        <v>.</v>
      </c>
      <c r="M27" s="48">
        <f>IFERROR(TR/(RadSpec!J27*EF_iw*(1/365)*ED_ind*ET_iw_i*(1/24)*GSF_a),".")</f>
        <v>18639.425835211921</v>
      </c>
      <c r="N27" s="48">
        <f t="shared" si="24"/>
        <v>18639.425835211921</v>
      </c>
    </row>
    <row r="28" spans="1:14" ht="15" customHeight="1" x14ac:dyDescent="0.25">
      <c r="A28" s="49" t="s">
        <v>38</v>
      </c>
      <c r="B28" s="50" t="s">
        <v>289</v>
      </c>
      <c r="C28" s="48" t="str">
        <f>IFERROR((TR/(RadSpec!I28*EF_iw*ED_ind*IRS_iw*(1/1000)))*1,".")</f>
        <v>.</v>
      </c>
      <c r="D28" s="48" t="str">
        <f>IFERROR(IF(A28="H-3",(TR/(RadSpec!G28*EF_iw*ED_ind*ET_iw_i*(1/24)*IRA_iw*(1/17)*1000))*1,(TR/(RadSpec!G28*EF_iw*ED_ind*ET_iw_i*(1/24)*IRA_iw*(1/PEF_wind)*1000))*1),".")</f>
        <v>.</v>
      </c>
      <c r="E28" s="48">
        <f>IFERROR((TR/(RadSpec!F28*EF_iw*(1/365)*ED_ind*RadSpec!Q28*ET_iw_i*(1/24)*RadSpec!AA28))*1,".")</f>
        <v>4.2434213227787329E-2</v>
      </c>
      <c r="F28" s="48">
        <f t="shared" si="23"/>
        <v>4.2434213227787329E-2</v>
      </c>
      <c r="G28" s="48">
        <f>IFERROR((TR/(RadSpec!F28*EF_iw*(1/365)*ED_ind*RadSpec!Q28*ET_iw_i*(1/24)*RadSpec!AA28))*1,".")</f>
        <v>4.2434213227787329E-2</v>
      </c>
      <c r="H28" s="48">
        <f>IFERROR((TR/(RadSpec!M28*EF_iw*(1/365)*ED_ind*RadSpec!W28*ET_iw_i*(1/24)*RadSpec!AB28))*1,".")</f>
        <v>0.22985198831718137</v>
      </c>
      <c r="I28" s="48">
        <f>IFERROR((TR/(RadSpec!N28*EF_iw*(1/365)*ED_ind*RadSpec!X28*ET_iw_i*(1/24)*RadSpec!AC28))*1,".")</f>
        <v>8.0016733134308876E-2</v>
      </c>
      <c r="J28" s="48">
        <f>IFERROR((TR/(RadSpec!O28*EF_iw*(1/365)*ED_ind*RadSpec!Y28*ET_iw_i*(1/24)*RadSpec!AD28))*1,".")</f>
        <v>5.0283973851694357E-2</v>
      </c>
      <c r="K28" s="48">
        <f>IFERROR((TR/(RadSpec!K28*EF_iw*(1/365)*ED_ind*RadSpec!U28*ET_iw_i*(1/24)*RadSpec!Z28))*1,".")</f>
        <v>0.23592355027272954</v>
      </c>
      <c r="L28" s="48" t="str">
        <f>IFERROR(TR/(RadSpec!G28*EF_iw*ED_ind*ET_iw_i*(1/24)*IRA_iw),".")</f>
        <v>.</v>
      </c>
      <c r="M28" s="48">
        <f>IFERROR(TR/(RadSpec!J28*EF_iw*(1/365)*ED_ind*ET_iw_i*(1/24)*GSF_a),".")</f>
        <v>18.298460728470243</v>
      </c>
      <c r="N28" s="48">
        <f t="shared" si="24"/>
        <v>18.298460728470243</v>
      </c>
    </row>
    <row r="29" spans="1:14" ht="15" customHeight="1" x14ac:dyDescent="0.25">
      <c r="A29" s="49" t="s">
        <v>39</v>
      </c>
      <c r="B29" s="50" t="s">
        <v>289</v>
      </c>
      <c r="C29" s="48" t="str">
        <f>IFERROR((TR/(RadSpec!I29*EF_iw*ED_ind*IRS_iw*(1/1000)))*1,".")</f>
        <v>.</v>
      </c>
      <c r="D29" s="48" t="str">
        <f>IFERROR(IF(A29="H-3",(TR/(RadSpec!G29*EF_iw*ED_ind*ET_iw_i*(1/24)*IRA_iw*(1/17)*1000))*1,(TR/(RadSpec!G29*EF_iw*ED_ind*ET_iw_i*(1/24)*IRA_iw*(1/PEF_wind)*1000))*1),".")</f>
        <v>.</v>
      </c>
      <c r="E29" s="48">
        <f>IFERROR((TR/(RadSpec!F29*EF_iw*(1/365)*ED_ind*RadSpec!Q29*ET_iw_i*(1/24)*RadSpec!AA29))*1,".")</f>
        <v>3.2618995211620865E-2</v>
      </c>
      <c r="F29" s="48">
        <f t="shared" si="23"/>
        <v>3.2618995211620865E-2</v>
      </c>
      <c r="G29" s="48">
        <f>IFERROR((TR/(RadSpec!F29*EF_iw*(1/365)*ED_ind*RadSpec!Q29*ET_iw_i*(1/24)*RadSpec!AA29))*1,".")</f>
        <v>3.2618995211620865E-2</v>
      </c>
      <c r="H29" s="48">
        <f>IFERROR((TR/(RadSpec!M29*EF_iw*(1/365)*ED_ind*RadSpec!W29*ET_iw_i*(1/24)*RadSpec!AB29))*1,".")</f>
        <v>0.17627746472445488</v>
      </c>
      <c r="I29" s="48">
        <f>IFERROR((TR/(RadSpec!N29*EF_iw*(1/365)*ED_ind*RadSpec!X29*ET_iw_i*(1/24)*RadSpec!AC29))*1,".")</f>
        <v>6.153517797467848E-2</v>
      </c>
      <c r="J29" s="48">
        <f>IFERROR((TR/(RadSpec!O29*EF_iw*(1/365)*ED_ind*RadSpec!Y29*ET_iw_i*(1/24)*RadSpec!AD29))*1,".")</f>
        <v>3.8552769263477907E-2</v>
      </c>
      <c r="K29" s="48">
        <f>IFERROR((TR/(RadSpec!K29*EF_iw*(1/365)*ED_ind*RadSpec!U29*ET_iw_i*(1/24)*RadSpec!Z29))*1,".")</f>
        <v>0.18209633249205825</v>
      </c>
      <c r="L29" s="48" t="str">
        <f>IFERROR(TR/(RadSpec!G29*EF_iw*ED_ind*ET_iw_i*(1/24)*IRA_iw),".")</f>
        <v>.</v>
      </c>
      <c r="M29" s="48">
        <f>IFERROR(TR/(RadSpec!J29*EF_iw*(1/365)*ED_ind*ET_iw_i*(1/24)*GSF_a),".")</f>
        <v>14.155413016363772</v>
      </c>
      <c r="N29" s="48">
        <f t="shared" si="24"/>
        <v>14.155413016363774</v>
      </c>
    </row>
    <row r="30" spans="1:14" ht="15" customHeight="1" x14ac:dyDescent="0.25">
      <c r="A30" s="49" t="s">
        <v>40</v>
      </c>
      <c r="B30" s="50" t="s">
        <v>289</v>
      </c>
      <c r="C30" s="48">
        <f>IFERROR((TR/(RadSpec!I30*EF_iw*ED_ind*IRS_iw*(1/1000)))*1,".")</f>
        <v>61.337933678359221</v>
      </c>
      <c r="D30" s="48">
        <f>IFERROR(IF(A30="H-3",(TR/(RadSpec!G30*EF_iw*ED_ind*ET_iw_i*(1/24)*IRA_iw*(1/17)*1000))*1,(TR/(RadSpec!G30*EF_iw*ED_ind*ET_iw_i*(1/24)*IRA_iw*(1/PEF_wind)*1000))*1),".")</f>
        <v>384.19910929699597</v>
      </c>
      <c r="E30" s="48">
        <f>IFERROR((TR/(RadSpec!F30*EF_iw*(1/365)*ED_ind*RadSpec!Q30*ET_iw_i*(1/24)*RadSpec!AA30))*1,".")</f>
        <v>615.95803765786525</v>
      </c>
      <c r="F30" s="48">
        <f t="shared" ref="F30" si="25">(IF(AND(ISNUMBER(C30),ISNUMBER(D30),ISNUMBER(E30)),1/((1/C30)+(1/D30)+(1/E30)),IF(AND(ISNUMBER(C30),ISNUMBER(D30),NOT(ISNUMBER(E30))), 1/((1/C30)+(1/D30)),IF(AND(ISNUMBER(C30),NOT(ISNUMBER(D30)),ISNUMBER(E30)),1/((1/C30)+(1/E30)),IF(AND(NOT(ISNUMBER(C30)),ISNUMBER(D30),ISNUMBER(E30)),1/((1/D30)+(1/E30)),IF(AND(ISNUMBER(C30),NOT(ISNUMBER(D30)),NOT(ISNUMBER(E30))),1/((1/C30)),IF(AND(NOT(ISNUMBER(C30)),NOT(ISNUMBER(D30)),ISNUMBER(E30)),1/((1/E30)),IF(AND(NOT(ISNUMBER(C30)),ISNUMBER(D30),NOT(ISNUMBER(E30))),1/((1/D30)),IF(AND(NOT(ISNUMBER(C30)),NOT(ISNUMBER(D30)),NOT(ISNUMBER(E30))),".")))))))))</f>
        <v>48.710560144755007</v>
      </c>
      <c r="G30" s="48">
        <f>IFERROR((TR/(RadSpec!F30*EF_iw*(1/365)*ED_ind*RadSpec!Q30*ET_iw_i*(1/24)*RadSpec!AA30))*1,".")</f>
        <v>615.95803765786525</v>
      </c>
      <c r="H30" s="48">
        <f>IFERROR((TR/(RadSpec!M30*EF_iw*(1/365)*ED_ind*RadSpec!W30*ET_iw_i*(1/24)*RadSpec!AB30))*1,".")</f>
        <v>2112.1534061578832</v>
      </c>
      <c r="I30" s="48">
        <f>IFERROR((TR/(RadSpec!N30*EF_iw*(1/365)*ED_ind*RadSpec!X30*ET_iw_i*(1/24)*RadSpec!AC30))*1,".")</f>
        <v>865.12556488385599</v>
      </c>
      <c r="J30" s="48">
        <f>IFERROR((TR/(RadSpec!O30*EF_iw*(1/365)*ED_ind*RadSpec!Y30*ET_iw_i*(1/24)*RadSpec!AD30))*1,".")</f>
        <v>636.87342093996608</v>
      </c>
      <c r="K30" s="48">
        <f>IFERROR((TR/(RadSpec!K30*EF_iw*(1/365)*ED_ind*RadSpec!U30*ET_iw_i*(1/24)*RadSpec!Z30))*1,".")</f>
        <v>1225.8772710249673</v>
      </c>
      <c r="L30" s="48">
        <f>IFERROR(TR/(RadSpec!G30*EF_iw*ED_ind*ET_iw_i*(1/24)*IRA_iw),".")</f>
        <v>2.8263557675322379E-4</v>
      </c>
      <c r="M30" s="48">
        <f>IFERROR(TR/(RadSpec!J30*EF_iw*(1/365)*ED_ind*ET_iw_i*(1/24)*GSF_a),".")</f>
        <v>186858.503080269</v>
      </c>
      <c r="N30" s="48">
        <f t="shared" ref="N30" si="26">IFERROR(IF(AND(ISNUMBER(L30),ISNUMBER(M30)),1/((1/L30)+(1/M30)),IF(AND(ISNUMBER(L30),NOT(ISNUMBER(M30))),1/((1/L30)),IF(AND(NOT(ISNUMBER(L30)),ISNUMBER(M30)),1/((1/M30)),IF(AND(NOT(ISNUMBER(L30)),NOT(ISNUMBER(M30))),".")))),".")</f>
        <v>2.8263557632571918E-4</v>
      </c>
    </row>
    <row r="31" spans="1:14" x14ac:dyDescent="0.25">
      <c r="A31" s="52" t="s">
        <v>13</v>
      </c>
      <c r="B31" s="52" t="s">
        <v>289</v>
      </c>
      <c r="C31" s="53">
        <f>1/SUM(1/C32,1/C33,1/C34,1/C35,1/C36,1/C37,1/C38,1/C41,1/C44)</f>
        <v>5.7689700149354524</v>
      </c>
      <c r="D31" s="53">
        <f>1/SUM(1/D32,1/D33,1/D34,1/D35,1/D36,1/D37,1/D38,1/D41,1/D44)</f>
        <v>33.546202896296968</v>
      </c>
      <c r="E31" s="53">
        <f>1/SUM(1/E32,1/E33,1/E34,1/E35,1/E36,1/E37,1/E38,1/E39,1/E40,1/E41,1/E42,1/E43,1/E44)</f>
        <v>0.21683424490745026</v>
      </c>
      <c r="F31" s="54">
        <f>1/SUM(1/F32,1/F33,1/F34,1/F35,1/F36,1/F37,1/F38,1/F39,1/F40,1/F41,1/F42,1/F43,1/F44)</f>
        <v>0.20768568019891548</v>
      </c>
      <c r="G31" s="53">
        <f t="shared" ref="G31:N31" si="27">1/SUM(1/G32,1/G33,1/G34,1/G35,1/G36,1/G37,1/G38,1/G39,1/G40,1/G41,1/G42,1/G43,1/G44)</f>
        <v>0.21683424490745026</v>
      </c>
      <c r="H31" s="53">
        <f t="shared" si="27"/>
        <v>0.89565857844352581</v>
      </c>
      <c r="I31" s="53">
        <f t="shared" si="27"/>
        <v>0.33381319598587972</v>
      </c>
      <c r="J31" s="53">
        <f t="shared" si="27"/>
        <v>0.2317426528430295</v>
      </c>
      <c r="K31" s="53">
        <f t="shared" si="27"/>
        <v>0.86775767866235698</v>
      </c>
      <c r="L31" s="53">
        <f>1/SUM(1/L32,1/L33,1/L34,1/L35,1/L36,1/L37,1/L38,1/L41,1/L44)</f>
        <v>2.4678220677878321E-5</v>
      </c>
      <c r="M31" s="53">
        <f t="shared" si="27"/>
        <v>79.283653658822047</v>
      </c>
      <c r="N31" s="54">
        <f t="shared" si="27"/>
        <v>2.4678212996416152E-5</v>
      </c>
    </row>
    <row r="32" spans="1:14" x14ac:dyDescent="0.25">
      <c r="A32" s="55" t="s">
        <v>290</v>
      </c>
      <c r="B32" s="50">
        <v>1</v>
      </c>
      <c r="C32" s="56">
        <f>IFERROR(C3/$B32,0)</f>
        <v>35.157108327840035</v>
      </c>
      <c r="D32" s="56">
        <f>IFERROR(D3/$B32,0)</f>
        <v>288.14933197274695</v>
      </c>
      <c r="E32" s="56">
        <f>IFERROR(E3/$B32,0)</f>
        <v>15.827782486651477</v>
      </c>
      <c r="F32" s="56">
        <f>IF(AND(C32&lt;&gt;0,D32&lt;&gt;0,E32&lt;&gt;0),1/((1/C32)+(1/D32)+(1/E32)),IF(AND(C32&lt;&gt;0,D32&lt;&gt;0,E32=0), 1/((1/C32)+(1/D32)),IF(AND(C32&lt;&gt;0,D32=0,E32&lt;&gt;0),1/((1/C32)+(1/E32)),IF(AND(C32=0,D32&lt;&gt;0,E32&lt;&gt;0),1/((1/D32)+(1/E32)),IF(AND(C32&lt;&gt;0,D32=0,E32=0),1/((1/C32)),IF(AND(C32=0,D32&lt;&gt;0,E32=0),1/((1/D32)),IF(AND(C32=0,D32=0,E32&lt;&gt;0),1/((1/E32)),IF(AND(C32=0,D32=0,E32=0),0))))))))</f>
        <v>10.515886560049738</v>
      </c>
      <c r="G32" s="56">
        <f t="shared" ref="G32:M32" si="28">IFERROR(G3/$B32,0)</f>
        <v>15.827782486651477</v>
      </c>
      <c r="H32" s="56">
        <f t="shared" si="28"/>
        <v>31.843671046998299</v>
      </c>
      <c r="I32" s="56">
        <f t="shared" si="28"/>
        <v>16.989060006052533</v>
      </c>
      <c r="J32" s="56">
        <f t="shared" si="28"/>
        <v>15.827782486651477</v>
      </c>
      <c r="K32" s="56">
        <f t="shared" si="28"/>
        <v>23.444902808352499</v>
      </c>
      <c r="L32" s="56">
        <f t="shared" si="28"/>
        <v>2.1197668256491784E-4</v>
      </c>
      <c r="M32" s="56">
        <f t="shared" si="28"/>
        <v>3019.0619310554525</v>
      </c>
      <c r="N32" s="56">
        <f>IFERROR(IF(AND(L32&lt;&gt;0,M32&lt;&gt;0),1/((1/L32)+(1/M32)),IF(AND(L32&lt;&gt;0,M32=0),1/((1/L32)),IF(AND(L32=0,M32&lt;&gt;0),1/((1/M32)),IF(AND(L32=0,M32=0),0)))),0)</f>
        <v>2.1197666768145014E-4</v>
      </c>
    </row>
    <row r="33" spans="1:14" x14ac:dyDescent="0.25">
      <c r="A33" s="55" t="s">
        <v>291</v>
      </c>
      <c r="B33" s="50">
        <v>1</v>
      </c>
      <c r="C33" s="56">
        <f t="shared" ref="C33:E34" si="29">IFERROR(C13/$B33,0)</f>
        <v>68.09959565865077</v>
      </c>
      <c r="D33" s="56">
        <f t="shared" si="29"/>
        <v>379.24170143509923</v>
      </c>
      <c r="E33" s="56">
        <f t="shared" si="29"/>
        <v>8.4676849872153515</v>
      </c>
      <c r="F33" s="56">
        <f>IF(AND(C33&lt;&gt;0,D33&lt;&gt;0,E33&lt;&gt;0),1/((1/C33)+(1/D33)+(1/E33)),IF(AND(C33&lt;&gt;0,D33&lt;&gt;0,E33=0), 1/((1/C33)+(1/D33)),IF(AND(C33&lt;&gt;0,D33=0,E33&lt;&gt;0),1/((1/C33)+(1/E33)),IF(AND(C33=0,D33&lt;&gt;0,E33&lt;&gt;0),1/((1/D33)+(1/E33)),IF(AND(C33&lt;&gt;0,D33=0,E33=0),1/((1/C33)),IF(AND(C33=0,D33&lt;&gt;0,E33=0),1/((1/D33)),IF(AND(C33=0,D33=0,E33&lt;&gt;0),1/((1/E33)),IF(AND(C33=0,D33=0,E33=0),0))))))))</f>
        <v>7.3845836749079146</v>
      </c>
      <c r="G33" s="56">
        <f t="shared" ref="G33:M34" si="30">IFERROR(G13/$B33,0)</f>
        <v>8.4676849872153515</v>
      </c>
      <c r="H33" s="56">
        <f t="shared" si="30"/>
        <v>25.243502350850605</v>
      </c>
      <c r="I33" s="56">
        <f t="shared" si="30"/>
        <v>10.608553306946835</v>
      </c>
      <c r="J33" s="56">
        <f t="shared" si="30"/>
        <v>8.506087186703855</v>
      </c>
      <c r="K33" s="56">
        <f t="shared" si="30"/>
        <v>20.839913607424439</v>
      </c>
      <c r="L33" s="56">
        <f t="shared" si="30"/>
        <v>2.7898866608544026E-4</v>
      </c>
      <c r="M33" s="56">
        <f t="shared" si="30"/>
        <v>2283.8261487588434</v>
      </c>
      <c r="N33" s="56">
        <f t="shared" ref="N33:N44" si="31">IFERROR(IF(AND(L33&lt;&gt;0,M33&lt;&gt;0),1/((1/L33)+(1/M33)),IF(AND(L33&lt;&gt;0,M33=0),1/((1/L33)),IF(AND(L33=0,M33&lt;&gt;0),1/((1/M33)),IF(AND(L33=0,M33=0),0)))),0)</f>
        <v>2.7898863200462093E-4</v>
      </c>
    </row>
    <row r="34" spans="1:14" x14ac:dyDescent="0.25">
      <c r="A34" s="55" t="s">
        <v>292</v>
      </c>
      <c r="B34" s="50">
        <v>1</v>
      </c>
      <c r="C34" s="56">
        <f t="shared" si="29"/>
        <v>1239.0614109811818</v>
      </c>
      <c r="D34" s="56">
        <f t="shared" si="29"/>
        <v>711652.10317724443</v>
      </c>
      <c r="E34" s="56">
        <f t="shared" si="29"/>
        <v>0.54523029786866284</v>
      </c>
      <c r="F34" s="56">
        <f>IF(AND(C34&lt;&gt;0,D34&lt;&gt;0,E34&lt;&gt;0),1/((1/C34)+(1/D34)+(1/E34)),IF(AND(C34&lt;&gt;0,D34&lt;&gt;0,E34=0), 1/((1/C34)+(1/D34)),IF(AND(C34&lt;&gt;0,D34=0,E34&lt;&gt;0),1/((1/C34)+(1/E34)),IF(AND(C34=0,D34&lt;&gt;0,E34&lt;&gt;0),1/((1/D34)+(1/E34)),IF(AND(C34&lt;&gt;0,D34=0,E34=0),1/((1/C34)),IF(AND(C34=0,D34&lt;&gt;0,E34=0),1/((1/D34)),IF(AND(C34=0,D34=0,E34&lt;&gt;0),1/((1/E34)),IF(AND(C34=0,D34=0,E34=0),0))))))))</f>
        <v>0.54499006566211727</v>
      </c>
      <c r="G34" s="56">
        <f t="shared" si="30"/>
        <v>0.54523029786866284</v>
      </c>
      <c r="H34" s="56">
        <f t="shared" si="30"/>
        <v>2.2985198831718137</v>
      </c>
      <c r="I34" s="56">
        <f t="shared" si="30"/>
        <v>0.83731795744116055</v>
      </c>
      <c r="J34" s="56">
        <f t="shared" si="30"/>
        <v>0.57621880942187398</v>
      </c>
      <c r="K34" s="56">
        <f t="shared" si="30"/>
        <v>2.3299282294014909</v>
      </c>
      <c r="L34" s="56">
        <f t="shared" si="30"/>
        <v>0.52352594725476087</v>
      </c>
      <c r="M34" s="56">
        <f t="shared" si="30"/>
        <v>205.26317096232015</v>
      </c>
      <c r="N34" s="56">
        <f t="shared" si="31"/>
        <v>0.52219408556707636</v>
      </c>
    </row>
    <row r="35" spans="1:14" x14ac:dyDescent="0.25">
      <c r="A35" s="55" t="s">
        <v>293</v>
      </c>
      <c r="B35" s="50">
        <v>1</v>
      </c>
      <c r="C35" s="56">
        <f>IFERROR(C30/$B35,0)</f>
        <v>61.337933678359221</v>
      </c>
      <c r="D35" s="56">
        <f>IFERROR(D30/$B35,0)</f>
        <v>384.19910929699597</v>
      </c>
      <c r="E35" s="56">
        <f>IFERROR(E30/$B35,0)</f>
        <v>615.95803765786525</v>
      </c>
      <c r="F35" s="56">
        <f t="shared" ref="F35:F61" si="32">IF(AND(C35&lt;&gt;0,D35&lt;&gt;0,E35&lt;&gt;0),1/((1/C35)+(1/D35)+(1/E35)),IF(AND(C35&lt;&gt;0,D35&lt;&gt;0,E35=0), 1/((1/C35)+(1/D35)),IF(AND(C35&lt;&gt;0,D35=0,E35&lt;&gt;0),1/((1/C35)+(1/E35)),IF(AND(C35=0,D35&lt;&gt;0,E35&lt;&gt;0),1/((1/D35)+(1/E35)),IF(AND(C35&lt;&gt;0,D35=0,E35=0),1/((1/C35)),IF(AND(C35=0,D35&lt;&gt;0,E35=0),1/((1/D35)),IF(AND(C35=0,D35=0,E35&lt;&gt;0),1/((1/E35)),IF(AND(C35=0,D35=0,E35=0),0))))))))</f>
        <v>48.710560144755007</v>
      </c>
      <c r="G35" s="56">
        <f t="shared" ref="G35:M35" si="33">IFERROR(G30/$B35,0)</f>
        <v>615.95803765786525</v>
      </c>
      <c r="H35" s="56">
        <f t="shared" si="33"/>
        <v>2112.1534061578832</v>
      </c>
      <c r="I35" s="56">
        <f t="shared" si="33"/>
        <v>865.12556488385599</v>
      </c>
      <c r="J35" s="56">
        <f t="shared" si="33"/>
        <v>636.87342093996608</v>
      </c>
      <c r="K35" s="56">
        <f t="shared" si="33"/>
        <v>1225.8772710249673</v>
      </c>
      <c r="L35" s="56">
        <f t="shared" si="33"/>
        <v>2.8263557675322379E-4</v>
      </c>
      <c r="M35" s="56">
        <f t="shared" si="33"/>
        <v>186858.503080269</v>
      </c>
      <c r="N35" s="56">
        <f t="shared" si="31"/>
        <v>2.8263557632571918E-4</v>
      </c>
    </row>
    <row r="36" spans="1:14" x14ac:dyDescent="0.25">
      <c r="A36" s="55" t="s">
        <v>294</v>
      </c>
      <c r="B36" s="50">
        <v>1</v>
      </c>
      <c r="C36" s="56">
        <f>IFERROR(C26/$B36,0)</f>
        <v>16.256858362121523</v>
      </c>
      <c r="D36" s="56">
        <f>IFERROR(D26/$B36,0)</f>
        <v>62.269559028008885</v>
      </c>
      <c r="E36" s="56">
        <f>IFERROR(E26/$B36,0)</f>
        <v>1.9537419006960415</v>
      </c>
      <c r="F36" s="56">
        <f t="shared" si="32"/>
        <v>1.6966117352747883</v>
      </c>
      <c r="G36" s="56">
        <f t="shared" ref="G36:M36" si="34">IFERROR(G26/$B36,0)</f>
        <v>1.9537419006960415</v>
      </c>
      <c r="H36" s="56">
        <f t="shared" si="34"/>
        <v>6.4764924884951656</v>
      </c>
      <c r="I36" s="56">
        <f t="shared" si="34"/>
        <v>2.5675458243233402</v>
      </c>
      <c r="J36" s="56">
        <f t="shared" si="34"/>
        <v>1.9743076049138948</v>
      </c>
      <c r="K36" s="56">
        <f t="shared" si="34"/>
        <v>6.1900733487399338</v>
      </c>
      <c r="L36" s="56">
        <f t="shared" si="34"/>
        <v>4.5808520384791572E-5</v>
      </c>
      <c r="M36" s="56">
        <f t="shared" si="34"/>
        <v>583.84193763990652</v>
      </c>
      <c r="N36" s="56">
        <f t="shared" si="31"/>
        <v>4.5808516790633222E-5</v>
      </c>
    </row>
    <row r="37" spans="1:14" x14ac:dyDescent="0.25">
      <c r="A37" s="55" t="s">
        <v>295</v>
      </c>
      <c r="B37" s="50">
        <v>1</v>
      </c>
      <c r="C37" s="56">
        <f>IFERROR(C22/$B37,0)</f>
        <v>43.028102729595261</v>
      </c>
      <c r="D37" s="56">
        <f>IFERROR(D22/$B37,0)</f>
        <v>415.71756522235063</v>
      </c>
      <c r="E37" s="56">
        <f>IFERROR(E22/$B37,0)</f>
        <v>71.724368056145323</v>
      </c>
      <c r="F37" s="56">
        <f t="shared" si="32"/>
        <v>25.259945511916079</v>
      </c>
      <c r="G37" s="56">
        <f t="shared" ref="G37:M37" si="35">IFERROR(G22/$B37,0)</f>
        <v>71.724368056145323</v>
      </c>
      <c r="H37" s="56">
        <f t="shared" si="35"/>
        <v>98.507994993077716</v>
      </c>
      <c r="I37" s="56">
        <f t="shared" si="35"/>
        <v>72.138162487238446</v>
      </c>
      <c r="J37" s="56">
        <f t="shared" si="35"/>
        <v>71.86177106008428</v>
      </c>
      <c r="K37" s="56">
        <f t="shared" si="35"/>
        <v>49.553295235619551</v>
      </c>
      <c r="L37" s="56">
        <f t="shared" si="35"/>
        <v>3.0582208800030585E-4</v>
      </c>
      <c r="M37" s="56">
        <f t="shared" si="35"/>
        <v>9496.6694919908859</v>
      </c>
      <c r="N37" s="56">
        <f t="shared" si="31"/>
        <v>3.0582207815189042E-4</v>
      </c>
    </row>
    <row r="38" spans="1:14" x14ac:dyDescent="0.25">
      <c r="A38" s="55" t="s">
        <v>296</v>
      </c>
      <c r="B38" s="50">
        <v>1</v>
      </c>
      <c r="C38" s="56">
        <f>IFERROR(C2/$B38,0)</f>
        <v>35.445281346920687</v>
      </c>
      <c r="D38" s="56">
        <f>IFERROR(D2/$B38,0)</f>
        <v>380.71543861684188</v>
      </c>
      <c r="E38" s="56">
        <f>IFERROR(E2/$B38,0)</f>
        <v>10.626584842312749</v>
      </c>
      <c r="F38" s="56">
        <f t="shared" si="32"/>
        <v>8.0036660563238122</v>
      </c>
      <c r="G38" s="56">
        <f t="shared" ref="G38:M38" si="36">IFERROR(G2/$B38,0)</f>
        <v>10.626584842312749</v>
      </c>
      <c r="H38" s="56">
        <f t="shared" si="36"/>
        <v>37.936735935845476</v>
      </c>
      <c r="I38" s="56">
        <f t="shared" si="36"/>
        <v>14.653064255220313</v>
      </c>
      <c r="J38" s="56">
        <f t="shared" si="36"/>
        <v>10.904605957373255</v>
      </c>
      <c r="K38" s="56">
        <f t="shared" si="36"/>
        <v>36.419266498411645</v>
      </c>
      <c r="L38" s="56">
        <f t="shared" si="36"/>
        <v>2.8007281893292258E-4</v>
      </c>
      <c r="M38" s="56">
        <f t="shared" si="36"/>
        <v>3402.4348746815417</v>
      </c>
      <c r="N38" s="56">
        <f t="shared" si="31"/>
        <v>2.800727958786158E-4</v>
      </c>
    </row>
    <row r="39" spans="1:14" x14ac:dyDescent="0.25">
      <c r="A39" s="55" t="s">
        <v>297</v>
      </c>
      <c r="B39" s="50">
        <v>1</v>
      </c>
      <c r="C39" s="56">
        <f>IFERROR(C11/$B39,0)</f>
        <v>0</v>
      </c>
      <c r="D39" s="56">
        <f>IFERROR(D11/$B39,0)</f>
        <v>0</v>
      </c>
      <c r="E39" s="56">
        <f>IFERROR(E11/$B39,0)</f>
        <v>4.1772655337821822</v>
      </c>
      <c r="F39" s="56">
        <f t="shared" si="32"/>
        <v>4.1772655337821822</v>
      </c>
      <c r="G39" s="56">
        <f t="shared" ref="G39:M39" si="37">IFERROR(G11/$B39,0)</f>
        <v>4.1772655337821822</v>
      </c>
      <c r="H39" s="56">
        <f t="shared" si="37"/>
        <v>17.113067743322993</v>
      </c>
      <c r="I39" s="56">
        <f t="shared" si="37"/>
        <v>6.2023552403048932</v>
      </c>
      <c r="J39" s="56">
        <f t="shared" si="37"/>
        <v>4.3366294211981495</v>
      </c>
      <c r="K39" s="56">
        <f t="shared" si="37"/>
        <v>17.366594672853704</v>
      </c>
      <c r="L39" s="56">
        <f t="shared" si="37"/>
        <v>0</v>
      </c>
      <c r="M39" s="56">
        <f t="shared" si="37"/>
        <v>1520.2368589002633</v>
      </c>
      <c r="N39" s="56">
        <f t="shared" si="31"/>
        <v>1520.2368589002633</v>
      </c>
    </row>
    <row r="40" spans="1:14" x14ac:dyDescent="0.25">
      <c r="A40" s="55" t="s">
        <v>298</v>
      </c>
      <c r="B40" s="50">
        <v>1</v>
      </c>
      <c r="C40" s="56">
        <f>IFERROR(C4/$B40,0)</f>
        <v>0</v>
      </c>
      <c r="D40" s="56">
        <f>IFERROR(D4/$B40,0)</f>
        <v>0</v>
      </c>
      <c r="E40" s="56">
        <f>IFERROR(E4/$B40,0)</f>
        <v>467.7287343312218</v>
      </c>
      <c r="F40" s="56">
        <f t="shared" si="32"/>
        <v>467.7287343312218</v>
      </c>
      <c r="G40" s="56">
        <f t="shared" ref="G40:M40" si="38">IFERROR(G4/$B40,0)</f>
        <v>467.7287343312218</v>
      </c>
      <c r="H40" s="56">
        <f t="shared" si="38"/>
        <v>2021.1123110648705</v>
      </c>
      <c r="I40" s="56">
        <f t="shared" si="38"/>
        <v>732.65321276101554</v>
      </c>
      <c r="J40" s="56">
        <f t="shared" si="38"/>
        <v>498.82771932664889</v>
      </c>
      <c r="K40" s="56">
        <f t="shared" si="38"/>
        <v>2061.0903567782416</v>
      </c>
      <c r="L40" s="56">
        <f t="shared" si="38"/>
        <v>0</v>
      </c>
      <c r="M40" s="56">
        <f t="shared" si="38"/>
        <v>179482.50953762681</v>
      </c>
      <c r="N40" s="56">
        <f t="shared" si="31"/>
        <v>179482.50953762681</v>
      </c>
    </row>
    <row r="41" spans="1:14" x14ac:dyDescent="0.25">
      <c r="A41" s="55" t="s">
        <v>299</v>
      </c>
      <c r="B41" s="57">
        <v>0.99987999999999999</v>
      </c>
      <c r="C41" s="56">
        <f>IFERROR(C8/$B41,0)</f>
        <v>10092.983210083981</v>
      </c>
      <c r="D41" s="56">
        <f>IFERROR(D8/$B41,0)</f>
        <v>146973.79616164035</v>
      </c>
      <c r="E41" s="56">
        <f>IFERROR(E8/$B41,0)</f>
        <v>0.80680314956857169</v>
      </c>
      <c r="F41" s="56">
        <f t="shared" si="32"/>
        <v>0.80673423311074455</v>
      </c>
      <c r="G41" s="56">
        <f t="shared" ref="G41:M41" si="39">IFERROR(G8/$B41,0)</f>
        <v>0.80680314956857169</v>
      </c>
      <c r="H41" s="56">
        <f t="shared" si="39"/>
        <v>3.7218597673550184</v>
      </c>
      <c r="I41" s="56">
        <f t="shared" si="39"/>
        <v>1.332256621269126</v>
      </c>
      <c r="J41" s="56">
        <f t="shared" si="39"/>
        <v>0.88066540974034224</v>
      </c>
      <c r="K41" s="56">
        <f t="shared" si="39"/>
        <v>3.6423637334891832</v>
      </c>
      <c r="L41" s="56">
        <f t="shared" si="39"/>
        <v>0.10812108263802468</v>
      </c>
      <c r="M41" s="56">
        <f t="shared" si="39"/>
        <v>329.09075837665438</v>
      </c>
      <c r="N41" s="56">
        <f t="shared" si="31"/>
        <v>0.10808557167720362</v>
      </c>
    </row>
    <row r="42" spans="1:14" x14ac:dyDescent="0.25">
      <c r="A42" s="55" t="s">
        <v>300</v>
      </c>
      <c r="B42" s="50">
        <v>0.97898250799999997</v>
      </c>
      <c r="C42" s="56">
        <f>IFERROR(C19/$B42,0)</f>
        <v>0</v>
      </c>
      <c r="D42" s="56">
        <f>IFERROR(D19/$B42,0)</f>
        <v>0</v>
      </c>
      <c r="E42" s="56">
        <f>IFERROR(E19/$B42,0)</f>
        <v>2588.998339273146</v>
      </c>
      <c r="F42" s="56">
        <f t="shared" si="32"/>
        <v>2588.998339273146</v>
      </c>
      <c r="G42" s="56">
        <f t="shared" ref="G42:M42" si="40">IFERROR(G19/$B42,0)</f>
        <v>2588.998339273146</v>
      </c>
      <c r="H42" s="56">
        <f t="shared" si="40"/>
        <v>12944.991696365731</v>
      </c>
      <c r="I42" s="56">
        <f t="shared" si="40"/>
        <v>4596.5901417037612</v>
      </c>
      <c r="J42" s="56">
        <f t="shared" si="40"/>
        <v>2947.4750324032743</v>
      </c>
      <c r="K42" s="56">
        <f t="shared" si="40"/>
        <v>13304.574799042559</v>
      </c>
      <c r="L42" s="56">
        <f t="shared" si="40"/>
        <v>0</v>
      </c>
      <c r="M42" s="56">
        <f t="shared" si="40"/>
        <v>1110642.7658331178</v>
      </c>
      <c r="N42" s="56">
        <f t="shared" si="31"/>
        <v>1110642.7658331178</v>
      </c>
    </row>
    <row r="43" spans="1:14" x14ac:dyDescent="0.25">
      <c r="A43" s="55" t="s">
        <v>301</v>
      </c>
      <c r="B43" s="50">
        <v>2.0897492E-2</v>
      </c>
      <c r="C43" s="56">
        <f>IFERROR(C28/$B43,0)</f>
        <v>0</v>
      </c>
      <c r="D43" s="56">
        <f>IFERROR(D28/$B43,0)</f>
        <v>0</v>
      </c>
      <c r="E43" s="56">
        <f>IFERROR(E28/$B43,0)</f>
        <v>2.0305888011722808</v>
      </c>
      <c r="F43" s="56">
        <f t="shared" si="32"/>
        <v>2.0305888011722808</v>
      </c>
      <c r="G43" s="56">
        <f t="shared" ref="G43:M43" si="41">IFERROR(G28/$B43,0)</f>
        <v>2.0305888011722808</v>
      </c>
      <c r="H43" s="56">
        <f t="shared" si="41"/>
        <v>10.999022673016521</v>
      </c>
      <c r="I43" s="56">
        <f t="shared" si="41"/>
        <v>3.8290113059647961</v>
      </c>
      <c r="J43" s="56">
        <f t="shared" si="41"/>
        <v>2.4062205097001286</v>
      </c>
      <c r="K43" s="56">
        <f t="shared" si="41"/>
        <v>11.289562894567901</v>
      </c>
      <c r="L43" s="56">
        <f t="shared" si="41"/>
        <v>0</v>
      </c>
      <c r="M43" s="56">
        <f t="shared" si="41"/>
        <v>875.62951231038835</v>
      </c>
      <c r="N43" s="56">
        <f t="shared" si="31"/>
        <v>875.62951231038824</v>
      </c>
    </row>
    <row r="44" spans="1:14" x14ac:dyDescent="0.25">
      <c r="A44" s="55" t="s">
        <v>302</v>
      </c>
      <c r="B44" s="50">
        <v>0.99987999999999999</v>
      </c>
      <c r="C44" s="56">
        <f>IFERROR(C15/$B44,0)</f>
        <v>26211.171548612041</v>
      </c>
      <c r="D44" s="56">
        <f>IFERROR(D15/$B44,0)</f>
        <v>52303842.050405815</v>
      </c>
      <c r="E44" s="56">
        <f>IFERROR(E15/$B44,0)</f>
        <v>906.19194335600446</v>
      </c>
      <c r="F44" s="56">
        <f t="shared" si="32"/>
        <v>875.89469111945061</v>
      </c>
      <c r="G44" s="56">
        <f t="shared" ref="G44:M44" si="42">IFERROR(G15/$B44,0)</f>
        <v>906.19194335600446</v>
      </c>
      <c r="H44" s="56">
        <f t="shared" si="42"/>
        <v>2377.4617525309623</v>
      </c>
      <c r="I44" s="56">
        <f t="shared" si="42"/>
        <v>1051.4671091630771</v>
      </c>
      <c r="J44" s="56">
        <f t="shared" si="42"/>
        <v>828.17541843131528</v>
      </c>
      <c r="K44" s="56">
        <f t="shared" si="42"/>
        <v>775.13112510203689</v>
      </c>
      <c r="L44" s="56">
        <f t="shared" si="42"/>
        <v>38.477253607837959</v>
      </c>
      <c r="M44" s="56">
        <f t="shared" si="42"/>
        <v>102784.51083544819</v>
      </c>
      <c r="N44" s="56">
        <f t="shared" si="31"/>
        <v>38.462855085944007</v>
      </c>
    </row>
    <row r="45" spans="1:14" x14ac:dyDescent="0.25">
      <c r="A45" s="52" t="s">
        <v>20</v>
      </c>
      <c r="B45" s="52" t="s">
        <v>289</v>
      </c>
      <c r="C45" s="53">
        <f>IFERROR(IF(AND(C46&lt;&gt;0,C47&lt;&gt;0),1/SUM(1/C46,1/C47),IF(AND(C46&lt;&gt;0,C47=0),1/(1/C46),IF(AND(C46=0,C47&lt;&gt;0),1/(1/C47),IF(AND(C46=0,C47=0),".")))),".")</f>
        <v>100.6827549318818</v>
      </c>
      <c r="D45" s="53">
        <f t="shared" ref="D45:F45" si="43">IFERROR(IF(AND(D46&lt;&gt;0,D47&lt;&gt;0),1/SUM(1/D46,1/D47),IF(AND(D46&lt;&gt;0,D47=0),1/(1/D46),IF(AND(D46=0,D47&lt;&gt;0),1/(1/D47),IF(AND(D46=0,D47=0),".")))),".")</f>
        <v>96681.683754013779</v>
      </c>
      <c r="E45" s="53">
        <f t="shared" si="43"/>
        <v>0.17273430107689544</v>
      </c>
      <c r="F45" s="54">
        <f t="shared" si="43"/>
        <v>0.17243815301751306</v>
      </c>
      <c r="G45" s="53">
        <f t="shared" ref="G45:N45" si="44">IFERROR(IF(AND(G46&lt;&gt;0,G47&lt;&gt;0),1/SUM(1/G46,1/G47),IF(AND(G46&lt;&gt;0,G47=0),1/(1/G46),IF(AND(G46=0,G47&lt;&gt;0),1/(1/G47),IF(AND(G46=0,G47=0),".")))),".")</f>
        <v>0.17273430107689544</v>
      </c>
      <c r="H45" s="53">
        <f t="shared" si="44"/>
        <v>0.84732832452887064</v>
      </c>
      <c r="I45" s="53">
        <f t="shared" si="44"/>
        <v>0.30049911236049004</v>
      </c>
      <c r="J45" s="53">
        <f t="shared" si="44"/>
        <v>0.19379521328883129</v>
      </c>
      <c r="K45" s="53">
        <f t="shared" si="44"/>
        <v>0.86479566209218939</v>
      </c>
      <c r="L45" s="53">
        <f t="shared" si="44"/>
        <v>7.1123755334281655E-2</v>
      </c>
      <c r="M45" s="53">
        <f t="shared" si="44"/>
        <v>73.537914259447277</v>
      </c>
      <c r="N45" s="54">
        <f t="shared" si="44"/>
        <v>7.105503295032882E-2</v>
      </c>
    </row>
    <row r="46" spans="1:14" x14ac:dyDescent="0.25">
      <c r="A46" s="55" t="s">
        <v>303</v>
      </c>
      <c r="B46" s="50">
        <v>1</v>
      </c>
      <c r="C46" s="56">
        <f>IFERROR(C10/$B46,0)</f>
        <v>100.6827549318818</v>
      </c>
      <c r="D46" s="56">
        <f>IFERROR(D10/$B46,0)</f>
        <v>96681.683754013779</v>
      </c>
      <c r="E46" s="56">
        <f>IFERROR(E10/$B46,0)</f>
        <v>793.06225144532766</v>
      </c>
      <c r="F46" s="56">
        <f t="shared" si="32"/>
        <v>89.258093816554407</v>
      </c>
      <c r="G46" s="56">
        <f t="shared" ref="G46:M46" si="45">IFERROR(G10/$B46,0)</f>
        <v>793.06225144532766</v>
      </c>
      <c r="H46" s="56">
        <f t="shared" si="45"/>
        <v>2276.2041561507281</v>
      </c>
      <c r="I46" s="56">
        <f t="shared" si="45"/>
        <v>1032.8151016895376</v>
      </c>
      <c r="J46" s="56">
        <f t="shared" si="45"/>
        <v>808.44492442594833</v>
      </c>
      <c r="K46" s="56">
        <f t="shared" si="45"/>
        <v>791.38912433257394</v>
      </c>
      <c r="L46" s="56">
        <f t="shared" si="45"/>
        <v>7.1123755334281655E-2</v>
      </c>
      <c r="M46" s="56">
        <f t="shared" si="45"/>
        <v>107947.75393773813</v>
      </c>
      <c r="N46" s="56">
        <f t="shared" ref="N46:N47" si="46">IFERROR(IF(AND(L46&lt;&gt;0,M46&lt;&gt;0),1/((1/L46)+(1/M46)),IF(AND(L46&lt;&gt;0,M46=0),1/((1/L46)),IF(AND(L46=0,M46&lt;&gt;0),1/((1/M46)),IF(AND(L46=0,M46=0),0)))),0)</f>
        <v>7.1123708472859759E-2</v>
      </c>
    </row>
    <row r="47" spans="1:14" x14ac:dyDescent="0.25">
      <c r="A47" s="55" t="s">
        <v>304</v>
      </c>
      <c r="B47" s="58">
        <v>0.94399</v>
      </c>
      <c r="C47" s="56">
        <f>IFERROR(C6/$B$47,0)</f>
        <v>0</v>
      </c>
      <c r="D47" s="56">
        <f>IFERROR(D6/$B$47,0)</f>
        <v>0</v>
      </c>
      <c r="E47" s="56">
        <f>IFERROR(E6/$B$47,0)</f>
        <v>0.1727719319676102</v>
      </c>
      <c r="F47" s="56">
        <f t="shared" si="32"/>
        <v>0.1727719319676102</v>
      </c>
      <c r="G47" s="56">
        <f t="shared" ref="G47:M47" si="47">IFERROR(G6/$B$47,0)</f>
        <v>0.1727719319676102</v>
      </c>
      <c r="H47" s="56">
        <f t="shared" si="47"/>
        <v>0.84764386417556192</v>
      </c>
      <c r="I47" s="56">
        <f t="shared" si="47"/>
        <v>0.30058656847617504</v>
      </c>
      <c r="J47" s="56">
        <f t="shared" si="47"/>
        <v>0.19384167976853825</v>
      </c>
      <c r="K47" s="56">
        <f t="shared" si="47"/>
        <v>0.86574170702724063</v>
      </c>
      <c r="L47" s="56">
        <f t="shared" si="47"/>
        <v>0</v>
      </c>
      <c r="M47" s="56">
        <f t="shared" si="47"/>
        <v>73.588045097315458</v>
      </c>
      <c r="N47" s="56">
        <f t="shared" si="46"/>
        <v>73.588045097315458</v>
      </c>
    </row>
    <row r="48" spans="1:14" x14ac:dyDescent="0.25">
      <c r="A48" s="52" t="s">
        <v>33</v>
      </c>
      <c r="B48" s="52" t="s">
        <v>289</v>
      </c>
      <c r="C48" s="53">
        <f>1/SUM(1/C49,1/C52,1/C54,1/C58,1/C59,1/C61)</f>
        <v>1.3712573194900335</v>
      </c>
      <c r="D48" s="53">
        <f>1/SUM(1/D49,1/D50,1/D51,1/D52,1/D54,1/D58,1/D59,1/D61)</f>
        <v>183.86675287681183</v>
      </c>
      <c r="E48" s="53">
        <f>1/SUM(1/E49,1/E50,1/E51,1/E52,1/E53,1/E54,1/E55,1/E56,1/E57,1/E58,1/E59,1/E60,1/E61,1/E62)</f>
        <v>5.2317029778655162E-2</v>
      </c>
      <c r="F48" s="54">
        <f>1/SUM(1/F49,1/F50,1/F51,1/F52,1/F53,1/F54,1/F55,1/F56,1/F57,1/F58,1/F59,1/F60,1/F61,1/F62)</f>
        <v>5.0380545879316535E-2</v>
      </c>
      <c r="G48" s="53">
        <f t="shared" ref="G48:N48" si="48">1/SUM(1/G49,1/G50,1/G51,1/G52,1/G53,1/G54,1/G55,1/G56,1/G57,1/G58,1/G59,1/G60,1/G61,1/G62)</f>
        <v>5.2317029778655162E-2</v>
      </c>
      <c r="H48" s="53">
        <f t="shared" si="48"/>
        <v>0.28047411697241537</v>
      </c>
      <c r="I48" s="53">
        <f t="shared" si="48"/>
        <v>9.8114152034043833E-2</v>
      </c>
      <c r="J48" s="53">
        <f t="shared" si="48"/>
        <v>6.1647473137685808E-2</v>
      </c>
      <c r="K48" s="53">
        <f t="shared" si="48"/>
        <v>0.28795122255930122</v>
      </c>
      <c r="L48" s="53">
        <f>1/SUM(1/L49,1/L50,1/L51,1/L52,1/L54,1/L58,1/L59,1/L61)</f>
        <v>1.3526133842467635E-4</v>
      </c>
      <c r="M48" s="53">
        <f t="shared" si="48"/>
        <v>22.600621124082622</v>
      </c>
      <c r="N48" s="54">
        <f t="shared" si="48"/>
        <v>1.3526052891063353E-4</v>
      </c>
    </row>
    <row r="49" spans="1:14" x14ac:dyDescent="0.25">
      <c r="A49" s="55" t="s">
        <v>305</v>
      </c>
      <c r="B49" s="50">
        <v>1</v>
      </c>
      <c r="C49" s="56">
        <f>IFERROR(C23/$B49,0)</f>
        <v>10.865136493277198</v>
      </c>
      <c r="D49" s="56">
        <f>IFERROR(D23/$B49,0)</f>
        <v>386.21855270985793</v>
      </c>
      <c r="E49" s="56">
        <f>IFERROR(E23/$B49,0)</f>
        <v>17.528899295964482</v>
      </c>
      <c r="F49" s="56">
        <f t="shared" si="32"/>
        <v>6.5930288965899129</v>
      </c>
      <c r="G49" s="56">
        <f t="shared" ref="G49:M49" si="49">IFERROR(G23/$B49,0)</f>
        <v>17.528899295964482</v>
      </c>
      <c r="H49" s="56">
        <f t="shared" si="49"/>
        <v>69.159005334373163</v>
      </c>
      <c r="I49" s="56">
        <f t="shared" si="49"/>
        <v>25.294568100717463</v>
      </c>
      <c r="J49" s="56">
        <f t="shared" si="49"/>
        <v>18.034540621809612</v>
      </c>
      <c r="K49" s="56">
        <f t="shared" si="49"/>
        <v>70.115597183857929</v>
      </c>
      <c r="L49" s="56">
        <f t="shared" si="49"/>
        <v>2.8412117768228151E-4</v>
      </c>
      <c r="M49" s="56">
        <f t="shared" si="49"/>
        <v>6149.4827038301655</v>
      </c>
      <c r="N49" s="56">
        <f t="shared" ref="N49:N62" si="50">IFERROR(IF(AND(L49&lt;&gt;0,M49&lt;&gt;0),1/((1/L49)+(1/M49)),IF(AND(L49&lt;&gt;0,M49=0),1/((1/L49)),IF(AND(L49=0,M49&lt;&gt;0),1/((1/M49)),IF(AND(L49=0,M49=0),0)))),0)</f>
        <v>2.8412116455518716E-4</v>
      </c>
    </row>
    <row r="50" spans="1:14" x14ac:dyDescent="0.25">
      <c r="A50" s="55" t="s">
        <v>306</v>
      </c>
      <c r="B50" s="50">
        <v>1</v>
      </c>
      <c r="C50" s="56">
        <f>IFERROR(C25/$B50,0)</f>
        <v>0</v>
      </c>
      <c r="D50" s="56">
        <f>IFERROR(D25/$B50,0)</f>
        <v>4769629.7318646796</v>
      </c>
      <c r="E50" s="56">
        <f>IFERROR(E25/$B50,0)</f>
        <v>258.70237581630352</v>
      </c>
      <c r="F50" s="56">
        <f t="shared" si="32"/>
        <v>258.68834468744677</v>
      </c>
      <c r="G50" s="56">
        <f t="shared" ref="G50:M50" si="51">IFERROR(G25/$B50,0)</f>
        <v>258.70237581630352</v>
      </c>
      <c r="H50" s="56">
        <f t="shared" si="51"/>
        <v>1227.4818224268322</v>
      </c>
      <c r="I50" s="56">
        <f t="shared" si="51"/>
        <v>434.97036750190171</v>
      </c>
      <c r="J50" s="56">
        <f t="shared" si="51"/>
        <v>284.18064010124243</v>
      </c>
      <c r="K50" s="56">
        <f t="shared" si="51"/>
        <v>1250.3948164454669</v>
      </c>
      <c r="L50" s="56">
        <f t="shared" si="51"/>
        <v>3.5087719298245617</v>
      </c>
      <c r="M50" s="56">
        <f t="shared" si="51"/>
        <v>107947.75393773813</v>
      </c>
      <c r="N50" s="56">
        <f t="shared" si="50"/>
        <v>3.5086578831691866</v>
      </c>
    </row>
    <row r="51" spans="1:14" x14ac:dyDescent="0.25">
      <c r="A51" s="55" t="s">
        <v>307</v>
      </c>
      <c r="B51" s="50">
        <v>1</v>
      </c>
      <c r="C51" s="56">
        <f>IFERROR(C21/$B51,0)</f>
        <v>0</v>
      </c>
      <c r="D51" s="56">
        <f>IFERROR(D21/$B51,0)</f>
        <v>782356.53155765973</v>
      </c>
      <c r="E51" s="56">
        <f>IFERROR(E21/$B51,0)</f>
        <v>71125985.008274555</v>
      </c>
      <c r="F51" s="56">
        <f t="shared" si="32"/>
        <v>773844.56021519902</v>
      </c>
      <c r="G51" s="56">
        <f t="shared" ref="G51:M51" si="52">IFERROR(G21/$B51,0)</f>
        <v>71125985.008274555</v>
      </c>
      <c r="H51" s="56">
        <f t="shared" si="52"/>
        <v>138727235.55238163</v>
      </c>
      <c r="I51" s="56">
        <f t="shared" si="52"/>
        <v>73265321.276101559</v>
      </c>
      <c r="J51" s="56">
        <f t="shared" si="52"/>
        <v>64232610.433842473</v>
      </c>
      <c r="K51" s="56">
        <f t="shared" si="52"/>
        <v>82625208.135163009</v>
      </c>
      <c r="L51" s="56">
        <f t="shared" si="52"/>
        <v>0.57553956834532372</v>
      </c>
      <c r="M51" s="56">
        <f t="shared" si="52"/>
        <v>4439271537.6762133</v>
      </c>
      <c r="N51" s="56">
        <f t="shared" si="50"/>
        <v>0.57553956827070651</v>
      </c>
    </row>
    <row r="52" spans="1:14" x14ac:dyDescent="0.25">
      <c r="A52" s="55" t="s">
        <v>308</v>
      </c>
      <c r="B52" s="58">
        <v>0.99980000000000002</v>
      </c>
      <c r="C52" s="56">
        <f>IFERROR(C17/$B52,0)</f>
        <v>14514.058262405244</v>
      </c>
      <c r="D52" s="56">
        <f>IFERROR(D17/$B52,0)</f>
        <v>139986.24420703278</v>
      </c>
      <c r="E52" s="56">
        <f>IFERROR(E17/$B52,0)</f>
        <v>0.44088540967140544</v>
      </c>
      <c r="F52" s="56">
        <f t="shared" si="32"/>
        <v>0.44087062907344865</v>
      </c>
      <c r="G52" s="56">
        <f t="shared" ref="G52:M52" si="53">IFERROR(G17/$B52,0)</f>
        <v>0.44088540967140544</v>
      </c>
      <c r="H52" s="56">
        <f t="shared" si="53"/>
        <v>1.9379828699915602</v>
      </c>
      <c r="I52" s="56">
        <f t="shared" si="53"/>
        <v>0.69583361207412098</v>
      </c>
      <c r="J52" s="56">
        <f t="shared" si="53"/>
        <v>0.47075719401551563</v>
      </c>
      <c r="K52" s="56">
        <f t="shared" si="53"/>
        <v>1.9643637886406597</v>
      </c>
      <c r="L52" s="56">
        <f t="shared" si="53"/>
        <v>0.10298069909992295</v>
      </c>
      <c r="M52" s="56">
        <f t="shared" si="53"/>
        <v>171.90995813533382</v>
      </c>
      <c r="N52" s="56">
        <f t="shared" si="50"/>
        <v>0.10291904661924929</v>
      </c>
    </row>
    <row r="53" spans="1:14" x14ac:dyDescent="0.25">
      <c r="A53" s="55" t="s">
        <v>309</v>
      </c>
      <c r="B53" s="50">
        <v>2.0000000000000001E-4</v>
      </c>
      <c r="C53" s="56">
        <f>IFERROR(C5/$B53,0)</f>
        <v>0</v>
      </c>
      <c r="D53" s="56">
        <f>IFERROR(D5/$B53,0)</f>
        <v>0</v>
      </c>
      <c r="E53" s="56">
        <f>IFERROR(E5/$B53,0)</f>
        <v>88680483.435848668</v>
      </c>
      <c r="F53" s="56">
        <f t="shared" si="32"/>
        <v>88680483.435848668</v>
      </c>
      <c r="G53" s="56">
        <f t="shared" ref="G53:M53" si="54">IFERROR(G5/$B53,0)</f>
        <v>88680483.435848668</v>
      </c>
      <c r="H53" s="56">
        <f t="shared" si="54"/>
        <v>261079095.86138636</v>
      </c>
      <c r="I53" s="56">
        <f t="shared" si="54"/>
        <v>118783548.11071563</v>
      </c>
      <c r="J53" s="56">
        <f t="shared" si="54"/>
        <v>85643480.578456581</v>
      </c>
      <c r="K53" s="56">
        <f t="shared" si="54"/>
        <v>109683755.82854971</v>
      </c>
      <c r="L53" s="56">
        <f t="shared" si="54"/>
        <v>0</v>
      </c>
      <c r="M53" s="56">
        <f t="shared" si="54"/>
        <v>28418064010.124237</v>
      </c>
      <c r="N53" s="56">
        <f t="shared" si="50"/>
        <v>28418064010.124237</v>
      </c>
    </row>
    <row r="54" spans="1:14" x14ac:dyDescent="0.25">
      <c r="A54" s="55" t="s">
        <v>310</v>
      </c>
      <c r="B54" s="50">
        <v>0.99999979999999999</v>
      </c>
      <c r="C54" s="56">
        <f>IFERROR(C9/$B54,0)</f>
        <v>21730.277332609861</v>
      </c>
      <c r="D54" s="56">
        <f>IFERROR(D9/$B54,0)</f>
        <v>175966.95733985538</v>
      </c>
      <c r="E54" s="56">
        <f>IFERROR(E9/$B54,0)</f>
        <v>5.9637284571914771E-2</v>
      </c>
      <c r="F54" s="56">
        <f t="shared" si="32"/>
        <v>5.9637100690183811E-2</v>
      </c>
      <c r="G54" s="56">
        <f t="shared" ref="G54:M54" si="55">IFERROR(G9/$B54,0)</f>
        <v>5.9637284571914771E-2</v>
      </c>
      <c r="H54" s="56">
        <f t="shared" si="55"/>
        <v>0.33020996475118303</v>
      </c>
      <c r="I54" s="56">
        <f t="shared" si="55"/>
        <v>0.11492601714379412</v>
      </c>
      <c r="J54" s="56">
        <f t="shared" si="55"/>
        <v>7.1315307976681369E-2</v>
      </c>
      <c r="K54" s="56">
        <f t="shared" si="55"/>
        <v>0.34101683632485813</v>
      </c>
      <c r="L54" s="56">
        <f t="shared" si="55"/>
        <v>0.12944986407767506</v>
      </c>
      <c r="M54" s="56">
        <f t="shared" si="55"/>
        <v>26.186284115695916</v>
      </c>
      <c r="N54" s="56">
        <f t="shared" si="50"/>
        <v>0.12881308657708898</v>
      </c>
    </row>
    <row r="55" spans="1:14" x14ac:dyDescent="0.25">
      <c r="A55" s="55" t="s">
        <v>311</v>
      </c>
      <c r="B55" s="50">
        <v>1.9999999999999999E-7</v>
      </c>
      <c r="C55" s="56">
        <f>IFERROR(C24/$B55,0)</f>
        <v>0</v>
      </c>
      <c r="D55" s="56">
        <f>IFERROR(D24/$B55,0)</f>
        <v>0</v>
      </c>
      <c r="E55" s="56">
        <f>IFERROR(E24/$B55,0)</f>
        <v>646755939.54075885</v>
      </c>
      <c r="F55" s="56">
        <f t="shared" si="32"/>
        <v>646755939.54075885</v>
      </c>
      <c r="G55" s="56">
        <f t="shared" ref="G55:M55" si="56">IFERROR(G24/$B55,0)</f>
        <v>646755939.54075885</v>
      </c>
      <c r="H55" s="56">
        <f t="shared" si="56"/>
        <v>3142748365.7308979</v>
      </c>
      <c r="I55" s="56">
        <f t="shared" si="56"/>
        <v>1116423943.2548809</v>
      </c>
      <c r="J55" s="56">
        <f t="shared" si="56"/>
        <v>721381624.87238455</v>
      </c>
      <c r="K55" s="56">
        <f t="shared" si="56"/>
        <v>3217139321.900857</v>
      </c>
      <c r="L55" s="56">
        <f t="shared" si="56"/>
        <v>0</v>
      </c>
      <c r="M55" s="56">
        <f t="shared" si="56"/>
        <v>274812047570.43219</v>
      </c>
      <c r="N55" s="56">
        <f t="shared" si="50"/>
        <v>274812047570.43219</v>
      </c>
    </row>
    <row r="56" spans="1:14" x14ac:dyDescent="0.25">
      <c r="A56" s="55" t="s">
        <v>312</v>
      </c>
      <c r="B56" s="50">
        <v>0.99979000004200003</v>
      </c>
      <c r="C56" s="56">
        <f>IFERROR(C20/$B56,0)</f>
        <v>0</v>
      </c>
      <c r="D56" s="56">
        <f>IFERROR(D20/$B56,0)</f>
        <v>0</v>
      </c>
      <c r="E56" s="56">
        <f>IFERROR(E20/$B56,0)</f>
        <v>1136.9613222348867</v>
      </c>
      <c r="F56" s="56">
        <f t="shared" si="32"/>
        <v>1136.9613222348867</v>
      </c>
      <c r="G56" s="56">
        <f t="shared" ref="G56:M56" si="57">IFERROR(G20/$B56,0)</f>
        <v>1136.9613222348867</v>
      </c>
      <c r="H56" s="56">
        <f t="shared" si="57"/>
        <v>5747.506684091798</v>
      </c>
      <c r="I56" s="56">
        <f t="shared" si="57"/>
        <v>2039.1154148777855</v>
      </c>
      <c r="J56" s="56">
        <f t="shared" si="57"/>
        <v>1298.2603333477946</v>
      </c>
      <c r="K56" s="56">
        <f t="shared" si="57"/>
        <v>5899.3276153696943</v>
      </c>
      <c r="L56" s="56">
        <f t="shared" si="57"/>
        <v>0</v>
      </c>
      <c r="M56" s="56">
        <f t="shared" si="57"/>
        <v>490453.90370916674</v>
      </c>
      <c r="N56" s="56">
        <f t="shared" si="50"/>
        <v>490453.90370916674</v>
      </c>
    </row>
    <row r="57" spans="1:14" x14ac:dyDescent="0.25">
      <c r="A57" s="55" t="s">
        <v>313</v>
      </c>
      <c r="B57" s="50">
        <v>2.0999995799999999E-4</v>
      </c>
      <c r="C57" s="56">
        <f>IFERROR(C29/$B57,0)</f>
        <v>0</v>
      </c>
      <c r="D57" s="56">
        <f>IFERROR(D29/$B57,0)</f>
        <v>0</v>
      </c>
      <c r="E57" s="56">
        <f>IFERROR(E29/$B57,0)</f>
        <v>155.32857969248198</v>
      </c>
      <c r="F57" s="56">
        <f t="shared" si="32"/>
        <v>155.32857969248198</v>
      </c>
      <c r="G57" s="56">
        <f t="shared" ref="G57:M57" si="58">IFERROR(G29/$B57,0)</f>
        <v>155.32857969248198</v>
      </c>
      <c r="H57" s="56">
        <f t="shared" si="58"/>
        <v>839.4166665712138</v>
      </c>
      <c r="I57" s="56">
        <f t="shared" si="58"/>
        <v>293.02471562722161</v>
      </c>
      <c r="J57" s="56">
        <f t="shared" si="58"/>
        <v>183.58465225730146</v>
      </c>
      <c r="K57" s="56">
        <f t="shared" si="58"/>
        <v>867.12556624443835</v>
      </c>
      <c r="L57" s="56">
        <f t="shared" si="58"/>
        <v>0</v>
      </c>
      <c r="M57" s="56">
        <f t="shared" si="58"/>
        <v>67406.742130699728</v>
      </c>
      <c r="N57" s="56">
        <f t="shared" si="50"/>
        <v>67406.742130699728</v>
      </c>
    </row>
    <row r="58" spans="1:14" x14ac:dyDescent="0.25">
      <c r="A58" s="55" t="s">
        <v>314</v>
      </c>
      <c r="B58" s="50">
        <v>1</v>
      </c>
      <c r="C58" s="56">
        <f>IFERROR(C16/$B58,0)</f>
        <v>5.3386720053386716</v>
      </c>
      <c r="D58" s="56">
        <f>IFERROR(D16/$B58,0)</f>
        <v>685.11029979534248</v>
      </c>
      <c r="E58" s="56">
        <f>IFERROR(E16/$B58,0)</f>
        <v>295.36885427845669</v>
      </c>
      <c r="F58" s="56">
        <f t="shared" si="32"/>
        <v>5.2040585163984083</v>
      </c>
      <c r="G58" s="56">
        <f t="shared" ref="G58:M58" si="59">IFERROR(G16/$B58,0)</f>
        <v>295.36885427845669</v>
      </c>
      <c r="H58" s="56">
        <f t="shared" si="59"/>
        <v>459.70397663436273</v>
      </c>
      <c r="I58" s="56">
        <f t="shared" si="59"/>
        <v>298.66118227200633</v>
      </c>
      <c r="J58" s="56">
        <f t="shared" si="59"/>
        <v>295.36885427845669</v>
      </c>
      <c r="K58" s="56">
        <f t="shared" si="59"/>
        <v>255.1826156011156</v>
      </c>
      <c r="L58" s="56">
        <f t="shared" si="59"/>
        <v>5.0400050400050398E-4</v>
      </c>
      <c r="M58" s="56">
        <f t="shared" si="59"/>
        <v>44524.444502509206</v>
      </c>
      <c r="N58" s="56">
        <f t="shared" si="50"/>
        <v>5.0400049829540179E-4</v>
      </c>
    </row>
    <row r="59" spans="1:14" x14ac:dyDescent="0.25">
      <c r="A59" s="55" t="s">
        <v>315</v>
      </c>
      <c r="B59" s="50">
        <v>1</v>
      </c>
      <c r="C59" s="56">
        <f>IFERROR(C7/$B59,0)</f>
        <v>856.30184640085633</v>
      </c>
      <c r="D59" s="56">
        <f>IFERROR(D7/$B59,0)</f>
        <v>23895.31045627658</v>
      </c>
      <c r="E59" s="56">
        <f>IFERROR(E7/$B59,0)</f>
        <v>158.27782486651475</v>
      </c>
      <c r="F59" s="56">
        <f t="shared" si="32"/>
        <v>132.84329824716289</v>
      </c>
      <c r="G59" s="56">
        <f t="shared" ref="G59:M59" si="60">IFERROR(G7/$B59,0)</f>
        <v>158.27782486651475</v>
      </c>
      <c r="H59" s="56">
        <f t="shared" si="60"/>
        <v>458.80436024173196</v>
      </c>
      <c r="I59" s="56">
        <f t="shared" si="60"/>
        <v>213.13548007593181</v>
      </c>
      <c r="J59" s="56">
        <f t="shared" si="60"/>
        <v>163.09497605810438</v>
      </c>
      <c r="K59" s="56">
        <f t="shared" si="60"/>
        <v>90.827710637685215</v>
      </c>
      <c r="L59" s="56">
        <f t="shared" si="60"/>
        <v>1.757855416392002E-2</v>
      </c>
      <c r="M59" s="56">
        <f t="shared" si="60"/>
        <v>33123.04149524415</v>
      </c>
      <c r="N59" s="56">
        <f t="shared" si="50"/>
        <v>1.7578544834903464E-2</v>
      </c>
    </row>
    <row r="60" spans="1:14" x14ac:dyDescent="0.25">
      <c r="A60" s="55" t="s">
        <v>316</v>
      </c>
      <c r="B60" s="59">
        <v>1.9000000000000001E-8</v>
      </c>
      <c r="C60" s="56">
        <f>IFERROR(C12/$B60,0)</f>
        <v>0</v>
      </c>
      <c r="D60" s="56">
        <f>IFERROR(D12/$B60,0)</f>
        <v>0</v>
      </c>
      <c r="E60" s="56">
        <f>IFERROR(E12/$B60,0)</f>
        <v>47688589.49067378</v>
      </c>
      <c r="F60" s="56">
        <f t="shared" si="32"/>
        <v>47688589.49067378</v>
      </c>
      <c r="G60" s="56">
        <f t="shared" ref="G60:M60" si="61">IFERROR(G12/$B60,0)</f>
        <v>47688589.49067378</v>
      </c>
      <c r="H60" s="56">
        <f t="shared" si="61"/>
        <v>209854124.67197004</v>
      </c>
      <c r="I60" s="56">
        <f t="shared" si="61"/>
        <v>75240381.28482829</v>
      </c>
      <c r="J60" s="56">
        <f t="shared" si="61"/>
        <v>51015700.385371953</v>
      </c>
      <c r="K60" s="56">
        <f t="shared" si="61"/>
        <v>206301735.10072044</v>
      </c>
      <c r="L60" s="56">
        <f t="shared" si="61"/>
        <v>0</v>
      </c>
      <c r="M60" s="56">
        <f t="shared" si="61"/>
        <v>18581718634.483715</v>
      </c>
      <c r="N60" s="56">
        <f t="shared" si="50"/>
        <v>18581718634.483715</v>
      </c>
    </row>
    <row r="61" spans="1:14" x14ac:dyDescent="0.25">
      <c r="A61" s="55" t="s">
        <v>317</v>
      </c>
      <c r="B61" s="50">
        <v>1</v>
      </c>
      <c r="C61" s="56">
        <f>IFERROR(C18/$B61,0)</f>
        <v>2.229033156868208</v>
      </c>
      <c r="D61" s="56">
        <f>IFERROR(D18/$B61,0)</f>
        <v>749.77632299031086</v>
      </c>
      <c r="E61" s="56">
        <f>IFERROR(E18/$B61,0)</f>
        <v>9718.0944283326426</v>
      </c>
      <c r="F61" s="56">
        <f t="shared" si="32"/>
        <v>2.2219179086823915</v>
      </c>
      <c r="G61" s="56">
        <f t="shared" ref="G61:M61" si="62">IFERROR(G18/$B61,0)</f>
        <v>9718.0944283326426</v>
      </c>
      <c r="H61" s="56">
        <f t="shared" si="62"/>
        <v>48945.517345203545</v>
      </c>
      <c r="I61" s="56">
        <f t="shared" si="62"/>
        <v>17238.899123788604</v>
      </c>
      <c r="J61" s="56">
        <f t="shared" si="62"/>
        <v>11065.440853499706</v>
      </c>
      <c r="K61" s="56">
        <f t="shared" si="62"/>
        <v>50351.469118609391</v>
      </c>
      <c r="L61" s="56">
        <f t="shared" si="62"/>
        <v>5.5157198014340865E-4</v>
      </c>
      <c r="M61" s="56">
        <f t="shared" si="62"/>
        <v>4191267.5411579888</v>
      </c>
      <c r="N61" s="56">
        <f t="shared" si="50"/>
        <v>5.5157198007082164E-4</v>
      </c>
    </row>
    <row r="62" spans="1:14" x14ac:dyDescent="0.25">
      <c r="A62" s="55" t="s">
        <v>318</v>
      </c>
      <c r="B62" s="50">
        <v>1.339E-6</v>
      </c>
      <c r="C62" s="56">
        <f>IFERROR(C27/$B62,0)</f>
        <v>0</v>
      </c>
      <c r="D62" s="56">
        <f>IFERROR(D27/$B62,0)</f>
        <v>0</v>
      </c>
      <c r="E62" s="56">
        <f>IFERROR(E27/$B62,0)</f>
        <v>53565622.147980079</v>
      </c>
      <c r="F62" s="56">
        <f t="shared" ref="F62" si="63">IFERROR(SUM(C62:E62),0)</f>
        <v>53565622.147980079</v>
      </c>
      <c r="G62" s="56">
        <f t="shared" ref="G62:M62" si="64">IFERROR(G27/$B62,0)</f>
        <v>53565622.147980079</v>
      </c>
      <c r="H62" s="56">
        <f t="shared" si="64"/>
        <v>157741105.76235124</v>
      </c>
      <c r="I62" s="56">
        <f t="shared" si="64"/>
        <v>74191791.269580454</v>
      </c>
      <c r="J62" s="56">
        <f t="shared" si="64"/>
        <v>55806415.10636171</v>
      </c>
      <c r="K62" s="56">
        <f t="shared" si="64"/>
        <v>38167330.222607046</v>
      </c>
      <c r="L62" s="56">
        <f t="shared" si="64"/>
        <v>0</v>
      </c>
      <c r="M62" s="56">
        <f t="shared" si="64"/>
        <v>13920407643.922272</v>
      </c>
      <c r="N62" s="56">
        <f t="shared" si="50"/>
        <v>13920407643.922272</v>
      </c>
    </row>
    <row r="63" spans="1:14" x14ac:dyDescent="0.25">
      <c r="A63" s="52" t="s">
        <v>35</v>
      </c>
      <c r="B63" s="52" t="s">
        <v>289</v>
      </c>
      <c r="C63" s="53">
        <f>1/SUM(1/C66,1/C68,1/C72,1/C73,1/C75)</f>
        <v>1.5693161531695978</v>
      </c>
      <c r="D63" s="53">
        <f>1/SUM(1/D64,1/D65,1/D66,1/D68,1/D72,1/D73,1/D75)</f>
        <v>350.93708702434907</v>
      </c>
      <c r="E63" s="53">
        <f>1/SUM(1/E64,1/E65,1/E66,1/E67,1/E68,1/E69,1/E70,1/E71,1/E72,1/E73,1/E74,1/E75,1/E76)</f>
        <v>5.2473643443911464E-2</v>
      </c>
      <c r="F63" s="54">
        <f>1/SUM(1/F64,1/F65,1/F66,1/F67,1/F68,1/F69,1/F70,1/F71,1/F72,1/F73,1/F74,1/F75,1/F76)</f>
        <v>5.0768492665853253E-2</v>
      </c>
      <c r="G63" s="53">
        <f t="shared" ref="G63:N63" si="65">1/SUM(1/G64,1/G65,1/G66,1/G67,1/G68,1/G69,1/G70,1/G71,1/G72,1/G73,1/G74,1/G75,1/G76)</f>
        <v>5.2473643443911464E-2</v>
      </c>
      <c r="H63" s="53">
        <f t="shared" si="65"/>
        <v>0.28161621058128117</v>
      </c>
      <c r="I63" s="53">
        <f t="shared" si="65"/>
        <v>9.8496205272525922E-2</v>
      </c>
      <c r="J63" s="53">
        <f t="shared" si="65"/>
        <v>6.185892551281677E-2</v>
      </c>
      <c r="K63" s="53">
        <f t="shared" si="65"/>
        <v>0.28913865921754617</v>
      </c>
      <c r="L63" s="53">
        <f>1/SUM(1/L64,1/L65,1/L66,1/L68,1/L72,1/L73,1/L75)</f>
        <v>2.581664131827771E-4</v>
      </c>
      <c r="M63" s="53">
        <f t="shared" si="65"/>
        <v>22.68398947821434</v>
      </c>
      <c r="N63" s="54">
        <f t="shared" si="65"/>
        <v>2.5816347502507668E-4</v>
      </c>
    </row>
    <row r="64" spans="1:14" x14ac:dyDescent="0.25">
      <c r="A64" s="55" t="s">
        <v>306</v>
      </c>
      <c r="B64" s="60">
        <v>1</v>
      </c>
      <c r="C64" s="56">
        <f>IFERROR(C25/$B50,0)</f>
        <v>0</v>
      </c>
      <c r="D64" s="56">
        <f>IFERROR(D25/$B50,0)</f>
        <v>4769629.7318646796</v>
      </c>
      <c r="E64" s="56">
        <f>IFERROR(E25/$B50,0)</f>
        <v>258.70237581630352</v>
      </c>
      <c r="F64" s="56">
        <f t="shared" ref="F64:F76" si="66">IF(AND(C64&lt;&gt;0,D64&lt;&gt;0,E64&lt;&gt;0),1/((1/C64)+(1/D64)+(1/E64)),IF(AND(C64&lt;&gt;0,D64&lt;&gt;0,E64=0), 1/((1/C64)+(1/D64)),IF(AND(C64&lt;&gt;0,D64=0,E64&lt;&gt;0),1/((1/C64)+(1/E64)),IF(AND(C64=0,D64&lt;&gt;0,E64&lt;&gt;0),1/((1/D64)+(1/E64)),IF(AND(C64&lt;&gt;0,D64=0,E64=0),1/((1/C64)),IF(AND(C64=0,D64&lt;&gt;0,E64=0),1/((1/D64)),IF(AND(C64=0,D64=0,E64&lt;&gt;0),1/((1/E64)),IF(AND(C64=0,D64=0,E64=0),0))))))))</f>
        <v>258.68834468744677</v>
      </c>
      <c r="G64" s="56">
        <f t="shared" ref="G64:M64" si="67">IFERROR(G25/$B50,0)</f>
        <v>258.70237581630352</v>
      </c>
      <c r="H64" s="56">
        <f t="shared" si="67"/>
        <v>1227.4818224268322</v>
      </c>
      <c r="I64" s="56">
        <f t="shared" si="67"/>
        <v>434.97036750190171</v>
      </c>
      <c r="J64" s="56">
        <f t="shared" si="67"/>
        <v>284.18064010124243</v>
      </c>
      <c r="K64" s="56">
        <f t="shared" si="67"/>
        <v>1250.3948164454669</v>
      </c>
      <c r="L64" s="56">
        <f t="shared" si="67"/>
        <v>3.5087719298245617</v>
      </c>
      <c r="M64" s="56">
        <f t="shared" si="67"/>
        <v>107947.75393773813</v>
      </c>
      <c r="N64" s="56">
        <f t="shared" ref="N64:N76" si="68">IFERROR(IF(AND(L64&lt;&gt;0,M64&lt;&gt;0),1/((1/L64)+(1/M64)),IF(AND(L64&lt;&gt;0,M64=0),1/((1/L64)),IF(AND(L64=0,M64&lt;&gt;0),1/((1/M64)),IF(AND(L64=0,M64=0),0)))),0)</f>
        <v>3.5086578831691866</v>
      </c>
    </row>
    <row r="65" spans="1:14" x14ac:dyDescent="0.25">
      <c r="A65" s="55" t="s">
        <v>307</v>
      </c>
      <c r="B65" s="60">
        <v>1</v>
      </c>
      <c r="C65" s="56">
        <f>IFERROR(C21/$B51,0)</f>
        <v>0</v>
      </c>
      <c r="D65" s="56">
        <f>IFERROR(D21/$B51,0)</f>
        <v>782356.53155765973</v>
      </c>
      <c r="E65" s="56">
        <f>IFERROR(E21/$B51,0)</f>
        <v>71125985.008274555</v>
      </c>
      <c r="F65" s="56">
        <f t="shared" si="66"/>
        <v>773844.56021519902</v>
      </c>
      <c r="G65" s="56">
        <f t="shared" ref="G65:M65" si="69">IFERROR(G21/$B51,0)</f>
        <v>71125985.008274555</v>
      </c>
      <c r="H65" s="56">
        <f t="shared" si="69"/>
        <v>138727235.55238163</v>
      </c>
      <c r="I65" s="56">
        <f t="shared" si="69"/>
        <v>73265321.276101559</v>
      </c>
      <c r="J65" s="56">
        <f t="shared" si="69"/>
        <v>64232610.433842473</v>
      </c>
      <c r="K65" s="56">
        <f t="shared" si="69"/>
        <v>82625208.135163009</v>
      </c>
      <c r="L65" s="56">
        <f t="shared" si="69"/>
        <v>0.57553956834532372</v>
      </c>
      <c r="M65" s="56">
        <f t="shared" si="69"/>
        <v>4439271537.6762133</v>
      </c>
      <c r="N65" s="56">
        <f t="shared" si="68"/>
        <v>0.57553956827070651</v>
      </c>
    </row>
    <row r="66" spans="1:14" x14ac:dyDescent="0.25">
      <c r="A66" s="55" t="s">
        <v>308</v>
      </c>
      <c r="B66" s="61">
        <v>0.99980000000000002</v>
      </c>
      <c r="C66" s="56">
        <f>IFERROR(C17/$B52,0)</f>
        <v>14514.058262405244</v>
      </c>
      <c r="D66" s="56">
        <f>IFERROR(D17/$B52,0)</f>
        <v>139986.24420703278</v>
      </c>
      <c r="E66" s="56">
        <f>IFERROR(E17/$B52,0)</f>
        <v>0.44088540967140544</v>
      </c>
      <c r="F66" s="56">
        <f t="shared" si="66"/>
        <v>0.44087062907344865</v>
      </c>
      <c r="G66" s="56">
        <f t="shared" ref="G66:M66" si="70">IFERROR(G17/$B52,0)</f>
        <v>0.44088540967140544</v>
      </c>
      <c r="H66" s="56">
        <f t="shared" si="70"/>
        <v>1.9379828699915602</v>
      </c>
      <c r="I66" s="56">
        <f t="shared" si="70"/>
        <v>0.69583361207412098</v>
      </c>
      <c r="J66" s="56">
        <f t="shared" si="70"/>
        <v>0.47075719401551563</v>
      </c>
      <c r="K66" s="56">
        <f t="shared" si="70"/>
        <v>1.9643637886406597</v>
      </c>
      <c r="L66" s="56">
        <f t="shared" si="70"/>
        <v>0.10298069909992295</v>
      </c>
      <c r="M66" s="56">
        <f t="shared" si="70"/>
        <v>171.90995813533382</v>
      </c>
      <c r="N66" s="56">
        <f t="shared" si="68"/>
        <v>0.10291904661924929</v>
      </c>
    </row>
    <row r="67" spans="1:14" x14ac:dyDescent="0.25">
      <c r="A67" s="55" t="s">
        <v>309</v>
      </c>
      <c r="B67" s="60">
        <v>2.0000000000000001E-4</v>
      </c>
      <c r="C67" s="56">
        <f>IFERROR(C5/$B53,0)</f>
        <v>0</v>
      </c>
      <c r="D67" s="56">
        <f>IFERROR(D5/$B53,0)</f>
        <v>0</v>
      </c>
      <c r="E67" s="56">
        <f>IFERROR(E5/$B53,0)</f>
        <v>88680483.435848668</v>
      </c>
      <c r="F67" s="56">
        <f t="shared" si="66"/>
        <v>88680483.435848668</v>
      </c>
      <c r="G67" s="56">
        <f t="shared" ref="G67:M67" si="71">IFERROR(G5/$B53,0)</f>
        <v>88680483.435848668</v>
      </c>
      <c r="H67" s="56">
        <f t="shared" si="71"/>
        <v>261079095.86138636</v>
      </c>
      <c r="I67" s="56">
        <f t="shared" si="71"/>
        <v>118783548.11071563</v>
      </c>
      <c r="J67" s="56">
        <f t="shared" si="71"/>
        <v>85643480.578456581</v>
      </c>
      <c r="K67" s="56">
        <f t="shared" si="71"/>
        <v>109683755.82854971</v>
      </c>
      <c r="L67" s="56">
        <f t="shared" si="71"/>
        <v>0</v>
      </c>
      <c r="M67" s="56">
        <f t="shared" si="71"/>
        <v>28418064010.124237</v>
      </c>
      <c r="N67" s="56">
        <f t="shared" si="68"/>
        <v>28418064010.124237</v>
      </c>
    </row>
    <row r="68" spans="1:14" x14ac:dyDescent="0.25">
      <c r="A68" s="55" t="s">
        <v>310</v>
      </c>
      <c r="B68" s="60">
        <v>0.99999979999999999</v>
      </c>
      <c r="C68" s="56">
        <f>IFERROR(C9/$B54,0)</f>
        <v>21730.277332609861</v>
      </c>
      <c r="D68" s="56">
        <f>IFERROR(D9/$B54,0)</f>
        <v>175966.95733985538</v>
      </c>
      <c r="E68" s="56">
        <f>IFERROR(E9/$B54,0)</f>
        <v>5.9637284571914771E-2</v>
      </c>
      <c r="F68" s="56">
        <f t="shared" si="66"/>
        <v>5.9637100690183811E-2</v>
      </c>
      <c r="G68" s="56">
        <f t="shared" ref="G68:M68" si="72">IFERROR(G9/$B54,0)</f>
        <v>5.9637284571914771E-2</v>
      </c>
      <c r="H68" s="56">
        <f t="shared" si="72"/>
        <v>0.33020996475118303</v>
      </c>
      <c r="I68" s="56">
        <f t="shared" si="72"/>
        <v>0.11492601714379412</v>
      </c>
      <c r="J68" s="56">
        <f t="shared" si="72"/>
        <v>7.1315307976681369E-2</v>
      </c>
      <c r="K68" s="56">
        <f t="shared" si="72"/>
        <v>0.34101683632485813</v>
      </c>
      <c r="L68" s="56">
        <f t="shared" si="72"/>
        <v>0.12944986407767506</v>
      </c>
      <c r="M68" s="56">
        <f t="shared" si="72"/>
        <v>26.186284115695916</v>
      </c>
      <c r="N68" s="56">
        <f t="shared" si="68"/>
        <v>0.12881308657708898</v>
      </c>
    </row>
    <row r="69" spans="1:14" x14ac:dyDescent="0.25">
      <c r="A69" s="55" t="s">
        <v>311</v>
      </c>
      <c r="B69" s="60">
        <v>1.9999999999999999E-7</v>
      </c>
      <c r="C69" s="56">
        <f>IFERROR(C24/$B55,0)</f>
        <v>0</v>
      </c>
      <c r="D69" s="56">
        <f>IFERROR(D24/$B55,0)</f>
        <v>0</v>
      </c>
      <c r="E69" s="56">
        <f>IFERROR(E24/$B55,0)</f>
        <v>646755939.54075885</v>
      </c>
      <c r="F69" s="56">
        <f t="shared" si="66"/>
        <v>646755939.54075885</v>
      </c>
      <c r="G69" s="56">
        <f t="shared" ref="G69:M69" si="73">IFERROR(G24/$B55,0)</f>
        <v>646755939.54075885</v>
      </c>
      <c r="H69" s="56">
        <f t="shared" si="73"/>
        <v>3142748365.7308979</v>
      </c>
      <c r="I69" s="56">
        <f t="shared" si="73"/>
        <v>1116423943.2548809</v>
      </c>
      <c r="J69" s="56">
        <f t="shared" si="73"/>
        <v>721381624.87238455</v>
      </c>
      <c r="K69" s="56">
        <f t="shared" si="73"/>
        <v>3217139321.900857</v>
      </c>
      <c r="L69" s="56">
        <f t="shared" si="73"/>
        <v>0</v>
      </c>
      <c r="M69" s="56">
        <f t="shared" si="73"/>
        <v>274812047570.43219</v>
      </c>
      <c r="N69" s="56">
        <f t="shared" si="68"/>
        <v>274812047570.43219</v>
      </c>
    </row>
    <row r="70" spans="1:14" x14ac:dyDescent="0.25">
      <c r="A70" s="55" t="s">
        <v>312</v>
      </c>
      <c r="B70" s="60">
        <v>0.99979000004200003</v>
      </c>
      <c r="C70" s="56">
        <f>IFERROR(C20/$B56,0)</f>
        <v>0</v>
      </c>
      <c r="D70" s="56">
        <f>IFERROR(D20/$B56,0)</f>
        <v>0</v>
      </c>
      <c r="E70" s="56">
        <f>IFERROR(E20/$B56,0)</f>
        <v>1136.9613222348867</v>
      </c>
      <c r="F70" s="56">
        <f t="shared" si="66"/>
        <v>1136.9613222348867</v>
      </c>
      <c r="G70" s="56">
        <f t="shared" ref="G70:M70" si="74">IFERROR(G20/$B56,0)</f>
        <v>1136.9613222348867</v>
      </c>
      <c r="H70" s="56">
        <f t="shared" si="74"/>
        <v>5747.506684091798</v>
      </c>
      <c r="I70" s="56">
        <f t="shared" si="74"/>
        <v>2039.1154148777855</v>
      </c>
      <c r="J70" s="56">
        <f t="shared" si="74"/>
        <v>1298.2603333477946</v>
      </c>
      <c r="K70" s="56">
        <f t="shared" si="74"/>
        <v>5899.3276153696943</v>
      </c>
      <c r="L70" s="56">
        <f t="shared" si="74"/>
        <v>0</v>
      </c>
      <c r="M70" s="56">
        <f t="shared" si="74"/>
        <v>490453.90370916674</v>
      </c>
      <c r="N70" s="56">
        <f t="shared" si="68"/>
        <v>490453.90370916674</v>
      </c>
    </row>
    <row r="71" spans="1:14" x14ac:dyDescent="0.25">
      <c r="A71" s="55" t="s">
        <v>313</v>
      </c>
      <c r="B71" s="60">
        <v>2.0999995799999999E-4</v>
      </c>
      <c r="C71" s="56">
        <f>IFERROR(C29/$B57,0)</f>
        <v>0</v>
      </c>
      <c r="D71" s="56">
        <f>IFERROR(D29/$B57,0)</f>
        <v>0</v>
      </c>
      <c r="E71" s="56">
        <f>IFERROR(E29/$B57,0)</f>
        <v>155.32857969248198</v>
      </c>
      <c r="F71" s="56">
        <f t="shared" si="66"/>
        <v>155.32857969248198</v>
      </c>
      <c r="G71" s="56">
        <f t="shared" ref="G71:M71" si="75">IFERROR(G29/$B57,0)</f>
        <v>155.32857969248198</v>
      </c>
      <c r="H71" s="56">
        <f t="shared" si="75"/>
        <v>839.4166665712138</v>
      </c>
      <c r="I71" s="56">
        <f t="shared" si="75"/>
        <v>293.02471562722161</v>
      </c>
      <c r="J71" s="56">
        <f t="shared" si="75"/>
        <v>183.58465225730146</v>
      </c>
      <c r="K71" s="56">
        <f t="shared" si="75"/>
        <v>867.12556624443835</v>
      </c>
      <c r="L71" s="56">
        <f t="shared" si="75"/>
        <v>0</v>
      </c>
      <c r="M71" s="56">
        <f t="shared" si="75"/>
        <v>67406.742130699728</v>
      </c>
      <c r="N71" s="56">
        <f t="shared" si="68"/>
        <v>67406.742130699728</v>
      </c>
    </row>
    <row r="72" spans="1:14" x14ac:dyDescent="0.25">
      <c r="A72" s="55" t="s">
        <v>314</v>
      </c>
      <c r="B72" s="60">
        <v>1</v>
      </c>
      <c r="C72" s="56">
        <f>IFERROR(C16/$B58,0)</f>
        <v>5.3386720053386716</v>
      </c>
      <c r="D72" s="56">
        <f>IFERROR(D16/$B58,0)</f>
        <v>685.11029979534248</v>
      </c>
      <c r="E72" s="56">
        <f>IFERROR(E16/$B58,0)</f>
        <v>295.36885427845669</v>
      </c>
      <c r="F72" s="56">
        <f t="shared" si="66"/>
        <v>5.2040585163984083</v>
      </c>
      <c r="G72" s="56">
        <f t="shared" ref="G72:M72" si="76">IFERROR(G16/$B58,0)</f>
        <v>295.36885427845669</v>
      </c>
      <c r="H72" s="56">
        <f t="shared" si="76"/>
        <v>459.70397663436273</v>
      </c>
      <c r="I72" s="56">
        <f t="shared" si="76"/>
        <v>298.66118227200633</v>
      </c>
      <c r="J72" s="56">
        <f t="shared" si="76"/>
        <v>295.36885427845669</v>
      </c>
      <c r="K72" s="56">
        <f t="shared" si="76"/>
        <v>255.1826156011156</v>
      </c>
      <c r="L72" s="56">
        <f t="shared" si="76"/>
        <v>5.0400050400050398E-4</v>
      </c>
      <c r="M72" s="56">
        <f t="shared" si="76"/>
        <v>44524.444502509206</v>
      </c>
      <c r="N72" s="56">
        <f t="shared" si="68"/>
        <v>5.0400049829540179E-4</v>
      </c>
    </row>
    <row r="73" spans="1:14" x14ac:dyDescent="0.25">
      <c r="A73" s="55" t="s">
        <v>315</v>
      </c>
      <c r="B73" s="60">
        <v>1</v>
      </c>
      <c r="C73" s="56">
        <f>IFERROR(C7/$B59,0)</f>
        <v>856.30184640085633</v>
      </c>
      <c r="D73" s="56">
        <f>IFERROR(D7/$B59,0)</f>
        <v>23895.31045627658</v>
      </c>
      <c r="E73" s="56">
        <f>IFERROR(E7/$B59,0)</f>
        <v>158.27782486651475</v>
      </c>
      <c r="F73" s="56">
        <f t="shared" si="66"/>
        <v>132.84329824716289</v>
      </c>
      <c r="G73" s="56">
        <f t="shared" ref="G73:M73" si="77">IFERROR(G7/$B59,0)</f>
        <v>158.27782486651475</v>
      </c>
      <c r="H73" s="56">
        <f t="shared" si="77"/>
        <v>458.80436024173196</v>
      </c>
      <c r="I73" s="56">
        <f t="shared" si="77"/>
        <v>213.13548007593181</v>
      </c>
      <c r="J73" s="56">
        <f t="shared" si="77"/>
        <v>163.09497605810438</v>
      </c>
      <c r="K73" s="56">
        <f t="shared" si="77"/>
        <v>90.827710637685215</v>
      </c>
      <c r="L73" s="56">
        <f t="shared" si="77"/>
        <v>1.757855416392002E-2</v>
      </c>
      <c r="M73" s="56">
        <f t="shared" si="77"/>
        <v>33123.04149524415</v>
      </c>
      <c r="N73" s="56">
        <f t="shared" si="68"/>
        <v>1.7578544834903464E-2</v>
      </c>
    </row>
    <row r="74" spans="1:14" x14ac:dyDescent="0.25">
      <c r="A74" s="55" t="s">
        <v>316</v>
      </c>
      <c r="B74" s="62">
        <v>1.9000000000000001E-8</v>
      </c>
      <c r="C74" s="56">
        <f>IFERROR(C12/$B60,0)</f>
        <v>0</v>
      </c>
      <c r="D74" s="56">
        <f>IFERROR(D12/$B60,0)</f>
        <v>0</v>
      </c>
      <c r="E74" s="56">
        <f>IFERROR(E12/$B60,0)</f>
        <v>47688589.49067378</v>
      </c>
      <c r="F74" s="56">
        <f t="shared" si="66"/>
        <v>47688589.49067378</v>
      </c>
      <c r="G74" s="56">
        <f t="shared" ref="G74:M74" si="78">IFERROR(G12/$B60,0)</f>
        <v>47688589.49067378</v>
      </c>
      <c r="H74" s="56">
        <f t="shared" si="78"/>
        <v>209854124.67197004</v>
      </c>
      <c r="I74" s="56">
        <f t="shared" si="78"/>
        <v>75240381.28482829</v>
      </c>
      <c r="J74" s="56">
        <f t="shared" si="78"/>
        <v>51015700.385371953</v>
      </c>
      <c r="K74" s="56">
        <f t="shared" si="78"/>
        <v>206301735.10072044</v>
      </c>
      <c r="L74" s="56">
        <f t="shared" si="78"/>
        <v>0</v>
      </c>
      <c r="M74" s="56">
        <f t="shared" si="78"/>
        <v>18581718634.483715</v>
      </c>
      <c r="N74" s="56">
        <f t="shared" si="68"/>
        <v>18581718634.483715</v>
      </c>
    </row>
    <row r="75" spans="1:14" x14ac:dyDescent="0.25">
      <c r="A75" s="55" t="s">
        <v>317</v>
      </c>
      <c r="B75" s="60">
        <v>1</v>
      </c>
      <c r="C75" s="56">
        <f>IFERROR(C18/$B61,0)</f>
        <v>2.229033156868208</v>
      </c>
      <c r="D75" s="56">
        <f>IFERROR(D18/$B61,0)</f>
        <v>749.77632299031086</v>
      </c>
      <c r="E75" s="56">
        <f>IFERROR(E18/$B61,0)</f>
        <v>9718.0944283326426</v>
      </c>
      <c r="F75" s="56">
        <f t="shared" si="66"/>
        <v>2.2219179086823915</v>
      </c>
      <c r="G75" s="56">
        <f t="shared" ref="G75:M75" si="79">IFERROR(G18/$B61,0)</f>
        <v>9718.0944283326426</v>
      </c>
      <c r="H75" s="56">
        <f t="shared" si="79"/>
        <v>48945.517345203545</v>
      </c>
      <c r="I75" s="56">
        <f t="shared" si="79"/>
        <v>17238.899123788604</v>
      </c>
      <c r="J75" s="56">
        <f t="shared" si="79"/>
        <v>11065.440853499706</v>
      </c>
      <c r="K75" s="56">
        <f t="shared" si="79"/>
        <v>50351.469118609391</v>
      </c>
      <c r="L75" s="56">
        <f t="shared" si="79"/>
        <v>5.5157198014340865E-4</v>
      </c>
      <c r="M75" s="56">
        <f t="shared" si="79"/>
        <v>4191267.5411579888</v>
      </c>
      <c r="N75" s="56">
        <f t="shared" si="68"/>
        <v>5.5157198007082164E-4</v>
      </c>
    </row>
    <row r="76" spans="1:14" x14ac:dyDescent="0.25">
      <c r="A76" s="55" t="s">
        <v>318</v>
      </c>
      <c r="B76" s="60">
        <v>1.339E-6</v>
      </c>
      <c r="C76" s="56">
        <f>IFERROR(C27/$B62,0)</f>
        <v>0</v>
      </c>
      <c r="D76" s="56">
        <f>IFERROR(D27/$B62,0)</f>
        <v>0</v>
      </c>
      <c r="E76" s="56">
        <f>IFERROR(E27/$B62,0)</f>
        <v>53565622.147980079</v>
      </c>
      <c r="F76" s="56">
        <f t="shared" si="66"/>
        <v>53565622.147980079</v>
      </c>
      <c r="G76" s="56">
        <f t="shared" ref="G76:M76" si="80">IFERROR(G27/$B62,0)</f>
        <v>53565622.147980079</v>
      </c>
      <c r="H76" s="56">
        <f t="shared" si="80"/>
        <v>157741105.76235124</v>
      </c>
      <c r="I76" s="56">
        <f t="shared" si="80"/>
        <v>74191791.269580454</v>
      </c>
      <c r="J76" s="56">
        <f t="shared" si="80"/>
        <v>55806415.10636171</v>
      </c>
      <c r="K76" s="56">
        <f t="shared" si="80"/>
        <v>38167330.222607046</v>
      </c>
      <c r="L76" s="56">
        <f t="shared" si="80"/>
        <v>0</v>
      </c>
      <c r="M76" s="56">
        <f t="shared" si="80"/>
        <v>13920407643.922272</v>
      </c>
      <c r="N76" s="56">
        <f t="shared" si="68"/>
        <v>13920407643.922272</v>
      </c>
    </row>
  </sheetData>
  <sheetProtection algorithmName="SHA-512" hashValue="DywMuT8NVAvOnOOyMopMlfaRH21qOk0ATV5ZKb8EvTp8ky00eqUXjNmuCChqE9803qQQVnWACAlPC25kP5PELw==" saltValue="RxJcEE5n5bAO7tSnmdP3SQ==" spinCount="100000" sheet="1" objects="1" scenarios="1" formatColumns="0" formatRows="0" autoFilter="0"/>
  <autoFilter ref="A1:N76" xr:uid="{00000000-0009-0000-0000-000005000000}"/>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tabColor theme="9" tint="-0.499984740745262"/>
  </sheetPr>
  <dimension ref="A1:N76"/>
  <sheetViews>
    <sheetView zoomScale="90" zoomScaleNormal="90" workbookViewId="0">
      <pane xSplit="2" ySplit="1" topLeftCell="C2" activePane="bottomRight" state="frozen"/>
      <selection activeCell="AA1390" sqref="AA1390"/>
      <selection pane="topRight" activeCell="AA1390" sqref="AA1390"/>
      <selection pane="bottomLeft" activeCell="AA1390" sqref="AA1390"/>
      <selection pane="bottomRight" activeCell="C2" sqref="C2"/>
    </sheetView>
  </sheetViews>
  <sheetFormatPr defaultColWidth="9.140625" defaultRowHeight="15" x14ac:dyDescent="0.25"/>
  <cols>
    <col min="1" max="1" width="15.42578125" style="3" customWidth="1"/>
    <col min="2" max="2" width="13.28515625" style="3" bestFit="1" customWidth="1"/>
    <col min="3" max="3" width="14.42578125" style="2" bestFit="1" customWidth="1"/>
    <col min="4" max="4" width="14.5703125" style="2" bestFit="1" customWidth="1"/>
    <col min="5" max="5" width="14.28515625" style="2" bestFit="1" customWidth="1"/>
    <col min="6" max="6" width="14.140625" style="2" bestFit="1" customWidth="1"/>
    <col min="7" max="7" width="13.5703125" style="2" bestFit="1" customWidth="1"/>
    <col min="8" max="9" width="15.42578125" style="2" bestFit="1" customWidth="1"/>
    <col min="10" max="10" width="16.42578125" style="2" bestFit="1" customWidth="1"/>
    <col min="11" max="12" width="13.85546875" style="2" bestFit="1" customWidth="1"/>
    <col min="13" max="13" width="14.140625" style="2" bestFit="1" customWidth="1"/>
    <col min="14" max="14" width="13.28515625" style="2" bestFit="1" customWidth="1"/>
    <col min="15" max="19" width="8.5703125" style="2" bestFit="1" customWidth="1"/>
    <col min="20" max="22" width="9.140625" style="2"/>
    <col min="23" max="25" width="8.5703125" style="2" bestFit="1" customWidth="1"/>
    <col min="26" max="16384" width="9.140625" style="2"/>
  </cols>
  <sheetData>
    <row r="1" spans="1:14" x14ac:dyDescent="0.25">
      <c r="A1" s="47" t="s">
        <v>51</v>
      </c>
      <c r="B1" s="47" t="s">
        <v>274</v>
      </c>
      <c r="C1" s="48" t="s">
        <v>364</v>
      </c>
      <c r="D1" s="48" t="s">
        <v>365</v>
      </c>
      <c r="E1" s="48" t="s">
        <v>366</v>
      </c>
      <c r="F1" s="48" t="s">
        <v>367</v>
      </c>
      <c r="G1" s="48" t="s">
        <v>368</v>
      </c>
      <c r="H1" s="48" t="s">
        <v>369</v>
      </c>
      <c r="I1" s="48" t="s">
        <v>370</v>
      </c>
      <c r="J1" s="48" t="s">
        <v>371</v>
      </c>
      <c r="K1" s="48" t="s">
        <v>372</v>
      </c>
      <c r="L1" s="48" t="s">
        <v>373</v>
      </c>
      <c r="M1" s="48" t="s">
        <v>374</v>
      </c>
      <c r="N1" s="48" t="s">
        <v>375</v>
      </c>
    </row>
    <row r="2" spans="1:14" ht="15" customHeight="1" x14ac:dyDescent="0.25">
      <c r="A2" s="49" t="s">
        <v>12</v>
      </c>
      <c r="B2" s="50" t="s">
        <v>289</v>
      </c>
      <c r="C2" s="48">
        <f>IFERROR((TR/(RadSpec!I2*EF_ow*ED_out*IRS_ow*(1/1000)))*1,".")</f>
        <v>19.691822970511495</v>
      </c>
      <c r="D2" s="48">
        <f>IFERROR(IF(A2="H-3",(TR/(RadSpec!G2*EF_ow*ED_out*ET_ow_o*(1/24)*IRA_ow*(1/17)*1000))*1,(TR/(RadSpec!G2*EF_ow*ED_out*ET_ow_o*(1/24)*IRA_ow*(1/PEF_wind)*1000))*1),".")</f>
        <v>423.01715401871314</v>
      </c>
      <c r="E2" s="48">
        <f>IFERROR((TR/(RadSpec!F2*EF_ow*(1/365)*ED_out*RadSpec!Q2*ET_ow_o*(1/24)*RadSpec!V2))*1,".")</f>
        <v>4.7229265965834433</v>
      </c>
      <c r="F2" s="48">
        <f t="shared" ref="F2" si="0">(IF(AND(ISNUMBER(C2),ISNUMBER(D2),ISNUMBER(E2)),1/((1/C2)+(1/D2)+(1/E2)),IF(AND(ISNUMBER(C2),ISNUMBER(D2),NOT(ISNUMBER(E2))), 1/((1/C2)+(1/D2)),IF(AND(ISNUMBER(C2),NOT(ISNUMBER(D2)),ISNUMBER(E2)),1/((1/C2)+(1/E2)),IF(AND(NOT(ISNUMBER(C2)),ISNUMBER(D2),ISNUMBER(E2)),1/((1/D2)+(1/E2)),IF(AND(ISNUMBER(C2),NOT(ISNUMBER(D2)),NOT(ISNUMBER(E2))),1/((1/C2)),IF(AND(NOT(ISNUMBER(C2)),NOT(ISNUMBER(D2)),ISNUMBER(E2)),1/((1/E2)),IF(AND(NOT(ISNUMBER(C2)),ISNUMBER(D2),NOT(ISNUMBER(E2))),1/((1/D2)),IF(AND(NOT(ISNUMBER(C2)),NOT(ISNUMBER(D2)),NOT(ISNUMBER(E2))),".")))))))))</f>
        <v>3.775300263170835</v>
      </c>
      <c r="G2" s="48">
        <f>IFERROR((TR/(RadSpec!F2*EF_ow*(1/365)*ED_out*RadSpec!Q2*ET_ow_o*(1/24)*RadSpec!V2))*1,".")</f>
        <v>4.7229265965834433</v>
      </c>
      <c r="H2" s="48">
        <f>IFERROR((TR/(RadSpec!M2*EF_ow*(1/365)*ED_out*RadSpec!R2*ET_ow_o*(1/24)*RadSpec!W2)*1),".")</f>
        <v>16.860771527042431</v>
      </c>
      <c r="I2" s="48">
        <f>IFERROR((TR/(RadSpec!N2*EF_ow*(1/365)*ED_out*RadSpec!S2*ET_ow_o*(1/24)*RadSpec!W2))*1,".")</f>
        <v>6.5124730023201387</v>
      </c>
      <c r="J2" s="48">
        <f>IFERROR((TR/(RadSpec!O2*EF_ow*(1/365)*ED_out*RadSpec!T2*ET_ow_o*(1/24)*RadSpec!X2))*1,".")</f>
        <v>4.8464915366103352</v>
      </c>
      <c r="K2" s="48">
        <f>IFERROR((TR/(RadSpec!K2*EF_ow*(1/365)*ED_out*RadSpec!P2*ET_ow_o*(1/24)*RadSpec!U2))*1,".")</f>
        <v>16.186340665960731</v>
      </c>
      <c r="L2" s="48">
        <f>IFERROR(TR/(RadSpec!G2*EF_ow*ED_out*ET_ow_o*(1/24)*IRA_ow),".")</f>
        <v>3.1119202103658064E-4</v>
      </c>
      <c r="M2" s="48">
        <f>IFERROR(TR/(RadSpec!J2*EF_ow*(1/365)*ED_out*ET_ow_o*(1/24)*GSF_a),".")</f>
        <v>3780.4831940906024</v>
      </c>
      <c r="N2" s="48">
        <f t="shared" ref="N2" si="1">IFERROR(IF(AND(ISNUMBER(L2),ISNUMBER(M2)),1/((1/L2)+(1/M2)),IF(AND(ISNUMBER(L2),NOT(ISNUMBER(M2))),1/((1/L2)),IF(AND(NOT(ISNUMBER(L2)),ISNUMBER(M2)),1/((1/M2)),IF(AND(NOT(ISNUMBER(L2)),NOT(ISNUMBER(M2))),".")))),".")</f>
        <v>3.1119199542068419E-4</v>
      </c>
    </row>
    <row r="3" spans="1:14" x14ac:dyDescent="0.25">
      <c r="A3" s="51" t="s">
        <v>13</v>
      </c>
      <c r="B3" s="50" t="s">
        <v>275</v>
      </c>
      <c r="C3" s="48">
        <f>IFERROR((TR/(RadSpec!I3*EF_ow*ED_out*IRS_ow*(1/1000)))*1,".")</f>
        <v>19.53172684880002</v>
      </c>
      <c r="D3" s="48">
        <f>IFERROR(IF(A3="H-3",(TR/(RadSpec!G3*EF_ow*ED_out*ET_ow_o*(1/24)*IRA_ow*(1/17)*1000))*1,(TR/(RadSpec!G3*EF_ow*ED_out*ET_ow_o*(1/24)*IRA_ow*(1/PEF_wind)*1000))*1),".")</f>
        <v>320.16592441416327</v>
      </c>
      <c r="E3" s="48">
        <f>IFERROR((TR/(RadSpec!F3*EF_ow*(1/365)*ED_out*RadSpec!Q3*ET_ow_o*(1/24)*RadSpec!V3))*1,".")</f>
        <v>7.0345699940673239</v>
      </c>
      <c r="F3" s="48">
        <f>(IF(AND(ISNUMBER(C3),ISNUMBER(D3),ISNUMBER(E3)),1/((1/C3)+(1/D3)+(1/E3)),IF(AND(ISNUMBER(C3),ISNUMBER(D3),NOT(ISNUMBER(E3))), 1/((1/C3)+(1/D3)),IF(AND(ISNUMBER(C3),NOT(ISNUMBER(D3)),ISNUMBER(E3)),1/((1/C3)+(1/E3)),IF(AND(NOT(ISNUMBER(C3)),ISNUMBER(D3),ISNUMBER(E3)),1/((1/D3)+(1/E3)),IF(AND(ISNUMBER(C3),NOT(ISNUMBER(D3)),NOT(ISNUMBER(E3))),1/((1/C3)),IF(AND(NOT(ISNUMBER(C3)),NOT(ISNUMBER(D3)),ISNUMBER(E3)),1/((1/E3)),IF(AND(NOT(ISNUMBER(C3)),ISNUMBER(D3),NOT(ISNUMBER(E3))),1/((1/D3)),IF(AND(NOT(ISNUMBER(C3)),NOT(ISNUMBER(D3)),NOT(ISNUMBER(E3))),".")))))))))</f>
        <v>5.0896482927468947</v>
      </c>
      <c r="G3" s="48">
        <f>IFERROR((TR/(RadSpec!F3*EF_ow*(1/365)*ED_out*RadSpec!Q3*ET_ow_o*(1/24)*RadSpec!V3))*1,".")</f>
        <v>7.0345699940673239</v>
      </c>
      <c r="H3" s="48">
        <f>IFERROR((TR/(RadSpec!M3*EF_ow*(1/365)*ED_out*RadSpec!R3*ET_ow_o*(1/24)*RadSpec!W3)*1),".")</f>
        <v>14.152742687554802</v>
      </c>
      <c r="I3" s="48">
        <f>IFERROR((TR/(RadSpec!N3*EF_ow*(1/365)*ED_out*RadSpec!S3*ET_ow_o*(1/24)*RadSpec!W3))*1,".")</f>
        <v>7.5506933360233504</v>
      </c>
      <c r="J3" s="48">
        <f>IFERROR((TR/(RadSpec!O3*EF_ow*(1/365)*ED_out*RadSpec!T3*ET_ow_o*(1/24)*RadSpec!X3))*1,".")</f>
        <v>7.0345699940673239</v>
      </c>
      <c r="K3" s="48">
        <f>IFERROR((TR/(RadSpec!K3*EF_ow*(1/365)*ED_out*RadSpec!P3*ET_ow_o*(1/24)*RadSpec!U3))*1,".")</f>
        <v>10.419956803712223</v>
      </c>
      <c r="L3" s="48">
        <f>IFERROR(TR/(RadSpec!G3*EF_ow*ED_out*ET_ow_o*(1/24)*IRA_ow),".")</f>
        <v>2.3552964729435318E-4</v>
      </c>
      <c r="M3" s="48">
        <f>IFERROR(TR/(RadSpec!J3*EF_ow*(1/365)*ED_out*ET_ow_o*(1/24)*GSF_a),".")</f>
        <v>3354.5132567282808</v>
      </c>
      <c r="N3" s="48">
        <f>IFERROR(IF(AND(ISNUMBER(L3),ISNUMBER(M3)),1/((1/L3)+(1/M3)),IF(AND(ISNUMBER(L3),NOT(ISNUMBER(M3))),1/((1/L3)),IF(AND(NOT(ISNUMBER(L3)),ISNUMBER(M3)),1/((1/M3)),IF(AND(NOT(ISNUMBER(L3)),NOT(ISNUMBER(M3))),".")))),".")</f>
        <v>2.3552963075716682E-4</v>
      </c>
    </row>
    <row r="4" spans="1:14" ht="15" customHeight="1" x14ac:dyDescent="0.25">
      <c r="A4" s="49" t="s">
        <v>14</v>
      </c>
      <c r="B4" s="50" t="s">
        <v>289</v>
      </c>
      <c r="C4" s="48" t="str">
        <f>IFERROR((TR/(RadSpec!I4*EF_ow*ED_out*IRS_ow*(1/1000)))*1,".")</f>
        <v>.</v>
      </c>
      <c r="D4" s="48" t="str">
        <f>IFERROR(IF(A4="H-3",(TR/(RadSpec!G4*EF_ow*ED_out*ET_ow_o*(1/24)*IRA_ow*(1/17)*1000))*1,(TR/(RadSpec!G4*EF_ow*ED_out*ET_ow_o*(1/24)*IRA_ow*(1/PEF_wind)*1000))*1),".")</f>
        <v>.</v>
      </c>
      <c r="E4" s="48">
        <f>IFERROR((TR/(RadSpec!F4*EF_ow*(1/365)*ED_out*RadSpec!Q4*ET_ow_o*(1/24)*RadSpec!V4))*1,".")</f>
        <v>207.87943748054309</v>
      </c>
      <c r="F4" s="48">
        <f t="shared" ref="F4:F5" si="2">(IF(AND(ISNUMBER(C4),ISNUMBER(D4),ISNUMBER(E4)),1/((1/C4)+(1/D4)+(1/E4)),IF(AND(ISNUMBER(C4),ISNUMBER(D4),NOT(ISNUMBER(E4))), 1/((1/C4)+(1/D4)),IF(AND(ISNUMBER(C4),NOT(ISNUMBER(D4)),ISNUMBER(E4)),1/((1/C4)+(1/E4)),IF(AND(NOT(ISNUMBER(C4)),ISNUMBER(D4),ISNUMBER(E4)),1/((1/D4)+(1/E4)),IF(AND(ISNUMBER(C4),NOT(ISNUMBER(D4)),NOT(ISNUMBER(E4))),1/((1/C4)),IF(AND(NOT(ISNUMBER(C4)),NOT(ISNUMBER(D4)),ISNUMBER(E4)),1/((1/E4)),IF(AND(NOT(ISNUMBER(C4)),ISNUMBER(D4),NOT(ISNUMBER(E4))),1/((1/D4)),IF(AND(NOT(ISNUMBER(C4)),NOT(ISNUMBER(D4)),NOT(ISNUMBER(E4))),".")))))))))</f>
        <v>207.87943748054309</v>
      </c>
      <c r="G4" s="48">
        <f>IFERROR((TR/(RadSpec!F4*EF_ow*(1/365)*ED_out*RadSpec!Q4*ET_ow_o*(1/24)*RadSpec!V4))*1,".")</f>
        <v>207.87943748054309</v>
      </c>
      <c r="H4" s="48">
        <f>IFERROR((TR/(RadSpec!M4*EF_ow*(1/365)*ED_out*RadSpec!R4*ET_ow_o*(1/24)*RadSpec!W4)*1),".")</f>
        <v>898.27213825105366</v>
      </c>
      <c r="I4" s="48">
        <f>IFERROR((TR/(RadSpec!N4*EF_ow*(1/365)*ED_out*RadSpec!S4*ET_ow_o*(1/24)*RadSpec!W4))*1,".")</f>
        <v>325.62365011600701</v>
      </c>
      <c r="J4" s="48">
        <f>IFERROR((TR/(RadSpec!O4*EF_ow*(1/365)*ED_out*RadSpec!T4*ET_ow_o*(1/24)*RadSpec!X4))*1,".")</f>
        <v>221.70120858962173</v>
      </c>
      <c r="K4" s="48">
        <f>IFERROR((TR/(RadSpec!K4*EF_ow*(1/365)*ED_out*RadSpec!P4*ET_ow_o*(1/24)*RadSpec!U4))*1,".")</f>
        <v>916.04015856810747</v>
      </c>
      <c r="L4" s="48" t="str">
        <f>IFERROR(TR/(RadSpec!G4*EF_ow*ED_out*ET_ow_o*(1/24)*IRA_ow),".")</f>
        <v>.</v>
      </c>
      <c r="M4" s="48">
        <f>IFERROR(TR/(RadSpec!J4*EF_ow*(1/365)*ED_out*ET_ow_o*(1/24)*GSF_a),".")</f>
        <v>199425.01059736309</v>
      </c>
      <c r="N4" s="48">
        <f t="shared" ref="N4:N5" si="3">IFERROR(IF(AND(ISNUMBER(L4),ISNUMBER(M4)),1/((1/L4)+(1/M4)),IF(AND(ISNUMBER(L4),NOT(ISNUMBER(M4))),1/((1/L4)),IF(AND(NOT(ISNUMBER(L4)),ISNUMBER(M4)),1/((1/M4)),IF(AND(NOT(ISNUMBER(L4)),NOT(ISNUMBER(M4))),".")))),".")</f>
        <v>199425.01059736309</v>
      </c>
    </row>
    <row r="5" spans="1:14" ht="15" customHeight="1" x14ac:dyDescent="0.25">
      <c r="A5" s="49" t="s">
        <v>15</v>
      </c>
      <c r="B5" s="50" t="s">
        <v>289</v>
      </c>
      <c r="C5" s="48" t="str">
        <f>IFERROR((TR/(RadSpec!I5*EF_ow*ED_out*IRS_ow*(1/1000)))*1,".")</f>
        <v>.</v>
      </c>
      <c r="D5" s="48" t="str">
        <f>IFERROR(IF(A5="H-3",(TR/(RadSpec!G5*EF_ow*ED_out*ET_ow_o*(1/24)*IRA_ow*(1/17)*1000))*1,(TR/(RadSpec!G5*EF_ow*ED_out*ET_ow_o*(1/24)*IRA_ow*(1/PEF_wind)*1000))*1),".")</f>
        <v>.</v>
      </c>
      <c r="E5" s="48">
        <f>IFERROR((TR/(RadSpec!F5*EF_ow*(1/365)*ED_out*RadSpec!Q5*ET_ow_o*(1/24)*RadSpec!V5))*1,".")</f>
        <v>7882.7096387421052</v>
      </c>
      <c r="F5" s="48">
        <f t="shared" si="2"/>
        <v>7882.7096387421052</v>
      </c>
      <c r="G5" s="48">
        <f>IFERROR((TR/(RadSpec!F5*EF_ow*(1/365)*ED_out*RadSpec!Q5*ET_ow_o*(1/24)*RadSpec!V5))*1,".")</f>
        <v>7882.7096387421052</v>
      </c>
      <c r="H5" s="48">
        <f>IFERROR((TR/(RadSpec!M5*EF_ow*(1/365)*ED_out*RadSpec!R5*ET_ow_o*(1/24)*RadSpec!W5)*1),".")</f>
        <v>25785.589714704827</v>
      </c>
      <c r="I5" s="48">
        <f>IFERROR((TR/(RadSpec!N5*EF_ow*(1/365)*ED_out*RadSpec!S5*ET_ow_o*(1/24)*RadSpec!W5))*1,".")</f>
        <v>11731.708455379323</v>
      </c>
      <c r="J5" s="48">
        <f>IFERROR((TR/(RadSpec!O5*EF_ow*(1/365)*ED_out*RadSpec!T5*ET_ow_o*(1/24)*RadSpec!X5))*1,".")</f>
        <v>8458.615365773494</v>
      </c>
      <c r="K5" s="48">
        <f>IFERROR((TR/(RadSpec!K5*EF_ow*(1/365)*ED_out*RadSpec!P5*ET_ow_o*(1/24)*RadSpec!U5))*1,".")</f>
        <v>10832.963538622194</v>
      </c>
      <c r="L5" s="48" t="str">
        <f>IFERROR(TR/(RadSpec!G5*EF_ow*ED_out*ET_ow_o*(1/24)*IRA_ow),".")</f>
        <v>.</v>
      </c>
      <c r="M5" s="48">
        <f>IFERROR(TR/(RadSpec!J5*EF_ow*(1/365)*ED_out*ET_ow_o*(1/24)*GSF_a),".")</f>
        <v>6315125.3355831644</v>
      </c>
      <c r="N5" s="48">
        <f t="shared" si="3"/>
        <v>6315125.3355831644</v>
      </c>
    </row>
    <row r="6" spans="1:14" ht="15" customHeight="1" x14ac:dyDescent="0.25">
      <c r="A6" s="49" t="s">
        <v>16</v>
      </c>
      <c r="B6" s="50" t="s">
        <v>289</v>
      </c>
      <c r="C6" s="48" t="str">
        <f>IFERROR((TR/(RadSpec!I6*EF_ow*ED_out*IRS_ow*(1/1000)))*1,".")</f>
        <v>.</v>
      </c>
      <c r="D6" s="48" t="str">
        <f>IFERROR(IF(A6="H-3",(TR/(RadSpec!G6*EF_ow*ED_out*ET_ow_o*(1/24)*IRA_ow*(1/17)*1000))*1,(TR/(RadSpec!G6*EF_ow*ED_out*ET_ow_o*(1/24)*IRA_ow*(1/PEF_wind)*1000))*1),".")</f>
        <v>.</v>
      </c>
      <c r="E6" s="48">
        <f>IFERROR((TR/(RadSpec!F6*EF_ow*(1/365)*ED_out*RadSpec!Q6*ET_ow_o*(1/24)*RadSpec!V6))*1,".")</f>
        <v>7.2486656025824145E-2</v>
      </c>
      <c r="F6" s="48">
        <f t="shared" ref="F6:F9" si="4">(IF(AND(ISNUMBER(C6),ISNUMBER(D6),ISNUMBER(E6)),1/((1/C6)+(1/D6)+(1/E6)),IF(AND(ISNUMBER(C6),ISNUMBER(D6),NOT(ISNUMBER(E6))), 1/((1/C6)+(1/D6)),IF(AND(ISNUMBER(C6),NOT(ISNUMBER(D6)),ISNUMBER(E6)),1/((1/C6)+(1/E6)),IF(AND(NOT(ISNUMBER(C6)),ISNUMBER(D6),ISNUMBER(E6)),1/((1/D6)+(1/E6)),IF(AND(ISNUMBER(C6),NOT(ISNUMBER(D6)),NOT(ISNUMBER(E6))),1/((1/C6)),IF(AND(NOT(ISNUMBER(C6)),NOT(ISNUMBER(D6)),ISNUMBER(E6)),1/((1/E6)),IF(AND(NOT(ISNUMBER(C6)),ISNUMBER(D6),NOT(ISNUMBER(E6))),1/((1/D6)),IF(AND(NOT(ISNUMBER(C6)),NOT(ISNUMBER(D6)),NOT(ISNUMBER(E6))),".")))))))))</f>
        <v>7.2486656025824145E-2</v>
      </c>
      <c r="G6" s="48">
        <f>IFERROR((TR/(RadSpec!F6*EF_ow*(1/365)*ED_out*RadSpec!Q6*ET_ow_o*(1/24)*RadSpec!V6))*1,".")</f>
        <v>7.2486656025824145E-2</v>
      </c>
      <c r="H6" s="48">
        <f>IFERROR((TR/(RadSpec!M6*EF_ow*(1/365)*ED_out*RadSpec!R6*ET_ow_o*(1/24)*RadSpec!W6)*1),".")</f>
        <v>0.35562992504137275</v>
      </c>
      <c r="I6" s="48">
        <f>IFERROR((TR/(RadSpec!N6*EF_ow*(1/365)*ED_out*RadSpec!S6*ET_ow_o*(1/24)*RadSpec!W6))*1,".")</f>
        <v>0.12611142878925533</v>
      </c>
      <c r="J6" s="48">
        <f>IFERROR((TR/(RadSpec!O6*EF_ow*(1/365)*ED_out*RadSpec!T6*ET_ow_o*(1/24)*RadSpec!X6))*1,".")</f>
        <v>8.1326492126534408E-2</v>
      </c>
      <c r="K6" s="48">
        <f>IFERROR((TR/(RadSpec!K6*EF_ow*(1/365)*ED_out*RadSpec!P6*ET_ow_o*(1/24)*RadSpec!U6))*1,".")</f>
        <v>0.36322289511850891</v>
      </c>
      <c r="L6" s="48" t="str">
        <f>IFERROR(TR/(RadSpec!G6*EF_ow*ED_out*ET_ow_o*(1/24)*IRA_ow),".")</f>
        <v>.</v>
      </c>
      <c r="M6" s="48">
        <f>IFERROR(TR/(RadSpec!J6*EF_ow*(1/365)*ED_out*ET_ow_o*(1/24)*GSF_a),".")</f>
        <v>77.184865212683135</v>
      </c>
      <c r="N6" s="48">
        <f t="shared" ref="N6:N9" si="5">IFERROR(IF(AND(ISNUMBER(L6),ISNUMBER(M6)),1/((1/L6)+(1/M6)),IF(AND(ISNUMBER(L6),NOT(ISNUMBER(M6))),1/((1/L6)),IF(AND(NOT(ISNUMBER(L6)),ISNUMBER(M6)),1/((1/M6)),IF(AND(NOT(ISNUMBER(L6)),NOT(ISNUMBER(M6))),".")))),".")</f>
        <v>77.184865212683135</v>
      </c>
    </row>
    <row r="7" spans="1:14" ht="15" customHeight="1" x14ac:dyDescent="0.25">
      <c r="A7" s="49" t="s">
        <v>17</v>
      </c>
      <c r="B7" s="50" t="s">
        <v>289</v>
      </c>
      <c r="C7" s="48">
        <f>IFERROR((TR/(RadSpec!I7*EF_ow*ED_out*IRS_ow*(1/1000)))*1,".")</f>
        <v>475.72324800047568</v>
      </c>
      <c r="D7" s="48">
        <f>IFERROR(IF(A7="H-3",(TR/(RadSpec!G7*EF_ow*ED_out*ET_ow_o*(1/24)*IRA_ow*(1/17)*1000))*1,(TR/(RadSpec!G7*EF_ow*ED_out*ET_ow_o*(1/24)*IRA_ow*(1/PEF_wind)*1000))*1),".")</f>
        <v>26550.344951418418</v>
      </c>
      <c r="E7" s="48">
        <f>IFERROR((TR/(RadSpec!F7*EF_ow*(1/365)*ED_out*RadSpec!Q7*ET_ow_o*(1/24)*RadSpec!V7))*1,".")</f>
        <v>70.345699940673228</v>
      </c>
      <c r="F7" s="48">
        <f t="shared" si="4"/>
        <v>61.142496035272117</v>
      </c>
      <c r="G7" s="48">
        <f>IFERROR((TR/(RadSpec!F7*EF_ow*(1/365)*ED_out*RadSpec!Q7*ET_ow_o*(1/24)*RadSpec!V7))*1,".")</f>
        <v>70.345699940673228</v>
      </c>
      <c r="H7" s="48">
        <f>IFERROR((TR/(RadSpec!M7*EF_ow*(1/365)*ED_out*RadSpec!R7*ET_ow_o*(1/24)*RadSpec!W7)*1),".")</f>
        <v>203.9130489963253</v>
      </c>
      <c r="I7" s="48">
        <f>IFERROR((TR/(RadSpec!N7*EF_ow*(1/365)*ED_out*RadSpec!S7*ET_ow_o*(1/24)*RadSpec!W7))*1,".")</f>
        <v>94.726880033747463</v>
      </c>
      <c r="J7" s="48">
        <f>IFERROR((TR/(RadSpec!O7*EF_ow*(1/365)*ED_out*RadSpec!T7*ET_ow_o*(1/24)*RadSpec!X7))*1,".")</f>
        <v>72.486656025824146</v>
      </c>
      <c r="K7" s="48">
        <f>IFERROR((TR/(RadSpec!K7*EF_ow*(1/365)*ED_out*RadSpec!P7*ET_ow_o*(1/24)*RadSpec!U7))*1,".")</f>
        <v>40.367871394526766</v>
      </c>
      <c r="L7" s="48">
        <f>IFERROR(TR/(RadSpec!G7*EF_ow*ED_out*ET_ow_o*(1/24)*IRA_ow),".")</f>
        <v>1.9531726848800019E-2</v>
      </c>
      <c r="M7" s="48">
        <f>IFERROR(TR/(RadSpec!J7*EF_ow*(1/365)*ED_out*ET_ow_o*(1/24)*GSF_a),".")</f>
        <v>36803.37943916017</v>
      </c>
      <c r="N7" s="48">
        <f t="shared" si="5"/>
        <v>1.9531716483226068E-2</v>
      </c>
    </row>
    <row r="8" spans="1:14" ht="15" customHeight="1" x14ac:dyDescent="0.25">
      <c r="A8" s="49" t="s">
        <v>18</v>
      </c>
      <c r="B8" s="50" t="s">
        <v>289</v>
      </c>
      <c r="C8" s="48">
        <f>IFERROR((TR/(RadSpec!I8*EF_ow*ED_out*IRS_ow*(1/1000)))*1,".")</f>
        <v>5606.5400289437621</v>
      </c>
      <c r="D8" s="48">
        <f>IFERROR(IF(A8="H-3",(TR/(RadSpec!G8*EF_ow*ED_out*ET_ow_o*(1/24)*IRA_ow*(1/17)*1000))*1,(TR/(RadSpec!G8*EF_ow*ED_out*ET_ow_o*(1/24)*IRA_ow*(1/PEF_wind)*1000))*1),".")</f>
        <v>163284.6214512233</v>
      </c>
      <c r="E8" s="48">
        <f>IFERROR((TR/(RadSpec!F8*EF_ow*(1/365)*ED_out*RadSpec!Q8*ET_ow_o*(1/24)*RadSpec!V8))*1,".")</f>
        <v>0.35853614808472156</v>
      </c>
      <c r="F8" s="48">
        <f t="shared" si="4"/>
        <v>0.35851243413566847</v>
      </c>
      <c r="G8" s="48">
        <f>IFERROR((TR/(RadSpec!F8*EF_ow*(1/365)*ED_out*RadSpec!Q8*ET_ow_o*(1/24)*RadSpec!V8))*1,".")</f>
        <v>0.35853614808472156</v>
      </c>
      <c r="H8" s="48">
        <f>IFERROR((TR/(RadSpec!M8*EF_ow*(1/365)*ED_out*RadSpec!R8*ET_ow_o*(1/24)*RadSpec!W8)*1),".")</f>
        <v>1.6539613974146385</v>
      </c>
      <c r="I8" s="48">
        <f>IFERROR((TR/(RadSpec!N8*EF_ow*(1/365)*ED_out*RadSpec!S8*ET_ow_o*(1/24)*RadSpec!W8))*1,".")</f>
        <v>0.59204300021092182</v>
      </c>
      <c r="J8" s="48">
        <f>IFERROR((TR/(RadSpec!O8*EF_ow*(1/365)*ED_out*RadSpec!T8*ET_ow_o*(1/24)*RadSpec!X8))*1,".")</f>
        <v>0.39135987995163268</v>
      </c>
      <c r="K8" s="48">
        <f>IFERROR((TR/(RadSpec!K8*EF_ow*(1/365)*ED_out*RadSpec!P8*ET_ow_o*(1/24)*RadSpec!U8))*1,".")</f>
        <v>1.6186340665960737</v>
      </c>
      <c r="L8" s="48">
        <f>IFERROR(TR/(RadSpec!G8*EF_ow*ED_out*ET_ow_o*(1/24)*IRA_ow),".")</f>
        <v>0.12012012012012013</v>
      </c>
      <c r="M8" s="48">
        <f>IFERROR(TR/(RadSpec!J8*EF_ow*(1/365)*ED_out*ET_ow_o*(1/24)*GSF_a),".")</f>
        <v>365.61251942849907</v>
      </c>
      <c r="N8" s="48">
        <f t="shared" si="5"/>
        <v>0.12008066823178037</v>
      </c>
    </row>
    <row r="9" spans="1:14" ht="15" customHeight="1" x14ac:dyDescent="0.25">
      <c r="A9" s="49" t="s">
        <v>19</v>
      </c>
      <c r="B9" s="50" t="s">
        <v>289</v>
      </c>
      <c r="C9" s="48">
        <f>IFERROR((TR/(RadSpec!I9*EF_ow*ED_out*IRS_ow*(1/1000)))*1,".")</f>
        <v>12072.373881419107</v>
      </c>
      <c r="D9" s="48">
        <f>IFERROR(IF(A9="H-3",(TR/(RadSpec!G9*EF_ow*ED_out*ET_ow_o*(1/24)*IRA_ow*(1/17)*1000))*1,(TR/(RadSpec!G9*EF_ow*ED_out*ET_ow_o*(1/24)*IRA_ow*(1/PEF_wind)*1000))*1),".")</f>
        <v>195518.80238495991</v>
      </c>
      <c r="E9" s="48">
        <f>IFERROR((TR/(RadSpec!F9*EF_ow*(1/365)*ED_out*RadSpec!Q9*ET_ow_o*(1/24)*RadSpec!V9))*1,".")</f>
        <v>2.6505454508647944E-2</v>
      </c>
      <c r="F9" s="48">
        <f t="shared" si="4"/>
        <v>2.6505392721637353E-2</v>
      </c>
      <c r="G9" s="48">
        <f>IFERROR((TR/(RadSpec!F9*EF_ow*(1/365)*ED_out*RadSpec!Q9*ET_ow_o*(1/24)*RadSpec!V9))*1,".")</f>
        <v>2.6505454508647944E-2</v>
      </c>
      <c r="H9" s="48">
        <f>IFERROR((TR/(RadSpec!M9*EF_ow*(1/365)*ED_out*RadSpec!R9*ET_ow_o*(1/24)*RadSpec!W9)*1),".")</f>
        <v>0.14675995498186228</v>
      </c>
      <c r="I9" s="48">
        <f>IFERROR((TR/(RadSpec!N9*EF_ow*(1/365)*ED_out*RadSpec!S9*ET_ow_o*(1/24)*RadSpec!W9))*1,".")</f>
        <v>5.1078219626040304E-2</v>
      </c>
      <c r="J9" s="48">
        <f>IFERROR((TR/(RadSpec!O9*EF_ow*(1/365)*ED_out*RadSpec!T9*ET_ow_o*(1/24)*RadSpec!X9))*1,".")</f>
        <v>3.1695686094942124E-2</v>
      </c>
      <c r="K9" s="48">
        <f>IFERROR((TR/(RadSpec!K9*EF_ow*(1/365)*ED_out*RadSpec!P9*ET_ow_o*(1/24)*RadSpec!U9))*1,".")</f>
        <v>0.15156300805399595</v>
      </c>
      <c r="L9" s="48">
        <f>IFERROR(TR/(RadSpec!G9*EF_ow*ED_out*ET_ow_o*(1/24)*IRA_ow),".")</f>
        <v>0.14383315354189141</v>
      </c>
      <c r="M9" s="48">
        <f>IFERROR(TR/(RadSpec!J9*EF_ow*(1/365)*ED_out*ET_ow_o*(1/24)*GSF_a),".")</f>
        <v>29.095865420487879</v>
      </c>
      <c r="N9" s="48">
        <f t="shared" si="5"/>
        <v>0.14312562312719077</v>
      </c>
    </row>
    <row r="10" spans="1:14" ht="15" customHeight="1" x14ac:dyDescent="0.25">
      <c r="A10" s="51" t="s">
        <v>20</v>
      </c>
      <c r="B10" s="50" t="s">
        <v>275</v>
      </c>
      <c r="C10" s="48">
        <f>IFERROR((TR/(RadSpec!I10*EF_ow*ED_out*IRS_ow*(1/1000)))*1,".")</f>
        <v>55.934863851045449</v>
      </c>
      <c r="D10" s="48">
        <f>IFERROR(IF(A10="H-3",(TR/(RadSpec!G10*EF_ow*ED_out*ET_ow_o*(1/24)*IRA_ow*(1/17)*1000))*1,(TR/(RadSpec!G10*EF_ow*ED_out*ET_ow_o*(1/24)*IRA_ow*(1/PEF_wind)*1000))*1),".")</f>
        <v>107424.09306001532</v>
      </c>
      <c r="E10" s="48">
        <f>IFERROR((TR/(RadSpec!F10*EF_ow*(1/365)*ED_out*RadSpec!Q10*ET_ow_o*(1/24)*RadSpec!V10))*1,".")</f>
        <v>352.47211175347894</v>
      </c>
      <c r="F10" s="48">
        <f t="shared" ref="F10" si="6">(IF(AND(ISNUMBER(C10),ISNUMBER(D10),ISNUMBER(E10)),1/((1/C10)+(1/D10)+(1/E10)),IF(AND(ISNUMBER(C10),ISNUMBER(D10),NOT(ISNUMBER(E10))), 1/((1/C10)+(1/D10)),IF(AND(ISNUMBER(C10),NOT(ISNUMBER(D10)),ISNUMBER(E10)),1/((1/C10)+(1/E10)),IF(AND(NOT(ISNUMBER(C10)),ISNUMBER(D10),ISNUMBER(E10)),1/((1/D10)+(1/E10)),IF(AND(ISNUMBER(C10),NOT(ISNUMBER(D10)),NOT(ISNUMBER(E10))),1/((1/C10)),IF(AND(NOT(ISNUMBER(C10)),NOT(ISNUMBER(D10)),ISNUMBER(E10)),1/((1/E10)),IF(AND(NOT(ISNUMBER(C10)),ISNUMBER(D10),NOT(ISNUMBER(E10))),1/((1/D10)),IF(AND(NOT(ISNUMBER(C10)),NOT(ISNUMBER(D10)),NOT(ISNUMBER(E10))),".")))))))))</f>
        <v>48.252417372979295</v>
      </c>
      <c r="G10" s="48">
        <f>IFERROR((TR/(RadSpec!F10*EF_ow*(1/365)*ED_out*RadSpec!Q10*ET_ow_o*(1/24)*RadSpec!V10))*1,".")</f>
        <v>352.47211175347894</v>
      </c>
      <c r="H10" s="48">
        <f>IFERROR((TR/(RadSpec!M10*EF_ow*(1/365)*ED_out*RadSpec!R10*ET_ow_o*(1/24)*RadSpec!W10)*1),".")</f>
        <v>1011.6462916225458</v>
      </c>
      <c r="I10" s="48">
        <f>IFERROR((TR/(RadSpec!N10*EF_ow*(1/365)*ED_out*RadSpec!S10*ET_ow_o*(1/24)*RadSpec!W10))*1,".")</f>
        <v>459.02893408423876</v>
      </c>
      <c r="J10" s="48">
        <f>IFERROR((TR/(RadSpec!O10*EF_ow*(1/365)*ED_out*RadSpec!T10*ET_ow_o*(1/24)*RadSpec!X10))*1,".")</f>
        <v>359.30885530042144</v>
      </c>
      <c r="K10" s="48">
        <f>IFERROR((TR/(RadSpec!K10*EF_ow*(1/365)*ED_out*RadSpec!P10*ET_ow_o*(1/24)*RadSpec!U10))*1,".")</f>
        <v>351.72849970336614</v>
      </c>
      <c r="L10" s="48">
        <f>IFERROR(TR/(RadSpec!G10*EF_ow*ED_out*ET_ow_o*(1/24)*IRA_ow),".")</f>
        <v>7.9026394815868511E-2</v>
      </c>
      <c r="M10" s="48">
        <f>IFERROR(TR/(RadSpec!J10*EF_ow*(1/365)*ED_out*ET_ow_o*(1/24)*GSF_a),".")</f>
        <v>119941.94881970904</v>
      </c>
      <c r="N10" s="48">
        <f t="shared" ref="N10" si="7">IFERROR(IF(AND(ISNUMBER(L10),ISNUMBER(M10)),1/((1/L10)+(1/M10)),IF(AND(ISNUMBER(L10),NOT(ISNUMBER(M10))),1/((1/L10)),IF(AND(NOT(ISNUMBER(L10)),ISNUMBER(M10)),1/((1/M10)),IF(AND(NOT(ISNUMBER(L10)),NOT(ISNUMBER(M10))),".")))),".")</f>
        <v>7.9026342747621964E-2</v>
      </c>
    </row>
    <row r="11" spans="1:14" ht="15" customHeight="1" x14ac:dyDescent="0.25">
      <c r="A11" s="49" t="s">
        <v>21</v>
      </c>
      <c r="B11" s="50" t="s">
        <v>289</v>
      </c>
      <c r="C11" s="48" t="str">
        <f>IFERROR((TR/(RadSpec!I11*EF_ow*ED_out*IRS_ow*(1/1000)))*1,".")</f>
        <v>.</v>
      </c>
      <c r="D11" s="48" t="str">
        <f>IFERROR(IF(A11="H-3",(TR/(RadSpec!G11*EF_ow*ED_out*ET_ow_o*(1/24)*IRA_ow*(1/17)*1000))*1,(TR/(RadSpec!G11*EF_ow*ED_out*ET_ow_o*(1/24)*IRA_ow*(1/PEF_wind)*1000))*1),".")</f>
        <v>.</v>
      </c>
      <c r="E11" s="48">
        <f>IFERROR((TR/(RadSpec!F11*EF_ow*(1/365)*ED_out*RadSpec!Q11*ET_ow_o*(1/24)*RadSpec!V11))*1,".")</f>
        <v>1.8565624594587478</v>
      </c>
      <c r="F11" s="48">
        <f t="shared" ref="F11" si="8">(IF(AND(ISNUMBER(C11),ISNUMBER(D11),ISNUMBER(E11)),1/((1/C11)+(1/D11)+(1/E11)),IF(AND(ISNUMBER(C11),ISNUMBER(D11),NOT(ISNUMBER(E11))), 1/((1/C11)+(1/D11)),IF(AND(ISNUMBER(C11),NOT(ISNUMBER(D11)),ISNUMBER(E11)),1/((1/C11)+(1/E11)),IF(AND(NOT(ISNUMBER(C11)),ISNUMBER(D11),ISNUMBER(E11)),1/((1/D11)+(1/E11)),IF(AND(ISNUMBER(C11),NOT(ISNUMBER(D11)),NOT(ISNUMBER(E11))),1/((1/C11)),IF(AND(NOT(ISNUMBER(C11)),NOT(ISNUMBER(D11)),ISNUMBER(E11)),1/((1/E11)),IF(AND(NOT(ISNUMBER(C11)),ISNUMBER(D11),NOT(ISNUMBER(E11))),1/((1/D11)),IF(AND(NOT(ISNUMBER(C11)),NOT(ISNUMBER(D11)),NOT(ISNUMBER(E11))),".")))))))))</f>
        <v>1.856562459458748</v>
      </c>
      <c r="G11" s="48">
        <f>IFERROR((TR/(RadSpec!F11*EF_ow*(1/365)*ED_out*RadSpec!Q11*ET_ow_o*(1/24)*RadSpec!V11))*1,".")</f>
        <v>1.8565624594587478</v>
      </c>
      <c r="H11" s="48">
        <f>IFERROR((TR/(RadSpec!M11*EF_ow*(1/365)*ED_out*RadSpec!R11*ET_ow_o*(1/24)*RadSpec!W11)*1),".")</f>
        <v>7.6058078859213296</v>
      </c>
      <c r="I11" s="48">
        <f>IFERROR((TR/(RadSpec!N11*EF_ow*(1/365)*ED_out*RadSpec!S11*ET_ow_o*(1/24)*RadSpec!W11))*1,".")</f>
        <v>2.7566023290243979</v>
      </c>
      <c r="J11" s="48">
        <f>IFERROR((TR/(RadSpec!O11*EF_ow*(1/365)*ED_out*RadSpec!T11*ET_ow_o*(1/24)*RadSpec!X11))*1,".")</f>
        <v>1.9273908538658446</v>
      </c>
      <c r="K11" s="48">
        <f>IFERROR((TR/(RadSpec!K11*EF_ow*(1/365)*ED_out*RadSpec!P11*ET_ow_o*(1/24)*RadSpec!U11))*1,".")</f>
        <v>7.7184865212683125</v>
      </c>
      <c r="L11" s="48" t="str">
        <f>IFERROR(TR/(RadSpec!G11*EF_ow*ED_out*ET_ow_o*(1/24)*IRA_ow),".")</f>
        <v>.</v>
      </c>
      <c r="M11" s="48">
        <f>IFERROR(TR/(RadSpec!J11*EF_ow*(1/365)*ED_out*ET_ow_o*(1/24)*GSF_a),".")</f>
        <v>1689.1520654447372</v>
      </c>
      <c r="N11" s="48">
        <f t="shared" ref="N11" si="9">IFERROR(IF(AND(ISNUMBER(L11),ISNUMBER(M11)),1/((1/L11)+(1/M11)),IF(AND(ISNUMBER(L11),NOT(ISNUMBER(M11))),1/((1/L11)),IF(AND(NOT(ISNUMBER(L11)),ISNUMBER(M11)),1/((1/M11)),IF(AND(NOT(ISNUMBER(L11)),NOT(ISNUMBER(M11))),".")))),".")</f>
        <v>1689.1520654447372</v>
      </c>
    </row>
    <row r="12" spans="1:14" ht="15" customHeight="1" x14ac:dyDescent="0.25">
      <c r="A12" s="49" t="s">
        <v>22</v>
      </c>
      <c r="B12" s="50" t="s">
        <v>289</v>
      </c>
      <c r="C12" s="48" t="str">
        <f>IFERROR((TR/(RadSpec!I12*EF_ow*ED_out*IRS_ow*(1/1000)))*1,".")</f>
        <v>.</v>
      </c>
      <c r="D12" s="48" t="str">
        <f>IFERROR(IF(A12="H-3",(TR/(RadSpec!G12*EF_ow*ED_out*ET_ow_o*(1/24)*IRA_ow*(1/17)*1000))*1,(TR/(RadSpec!G12*EF_ow*ED_out*ET_ow_o*(1/24)*IRA_ow*(1/PEF_wind)*1000))*1),".")</f>
        <v>.</v>
      </c>
      <c r="E12" s="48">
        <f>IFERROR((TR/(RadSpec!F12*EF_ow*(1/365)*ED_out*RadSpec!Q12*ET_ow_o*(1/24)*RadSpec!V12))*1,".")</f>
        <v>0.40270364458791191</v>
      </c>
      <c r="F12" s="48">
        <f t="shared" ref="F12" si="10">(IF(AND(ISNUMBER(C12),ISNUMBER(D12),ISNUMBER(E12)),1/((1/C12)+(1/D12)+(1/E12)),IF(AND(ISNUMBER(C12),ISNUMBER(D12),NOT(ISNUMBER(E12))), 1/((1/C12)+(1/D12)),IF(AND(ISNUMBER(C12),NOT(ISNUMBER(D12)),ISNUMBER(E12)),1/((1/C12)+(1/E12)),IF(AND(NOT(ISNUMBER(C12)),ISNUMBER(D12),ISNUMBER(E12)),1/((1/D12)+(1/E12)),IF(AND(ISNUMBER(C12),NOT(ISNUMBER(D12)),NOT(ISNUMBER(E12))),1/((1/C12)),IF(AND(NOT(ISNUMBER(C12)),NOT(ISNUMBER(D12)),ISNUMBER(E12)),1/((1/E12)),IF(AND(NOT(ISNUMBER(C12)),ISNUMBER(D12),NOT(ISNUMBER(E12))),1/((1/D12)),IF(AND(NOT(ISNUMBER(C12)),NOT(ISNUMBER(D12)),NOT(ISNUMBER(E12))),".")))))))))</f>
        <v>0.40270364458791191</v>
      </c>
      <c r="G12" s="48">
        <f>IFERROR((TR/(RadSpec!F12*EF_ow*(1/365)*ED_out*RadSpec!Q12*ET_ow_o*(1/24)*RadSpec!V12))*1,".")</f>
        <v>0.40270364458791191</v>
      </c>
      <c r="H12" s="48">
        <f>IFERROR((TR/(RadSpec!M12*EF_ow*(1/365)*ED_out*RadSpec!R12*ET_ow_o*(1/24)*RadSpec!W12)*1),".")</f>
        <v>1.77210149722997</v>
      </c>
      <c r="I12" s="48">
        <f>IFERROR((TR/(RadSpec!N12*EF_ow*(1/365)*ED_out*RadSpec!S12*ET_ow_o*(1/24)*RadSpec!W12))*1,".")</f>
        <v>0.63536321973855014</v>
      </c>
      <c r="J12" s="48">
        <f>IFERROR((TR/(RadSpec!O12*EF_ow*(1/365)*ED_out*RadSpec!T12*ET_ow_o*(1/24)*RadSpec!X12))*1,".")</f>
        <v>0.43079924769869649</v>
      </c>
      <c r="K12" s="48">
        <f>IFERROR((TR/(RadSpec!K12*EF_ow*(1/365)*ED_out*RadSpec!P12*ET_ow_o*(1/24)*RadSpec!U12))*1,".")</f>
        <v>1.7421035408505281</v>
      </c>
      <c r="L12" s="48" t="str">
        <f>IFERROR(TR/(RadSpec!G12*EF_ow*ED_out*ET_ow_o*(1/24)*IRA_ow),".")</f>
        <v>.</v>
      </c>
      <c r="M12" s="48">
        <f>IFERROR(TR/(RadSpec!J12*EF_ow*(1/365)*ED_out*ET_ow_o*(1/24)*GSF_a),".")</f>
        <v>392.28072672798959</v>
      </c>
      <c r="N12" s="48">
        <f t="shared" ref="N12" si="11">IFERROR(IF(AND(ISNUMBER(L12),ISNUMBER(M12)),1/((1/L12)+(1/M12)),IF(AND(ISNUMBER(L12),NOT(ISNUMBER(M12))),1/((1/L12)),IF(AND(NOT(ISNUMBER(L12)),ISNUMBER(M12)),1/((1/M12)),IF(AND(NOT(ISNUMBER(L12)),NOT(ISNUMBER(M12))),".")))),".")</f>
        <v>392.28072672798959</v>
      </c>
    </row>
    <row r="13" spans="1:14" ht="15" customHeight="1" x14ac:dyDescent="0.25">
      <c r="A13" s="49" t="s">
        <v>23</v>
      </c>
      <c r="B13" s="50" t="s">
        <v>289</v>
      </c>
      <c r="C13" s="48">
        <f>IFERROR((TR/(RadSpec!I13*EF_ow*ED_out*IRS_ow*(1/1000)))*1,".")</f>
        <v>37.833108699250431</v>
      </c>
      <c r="D13" s="48">
        <f>IFERROR(IF(A13="H-3",(TR/(RadSpec!G13*EF_ow*ED_out*ET_ow_o*(1/24)*IRA_ow*(1/17)*1000))*1,(TR/(RadSpec!G13*EF_ow*ED_out*ET_ow_o*(1/24)*IRA_ow*(1/PEF_wind)*1000))*1),".")</f>
        <v>421.37966826122135</v>
      </c>
      <c r="E13" s="48">
        <f>IFERROR((TR/(RadSpec!F13*EF_ow*(1/365)*ED_out*RadSpec!Q13*ET_ow_o*(1/24)*RadSpec!V13))*1,".")</f>
        <v>3.7634155498734887</v>
      </c>
      <c r="F13" s="48">
        <f t="shared" ref="F13:F14" si="12">(IF(AND(ISNUMBER(C13),ISNUMBER(D13),ISNUMBER(E13)),1/((1/C13)+(1/D13)+(1/E13)),IF(AND(ISNUMBER(C13),ISNUMBER(D13),NOT(ISNUMBER(E13))), 1/((1/C13)+(1/D13)),IF(AND(ISNUMBER(C13),NOT(ISNUMBER(D13)),ISNUMBER(E13)),1/((1/C13)+(1/E13)),IF(AND(NOT(ISNUMBER(C13)),ISNUMBER(D13),ISNUMBER(E13)),1/((1/D13)+(1/E13)),IF(AND(ISNUMBER(C13),NOT(ISNUMBER(D13)),NOT(ISNUMBER(E13))),1/((1/C13)),IF(AND(NOT(ISNUMBER(C13)),NOT(ISNUMBER(D13)),ISNUMBER(E13)),1/((1/E13)),IF(AND(NOT(ISNUMBER(C13)),ISNUMBER(D13),NOT(ISNUMBER(E13))),1/((1/D13)),IF(AND(NOT(ISNUMBER(C13)),NOT(ISNUMBER(D13)),NOT(ISNUMBER(E13))),".")))))))))</f>
        <v>3.3953424212677845</v>
      </c>
      <c r="G13" s="48">
        <f>IFERROR((TR/(RadSpec!F13*EF_ow*(1/365)*ED_out*RadSpec!Q13*ET_ow_o*(1/24)*RadSpec!V13))*1,".")</f>
        <v>3.7634155498734887</v>
      </c>
      <c r="H13" s="48">
        <f>IFERROR((TR/(RadSpec!M13*EF_ow*(1/365)*ED_out*RadSpec!R13*ET_ow_o*(1/24)*RadSpec!W13)*1),".")</f>
        <v>11.219334378155827</v>
      </c>
      <c r="I13" s="48">
        <f>IFERROR((TR/(RadSpec!N13*EF_ow*(1/365)*ED_out*RadSpec!S13*ET_ow_o*(1/24)*RadSpec!W13))*1,".")</f>
        <v>4.714912580865259</v>
      </c>
      <c r="J13" s="48">
        <f>IFERROR((TR/(RadSpec!O13*EF_ow*(1/365)*ED_out*RadSpec!T13*ET_ow_o*(1/24)*RadSpec!X13))*1,".")</f>
        <v>3.7804831940906025</v>
      </c>
      <c r="K13" s="48">
        <f>IFERROR((TR/(RadSpec!K13*EF_ow*(1/365)*ED_out*RadSpec!P13*ET_ow_o*(1/24)*RadSpec!U13))*1,".")</f>
        <v>9.2621838255219728</v>
      </c>
      <c r="L13" s="48">
        <f>IFERROR(TR/(RadSpec!G13*EF_ow*ED_out*ET_ow_o*(1/24)*IRA_ow),".")</f>
        <v>3.0998740676160027E-4</v>
      </c>
      <c r="M13" s="48">
        <f>IFERROR(TR/(RadSpec!J13*EF_ow*(1/365)*ED_out*ET_ow_o*(1/24)*GSF_a),".")</f>
        <v>2537.5846097320482</v>
      </c>
      <c r="N13" s="48">
        <f t="shared" ref="N13:N14" si="13">IFERROR(IF(AND(ISNUMBER(L13),ISNUMBER(M13)),1/((1/L13)+(1/M13)),IF(AND(ISNUMBER(L13),NOT(ISNUMBER(M13))),1/((1/L13)),IF(AND(NOT(ISNUMBER(L13)),ISNUMBER(M13)),1/((1/M13)),IF(AND(NOT(ISNUMBER(L13)),NOT(ISNUMBER(M13))),".")))),".")</f>
        <v>3.0998736889402325E-4</v>
      </c>
    </row>
    <row r="14" spans="1:14" ht="15" customHeight="1" x14ac:dyDescent="0.25">
      <c r="A14" s="49" t="s">
        <v>24</v>
      </c>
      <c r="B14" s="50" t="s">
        <v>289</v>
      </c>
      <c r="C14" s="48">
        <f>IFERROR((TR/(RadSpec!I14*EF_ow*ED_out*IRS_ow*(1/1000)))*1,".")</f>
        <v>688.36745054510095</v>
      </c>
      <c r="D14" s="48">
        <f>IFERROR(IF(A14="H-3",(TR/(RadSpec!G14*EF_ow*ED_out*ET_ow_o*(1/24)*IRA_ow*(1/17)*1000))*1,(TR/(RadSpec!G14*EF_ow*ED_out*ET_ow_o*(1/24)*IRA_ow*(1/PEF_wind)*1000))*1),".")</f>
        <v>790724.55908582697</v>
      </c>
      <c r="E14" s="48">
        <f>IFERROR((TR/(RadSpec!F14*EF_ow*(1/365)*ED_out*RadSpec!Q14*ET_ow_o*(1/24)*RadSpec!V14))*1,".")</f>
        <v>0.24232457683051681</v>
      </c>
      <c r="F14" s="48">
        <f t="shared" si="12"/>
        <v>0.24223922761742417</v>
      </c>
      <c r="G14" s="48">
        <f>IFERROR((TR/(RadSpec!F14*EF_ow*(1/365)*ED_out*RadSpec!Q14*ET_ow_o*(1/24)*RadSpec!V14))*1,".")</f>
        <v>0.24232457683051681</v>
      </c>
      <c r="H14" s="48">
        <f>IFERROR((TR/(RadSpec!M14*EF_ow*(1/365)*ED_out*RadSpec!R14*ET_ow_o*(1/24)*RadSpec!W14)*1),".")</f>
        <v>1.0215643925208064</v>
      </c>
      <c r="I14" s="48">
        <f>IFERROR((TR/(RadSpec!N14*EF_ow*(1/365)*ED_out*RadSpec!S14*ET_ow_o*(1/24)*RadSpec!W14))*1,".")</f>
        <v>0.37214131441829357</v>
      </c>
      <c r="J14" s="48">
        <f>IFERROR((TR/(RadSpec!O14*EF_ow*(1/365)*ED_out*RadSpec!T14*ET_ow_o*(1/24)*RadSpec!X14))*1,".")</f>
        <v>0.25609724863194405</v>
      </c>
      <c r="K14" s="48">
        <f>IFERROR((TR/(RadSpec!K14*EF_ow*(1/365)*ED_out*RadSpec!P14*ET_ow_o*(1/24)*RadSpec!U14))*1,".")</f>
        <v>1.0355236575117737</v>
      </c>
      <c r="L14" s="48">
        <f>IFERROR(TR/(RadSpec!G14*EF_ow*ED_out*ET_ow_o*(1/24)*IRA_ow),".")</f>
        <v>0.58169549694973421</v>
      </c>
      <c r="M14" s="48">
        <f>IFERROR(TR/(RadSpec!J14*EF_ow*(1/365)*ED_out*ET_ow_o*(1/24)*GSF_a),".")</f>
        <v>228.07018995813345</v>
      </c>
      <c r="N14" s="48">
        <f t="shared" si="13"/>
        <v>0.58021565063008484</v>
      </c>
    </row>
    <row r="15" spans="1:14" ht="15" customHeight="1" x14ac:dyDescent="0.25">
      <c r="A15" s="49" t="s">
        <v>25</v>
      </c>
      <c r="B15" s="50" t="s">
        <v>289</v>
      </c>
      <c r="C15" s="48">
        <f>IFERROR((TR/(RadSpec!I15*EF_ow*ED_out*IRS_ow*(1/1000)))*1,".")</f>
        <v>14560.014560014559</v>
      </c>
      <c r="D15" s="48">
        <f>IFERROR(IF(A15="H-3",(TR/(RadSpec!G15*EF_ow*ED_out*ET_ow_o*(1/24)*IRA_ow*(1/17)*1000))*1,(TR/(RadSpec!G15*EF_ow*ED_out*ET_ow_o*(1/24)*IRA_ow*(1/PEF_wind)*1000))*1),".")</f>
        <v>58108406.210399762</v>
      </c>
      <c r="E15" s="48">
        <f>IFERROR((TR/(RadSpec!F15*EF_ow*(1/365)*ED_out*RadSpec!Q15*ET_ow_o*(1/24)*RadSpec!V15))*1,".")</f>
        <v>402.70364458791198</v>
      </c>
      <c r="F15" s="48">
        <f t="shared" ref="F15:F17" si="14">(IF(AND(ISNUMBER(C15),ISNUMBER(D15),ISNUMBER(E15)),1/((1/C15)+(1/D15)+(1/E15)),IF(AND(ISNUMBER(C15),ISNUMBER(D15),NOT(ISNUMBER(E15))), 1/((1/C15)+(1/D15)),IF(AND(ISNUMBER(C15),NOT(ISNUMBER(D15)),ISNUMBER(E15)),1/((1/C15)+(1/E15)),IF(AND(NOT(ISNUMBER(C15)),ISNUMBER(D15),ISNUMBER(E15)),1/((1/D15)+(1/E15)),IF(AND(ISNUMBER(C15),NOT(ISNUMBER(D15)),NOT(ISNUMBER(E15))),1/((1/C15)),IF(AND(NOT(ISNUMBER(C15)),NOT(ISNUMBER(D15)),ISNUMBER(E15)),1/((1/E15)),IF(AND(NOT(ISNUMBER(C15)),ISNUMBER(D15),NOT(ISNUMBER(E15))),1/((1/D15)),IF(AND(NOT(ISNUMBER(C15)),NOT(ISNUMBER(D15)),NOT(ISNUMBER(E15))),".")))))))))</f>
        <v>391.86271557596126</v>
      </c>
      <c r="G15" s="48">
        <f>IFERROR((TR/(RadSpec!F15*EF_ow*(1/365)*ED_out*RadSpec!Q15*ET_ow_o*(1/24)*RadSpec!V15))*1,".")</f>
        <v>402.70364458791198</v>
      </c>
      <c r="H15" s="48">
        <f>IFERROR((TR/(RadSpec!M15*EF_ow*(1/365)*ED_out*RadSpec!R15*ET_ow_o*(1/24)*RadSpec!W15)*1),".")</f>
        <v>1173.9142998126711</v>
      </c>
      <c r="I15" s="48">
        <f>IFERROR((TR/(RadSpec!N15*EF_ow*(1/365)*ED_out*RadSpec!S15*ET_ow_o*(1/24)*RadSpec!W15))*1,".")</f>
        <v>519.18070770863085</v>
      </c>
      <c r="J15" s="48">
        <f>IFERROR((TR/(RadSpec!O15*EF_ow*(1/365)*ED_out*RadSpec!T15*ET_ow_o*(1/24)*RadSpec!X15))*1,".")</f>
        <v>408.92643821289067</v>
      </c>
      <c r="K15" s="48">
        <f>IFERROR((TR/(RadSpec!K15*EF_ow*(1/365)*ED_out*RadSpec!P15*ET_ow_o*(1/24)*RadSpec!U15))*1,".")</f>
        <v>382.73486882322203</v>
      </c>
      <c r="L15" s="48">
        <f>IFERROR(TR/(RadSpec!G15*EF_ow*ED_out*ET_ow_o*(1/24)*IRA_ow),".")</f>
        <v>42.747373708227812</v>
      </c>
      <c r="M15" s="48">
        <f>IFERROR(TR/(RadSpec!J15*EF_ow*(1/365)*ED_out*ET_ow_o*(1/24)*GSF_a),".")</f>
        <v>114191.30743794216</v>
      </c>
      <c r="N15" s="48">
        <f t="shared" ref="N15:N17" si="15">IFERROR(IF(AND(ISNUMBER(L15),ISNUMBER(M15)),1/((1/L15)+(1/M15)),IF(AND(ISNUMBER(L15),NOT(ISNUMBER(M15))),1/((1/L15)),IF(AND(NOT(ISNUMBER(L15)),ISNUMBER(M15)),1/((1/M15)),IF(AND(NOT(ISNUMBER(L15)),NOT(ISNUMBER(M15))),".")))),".")</f>
        <v>42.731377270370778</v>
      </c>
    </row>
    <row r="16" spans="1:14" ht="15" customHeight="1" x14ac:dyDescent="0.25">
      <c r="A16" s="49" t="s">
        <v>26</v>
      </c>
      <c r="B16" s="50" t="s">
        <v>289</v>
      </c>
      <c r="C16" s="48">
        <f>IFERROR((TR/(RadSpec!I16*EF_ow*ED_out*IRS_ow*(1/1000)))*1,".")</f>
        <v>2.9659288918548175</v>
      </c>
      <c r="D16" s="48">
        <f>IFERROR(IF(A16="H-3",(TR/(RadSpec!G16*EF_ow*ED_out*ET_ow_o*(1/24)*IRA_ow*(1/17)*1000))*1,(TR/(RadSpec!G16*EF_ow*ED_out*ET_ow_o*(1/24)*IRA_ow*(1/PEF_wind)*1000))*1),".")</f>
        <v>761.23366643926954</v>
      </c>
      <c r="E16" s="48">
        <f>IFERROR((TR/(RadSpec!F16*EF_ow*(1/365)*ED_out*RadSpec!Q16*ET_ow_o*(1/24)*RadSpec!V16))*1,".")</f>
        <v>131.27504634598077</v>
      </c>
      <c r="F16" s="48">
        <f t="shared" si="14"/>
        <v>2.889390510464112</v>
      </c>
      <c r="G16" s="48">
        <f>IFERROR((TR/(RadSpec!F16*EF_ow*(1/365)*ED_out*RadSpec!Q16*ET_ow_o*(1/24)*RadSpec!V16))*1,".")</f>
        <v>131.27504634598077</v>
      </c>
      <c r="H16" s="48">
        <f>IFERROR((TR/(RadSpec!M16*EF_ow*(1/365)*ED_out*RadSpec!R16*ET_ow_o*(1/24)*RadSpec!W16)*1),".")</f>
        <v>204.3128785041612</v>
      </c>
      <c r="I16" s="48">
        <f>IFERROR((TR/(RadSpec!N16*EF_ow*(1/365)*ED_out*RadSpec!S16*ET_ow_o*(1/24)*RadSpec!W16))*1,".")</f>
        <v>132.73830323200283</v>
      </c>
      <c r="J16" s="48">
        <f>IFERROR((TR/(RadSpec!O16*EF_ow*(1/365)*ED_out*RadSpec!T16*ET_ow_o*(1/24)*RadSpec!X16))*1,".")</f>
        <v>131.27504634598077</v>
      </c>
      <c r="K16" s="48">
        <f>IFERROR((TR/(RadSpec!K16*EF_ow*(1/365)*ED_out*RadSpec!P16*ET_ow_o*(1/24)*RadSpec!U16))*1,".")</f>
        <v>113.41449582271808</v>
      </c>
      <c r="L16" s="48">
        <f>IFERROR(TR/(RadSpec!G16*EF_ow*ED_out*ET_ow_o*(1/24)*IRA_ow),".")</f>
        <v>5.6000056000056009E-4</v>
      </c>
      <c r="M16" s="48">
        <f>IFERROR(TR/(RadSpec!J16*EF_ow*(1/365)*ED_out*ET_ow_o*(1/24)*GSF_a),".")</f>
        <v>49471.605002788005</v>
      </c>
      <c r="N16" s="48">
        <f t="shared" si="15"/>
        <v>5.6000055366155774E-4</v>
      </c>
    </row>
    <row r="17" spans="1:14" ht="15" customHeight="1" x14ac:dyDescent="0.25">
      <c r="A17" s="49" t="s">
        <v>27</v>
      </c>
      <c r="B17" s="50" t="s">
        <v>289</v>
      </c>
      <c r="C17" s="48">
        <f>IFERROR((TR/(RadSpec!I17*EF_ow*ED_out*IRS_ow*(1/1000)))*1,".")</f>
        <v>8061.7530281959816</v>
      </c>
      <c r="D17" s="48">
        <f>IFERROR(IF(A17="H-3",(TR/(RadSpec!G17*EF_ow*ED_out*ET_ow_o*(1/24)*IRA_ow*(1/17)*1000))*1,(TR/(RadSpec!G17*EF_ow*ED_out*ET_ow_o*(1/24)*IRA_ow*(1/PEF_wind)*1000))*1),".")</f>
        <v>155509.16328687931</v>
      </c>
      <c r="E17" s="48">
        <f>IFERROR((TR/(RadSpec!F17*EF_ow*(1/365)*ED_out*RadSpec!Q17*ET_ow_o*(1/24)*RadSpec!V17))*1,".")</f>
        <v>0.1959098811508761</v>
      </c>
      <c r="F17" s="48">
        <f t="shared" si="14"/>
        <v>0.19590487363662459</v>
      </c>
      <c r="G17" s="48">
        <f>IFERROR((TR/(RadSpec!F17*EF_ow*(1/365)*ED_out*RadSpec!Q17*ET_ow_o*(1/24)*RadSpec!V17))*1,".")</f>
        <v>0.1959098811508761</v>
      </c>
      <c r="H17" s="48">
        <f>IFERROR((TR/(RadSpec!M17*EF_ow*(1/365)*ED_out*RadSpec!R17*ET_ow_o*(1/24)*RadSpec!W17)*1),".")</f>
        <v>0.86115345485224992</v>
      </c>
      <c r="I17" s="48">
        <f>IFERROR((TR/(RadSpec!N17*EF_ow*(1/365)*ED_out*RadSpec!S17*ET_ow_o*(1/24)*RadSpec!W17))*1,".")</f>
        <v>0.309197531267425</v>
      </c>
      <c r="J17" s="48">
        <f>IFERROR((TR/(RadSpec!O17*EF_ow*(1/365)*ED_out*RadSpec!T17*ET_ow_o*(1/24)*RadSpec!X17))*1,".")</f>
        <v>0.20918357447853897</v>
      </c>
      <c r="K17" s="48">
        <f>IFERROR((TR/(RadSpec!K17*EF_ow*(1/365)*ED_out*RadSpec!P17*ET_ow_o*(1/24)*RadSpec!U17))*1,".")</f>
        <v>0.87287596261463651</v>
      </c>
      <c r="L17" s="48">
        <f>IFERROR(TR/(RadSpec!G17*EF_ow*ED_out*ET_ow_o*(1/24)*IRA_ow),".")</f>
        <v>0.11440011440011438</v>
      </c>
      <c r="M17" s="48">
        <f>IFERROR(TR/(RadSpec!J17*EF_ow*(1/365)*ED_out*ET_ow_o*(1/24)*GSF_a),".")</f>
        <v>190.97286238189639</v>
      </c>
      <c r="N17" s="48">
        <f t="shared" si="15"/>
        <v>0.11433162534436159</v>
      </c>
    </row>
    <row r="18" spans="1:14" ht="15" customHeight="1" x14ac:dyDescent="0.25">
      <c r="A18" s="49" t="s">
        <v>28</v>
      </c>
      <c r="B18" s="50" t="s">
        <v>289</v>
      </c>
      <c r="C18" s="48">
        <f>IFERROR((TR/(RadSpec!I18*EF_ow*ED_out*IRS_ow*(1/1000)))*1,".")</f>
        <v>1.2383517538156712</v>
      </c>
      <c r="D18" s="48">
        <f>IFERROR(IF(A18="H-3",(TR/(RadSpec!G18*EF_ow*ED_out*ET_ow_o*(1/24)*IRA_ow*(1/17)*1000))*1,(TR/(RadSpec!G18*EF_ow*ED_out*ET_ow_o*(1/24)*IRA_ow*(1/PEF_wind)*1000))*1),".")</f>
        <v>833.08480332256772</v>
      </c>
      <c r="E18" s="48">
        <f>IFERROR((TR/(RadSpec!F18*EF_ow*(1/365)*ED_out*RadSpec!Q18*ET_ow_o*(1/24)*RadSpec!V18))*1,".")</f>
        <v>4319.1530792589529</v>
      </c>
      <c r="F18" s="48">
        <f t="shared" ref="F18:F21" si="16">(IF(AND(ISNUMBER(C18),ISNUMBER(D18),ISNUMBER(E18)),1/((1/C18)+(1/D18)+(1/E18)),IF(AND(ISNUMBER(C18),ISNUMBER(D18),NOT(ISNUMBER(E18))), 1/((1/C18)+(1/D18)),IF(AND(ISNUMBER(C18),NOT(ISNUMBER(D18)),ISNUMBER(E18)),1/((1/C18)+(1/E18)),IF(AND(NOT(ISNUMBER(C18)),ISNUMBER(D18),ISNUMBER(E18)),1/((1/D18)+(1/E18)),IF(AND(ISNUMBER(C18),NOT(ISNUMBER(D18)),NOT(ISNUMBER(E18))),1/((1/C18)),IF(AND(NOT(ISNUMBER(C18)),NOT(ISNUMBER(D18)),ISNUMBER(E18)),1/((1/E18)),IF(AND(NOT(ISNUMBER(C18)),ISNUMBER(D18),NOT(ISNUMBER(E18))),1/((1/D18)),IF(AND(NOT(ISNUMBER(C18)),NOT(ISNUMBER(D18)),NOT(ISNUMBER(E18))),".")))))))))</f>
        <v>1.2361598234882729</v>
      </c>
      <c r="G18" s="48">
        <f>IFERROR((TR/(RadSpec!F18*EF_ow*(1/365)*ED_out*RadSpec!Q18*ET_ow_o*(1/24)*RadSpec!V18))*1,".")</f>
        <v>4319.1530792589529</v>
      </c>
      <c r="H18" s="48">
        <f>IFERROR((TR/(RadSpec!M18*EF_ow*(1/365)*ED_out*RadSpec!R18*ET_ow_o*(1/24)*RadSpec!W18)*1),".")</f>
        <v>21753.563264534911</v>
      </c>
      <c r="I18" s="48">
        <f>IFERROR((TR/(RadSpec!N18*EF_ow*(1/365)*ED_out*RadSpec!S18*ET_ow_o*(1/24)*RadSpec!W18))*1,".")</f>
        <v>7661.7329439060477</v>
      </c>
      <c r="J18" s="48">
        <f>IFERROR((TR/(RadSpec!O18*EF_ow*(1/365)*ED_out*RadSpec!T18*ET_ow_o*(1/24)*RadSpec!X18))*1,".")</f>
        <v>4917.9737126665359</v>
      </c>
      <c r="K18" s="48">
        <f>IFERROR((TR/(RadSpec!K18*EF_ow*(1/365)*ED_out*RadSpec!P18*ET_ow_o*(1/24)*RadSpec!U18))*1,".")</f>
        <v>22378.430719381951</v>
      </c>
      <c r="L18" s="48">
        <f>IFERROR(TR/(RadSpec!G18*EF_ow*ED_out*ET_ow_o*(1/24)*IRA_ow),".")</f>
        <v>6.128577557148985E-4</v>
      </c>
      <c r="M18" s="48">
        <f>IFERROR(TR/(RadSpec!J18*EF_ow*(1/365)*ED_out*ET_ow_o*(1/24)*GSF_a),".")</f>
        <v>4656963.9346199874</v>
      </c>
      <c r="N18" s="48">
        <f t="shared" ref="N18:N21" si="17">IFERROR(IF(AND(ISNUMBER(L18),ISNUMBER(M18)),1/((1/L18)+(1/M18)),IF(AND(ISNUMBER(L18),NOT(ISNUMBER(M18))),1/((1/L18)),IF(AND(NOT(ISNUMBER(L18)),ISNUMBER(M18)),1/((1/M18)),IF(AND(NOT(ISNUMBER(L18)),NOT(ISNUMBER(M18))),".")))),".")</f>
        <v>6.1285775563424622E-4</v>
      </c>
    </row>
    <row r="19" spans="1:14" ht="15" customHeight="1" x14ac:dyDescent="0.25">
      <c r="A19" s="49" t="s">
        <v>29</v>
      </c>
      <c r="B19" s="50" t="s">
        <v>289</v>
      </c>
      <c r="C19" s="48" t="str">
        <f>IFERROR((TR/(RadSpec!I19*EF_ow*ED_out*IRS_ow*(1/1000)))*1,".")</f>
        <v>.</v>
      </c>
      <c r="D19" s="48" t="str">
        <f>IFERROR(IF(A19="H-3",(TR/(RadSpec!G19*EF_ow*ED_out*ET_ow_o*(1/24)*IRA_ow*(1/17)*1000))*1,(TR/(RadSpec!G19*EF_ow*ED_out*ET_ow_o*(1/24)*IRA_ow*(1/PEF_wind)*1000))*1),".")</f>
        <v>.</v>
      </c>
      <c r="E19" s="48">
        <f>IFERROR((TR/(RadSpec!F19*EF_ow*(1/365)*ED_out*RadSpec!Q19*ET_ow_o*(1/24)*RadSpec!V19))*1,".")</f>
        <v>1126.4818166175373</v>
      </c>
      <c r="F19" s="48">
        <f t="shared" si="16"/>
        <v>1126.4818166175373</v>
      </c>
      <c r="G19" s="48">
        <f>IFERROR((TR/(RadSpec!F19*EF_ow*(1/365)*ED_out*RadSpec!Q19*ET_ow_o*(1/24)*RadSpec!V19))*1,".")</f>
        <v>1126.4818166175373</v>
      </c>
      <c r="H19" s="48">
        <f>IFERROR((TR/(RadSpec!M19*EF_ow*(1/365)*ED_out*RadSpec!R19*ET_ow_o*(1/24)*RadSpec!W19)*1),".")</f>
        <v>5632.4090830876876</v>
      </c>
      <c r="I19" s="48">
        <f>IFERROR((TR/(RadSpec!N19*EF_ow*(1/365)*ED_out*RadSpec!S19*ET_ow_o*(1/24)*RadSpec!W19))*1,".")</f>
        <v>1999.9917089658779</v>
      </c>
      <c r="J19" s="48">
        <f>IFERROR((TR/(RadSpec!O19*EF_ow*(1/365)*ED_out*RadSpec!T19*ET_ow_o*(1/24)*RadSpec!X19))*1,".")</f>
        <v>1282.4562219953505</v>
      </c>
      <c r="K19" s="48">
        <f>IFERROR((TR/(RadSpec!K19*EF_ow*(1/365)*ED_out*RadSpec!P19*ET_ow_o*(1/24)*RadSpec!U19))*1,".")</f>
        <v>5788.8648909512331</v>
      </c>
      <c r="L19" s="48" t="str">
        <f>IFERROR(TR/(RadSpec!G19*EF_ow*ED_out*ET_ow_o*(1/24)*IRA_ow),".")</f>
        <v>.</v>
      </c>
      <c r="M19" s="48">
        <f>IFERROR(TR/(RadSpec!J19*EF_ow*(1/365)*ED_out*ET_ow_o*(1/24)*GSF_a),".")</f>
        <v>1208110.9337637357</v>
      </c>
      <c r="N19" s="48">
        <f t="shared" si="17"/>
        <v>1208110.9337637357</v>
      </c>
    </row>
    <row r="20" spans="1:14" ht="15" customHeight="1" x14ac:dyDescent="0.25">
      <c r="A20" s="49" t="s">
        <v>30</v>
      </c>
      <c r="B20" s="50" t="s">
        <v>289</v>
      </c>
      <c r="C20" s="48" t="str">
        <f>IFERROR((TR/(RadSpec!I20*EF_ow*ED_out*IRS_ow*(1/1000)))*1,".")</f>
        <v>.</v>
      </c>
      <c r="D20" s="48" t="str">
        <f>IFERROR(IF(A20="H-3",(TR/(RadSpec!G20*EF_ow*ED_out*ET_ow_o*(1/24)*IRA_ow*(1/17)*1000))*1,(TR/(RadSpec!G20*EF_ow*ED_out*ET_ow_o*(1/24)*IRA_ow*(1/PEF_wind)*1000))*1),".")</f>
        <v>.</v>
      </c>
      <c r="E20" s="48">
        <f>IFERROR((TR/(RadSpec!F20*EF_ow*(1/365)*ED_out*RadSpec!Q20*ET_ow_o*(1/24)*RadSpec!V20))*1,".")</f>
        <v>505.21002684665325</v>
      </c>
      <c r="F20" s="48">
        <f t="shared" si="16"/>
        <v>505.21002684665319</v>
      </c>
      <c r="G20" s="48">
        <f>IFERROR((TR/(RadSpec!F20*EF_ow*(1/365)*ED_out*RadSpec!Q20*ET_ow_o*(1/24)*RadSpec!V20))*1,".")</f>
        <v>505.21002684665325</v>
      </c>
      <c r="H20" s="48">
        <f>IFERROR((TR/(RadSpec!M20*EF_ow*(1/365)*ED_out*RadSpec!R20*ET_ow_o*(1/24)*RadSpec!W20)*1),".")</f>
        <v>2553.9109813020154</v>
      </c>
      <c r="I20" s="48">
        <f>IFERROR((TR/(RadSpec!N20*EF_ow*(1/365)*ED_out*RadSpec!S20*ET_ow_o*(1/24)*RadSpec!W20))*1,".")</f>
        <v>906.08320032280199</v>
      </c>
      <c r="J20" s="48">
        <f>IFERROR((TR/(RadSpec!O20*EF_ow*(1/365)*ED_out*RadSpec!T20*ET_ow_o*(1/24)*RadSpec!X20))*1,".")</f>
        <v>576.88342165880817</v>
      </c>
      <c r="K20" s="48">
        <f>IFERROR((TR/(RadSpec!K20*EF_ow*(1/365)*ED_out*RadSpec!P20*ET_ow_o*(1/24)*RadSpec!U20))*1,".")</f>
        <v>2621.3727808081062</v>
      </c>
      <c r="L20" s="48" t="str">
        <f>IFERROR(TR/(RadSpec!G20*EF_ow*ED_out*ET_ow_o*(1/24)*IRA_ow),".")</f>
        <v>.</v>
      </c>
      <c r="M20" s="48">
        <f>IFERROR(TR/(RadSpec!J20*EF_ow*(1/365)*ED_out*ET_ow_o*(1/24)*GSF_a),".")</f>
        <v>544834.34267776331</v>
      </c>
      <c r="N20" s="48">
        <f t="shared" si="17"/>
        <v>544834.34267776331</v>
      </c>
    </row>
    <row r="21" spans="1:14" ht="15" customHeight="1" x14ac:dyDescent="0.25">
      <c r="A21" s="49" t="s">
        <v>31</v>
      </c>
      <c r="B21" s="50" t="s">
        <v>289</v>
      </c>
      <c r="C21" s="48" t="str">
        <f>IFERROR((TR/(RadSpec!I21*EF_ow*ED_out*IRS_ow*(1/1000)))*1,".")</f>
        <v>.</v>
      </c>
      <c r="D21" s="48">
        <f>IFERROR(IF(A21="H-3",(TR/(RadSpec!G21*EF_ow*ED_out*ET_ow_o*(1/24)*IRA_ow*(1/17)*1000))*1,(TR/(RadSpec!G21*EF_ow*ED_out*ET_ow_o*(1/24)*IRA_ow*(1/PEF_wind)*1000))*1),".")</f>
        <v>869285.03506406629</v>
      </c>
      <c r="E21" s="48">
        <f>IFERROR((TR/(RadSpec!F21*EF_ow*(1/365)*ED_out*RadSpec!Q21*ET_ow_o*(1/24)*RadSpec!V21))*1,".")</f>
        <v>31611548.892566469</v>
      </c>
      <c r="F21" s="48">
        <f t="shared" si="16"/>
        <v>846020.3469138178</v>
      </c>
      <c r="G21" s="48">
        <f>IFERROR((TR/(RadSpec!F21*EF_ow*(1/365)*ED_out*RadSpec!Q21*ET_ow_o*(1/24)*RadSpec!V21))*1,".")</f>
        <v>31611548.892566469</v>
      </c>
      <c r="H21" s="48">
        <f>IFERROR((TR/(RadSpec!M21*EF_ow*(1/365)*ED_out*RadSpec!R21*ET_ow_o*(1/24)*RadSpec!W21)*1),".")</f>
        <v>68507276.81599094</v>
      </c>
      <c r="I21" s="48">
        <f>IFERROR((TR/(RadSpec!N21*EF_ow*(1/365)*ED_out*RadSpec!S21*ET_ow_o*(1/24)*RadSpec!W21))*1,".")</f>
        <v>36180405.568445213</v>
      </c>
      <c r="J21" s="48">
        <f>IFERROR((TR/(RadSpec!O21*EF_ow*(1/365)*ED_out*RadSpec!T21*ET_ow_o*(1/24)*RadSpec!X21))*1,".")</f>
        <v>31719807.621650603</v>
      </c>
      <c r="K21" s="48">
        <f>IFERROR((TR/(RadSpec!K21*EF_ow*(1/365)*ED_out*RadSpec!P21*ET_ow_o*(1/24)*RadSpec!U21))*1,".")</f>
        <v>40802571.918599017</v>
      </c>
      <c r="L21" s="48">
        <f>IFERROR(TR/(RadSpec!G21*EF_ow*ED_out*ET_ow_o*(1/24)*IRA_ow),".")</f>
        <v>0.63948840927258188</v>
      </c>
      <c r="M21" s="48">
        <f>IFERROR(TR/(RadSpec!J21*EF_ow*(1/365)*ED_out*ET_ow_o*(1/24)*GSF_a),".")</f>
        <v>4932523930.7513466</v>
      </c>
      <c r="N21" s="48">
        <f t="shared" si="17"/>
        <v>0.63948840918967387</v>
      </c>
    </row>
    <row r="22" spans="1:14" ht="15" customHeight="1" x14ac:dyDescent="0.25">
      <c r="A22" s="49" t="s">
        <v>32</v>
      </c>
      <c r="B22" s="50" t="s">
        <v>289</v>
      </c>
      <c r="C22" s="48">
        <f>IFERROR((TR/(RadSpec!I22*EF_ow*ED_out*IRS_ow*(1/1000)))*1,".")</f>
        <v>23.904501516441819</v>
      </c>
      <c r="D22" s="48">
        <f>IFERROR(IF(A22="H-3",(TR/(RadSpec!G22*EF_ow*ED_out*ET_ow_o*(1/24)*IRA_ow*(1/17)*1000))*1,(TR/(RadSpec!G22*EF_ow*ED_out*ET_ow_o*(1/24)*IRA_ow*(1/PEF_wind)*1000))*1),".")</f>
        <v>461.90840580261192</v>
      </c>
      <c r="E22" s="48">
        <f>IFERROR((TR/(RadSpec!F22*EF_ow*(1/365)*ED_out*RadSpec!Q22*ET_ow_o*(1/24)*RadSpec!V22))*1,".")</f>
        <v>31.877496913842361</v>
      </c>
      <c r="F22" s="48">
        <f t="shared" ref="F22:F23" si="18">(IF(AND(ISNUMBER(C22),ISNUMBER(D22),ISNUMBER(E22)),1/((1/C22)+(1/D22)+(1/E22)),IF(AND(ISNUMBER(C22),ISNUMBER(D22),NOT(ISNUMBER(E22))), 1/((1/C22)+(1/D22)),IF(AND(ISNUMBER(C22),NOT(ISNUMBER(D22)),ISNUMBER(E22)),1/((1/C22)+(1/E22)),IF(AND(NOT(ISNUMBER(C22)),ISNUMBER(D22),ISNUMBER(E22)),1/((1/D22)+(1/E22)),IF(AND(ISNUMBER(C22),NOT(ISNUMBER(D22)),NOT(ISNUMBER(E22))),1/((1/C22)),IF(AND(NOT(ISNUMBER(C22)),NOT(ISNUMBER(D22)),ISNUMBER(E22)),1/((1/E22)),IF(AND(NOT(ISNUMBER(C22)),ISNUMBER(D22),NOT(ISNUMBER(E22))),1/((1/D22)),IF(AND(NOT(ISNUMBER(C22)),NOT(ISNUMBER(D22)),NOT(ISNUMBER(E22))),".")))))))))</f>
        <v>13.268204488335746</v>
      </c>
      <c r="G22" s="48">
        <f>IFERROR((TR/(RadSpec!F22*EF_ow*(1/365)*ED_out*RadSpec!Q22*ET_ow_o*(1/24)*RadSpec!V22))*1,".")</f>
        <v>31.877496913842361</v>
      </c>
      <c r="H22" s="48">
        <f>IFERROR((TR/(RadSpec!M22*EF_ow*(1/365)*ED_out*RadSpec!R22*ET_ow_o*(1/24)*RadSpec!W22)*1),".")</f>
        <v>43.78133110803455</v>
      </c>
      <c r="I22" s="48">
        <f>IFERROR((TR/(RadSpec!N22*EF_ow*(1/365)*ED_out*RadSpec!S22*ET_ow_o*(1/24)*RadSpec!W22))*1,".")</f>
        <v>32.061405549883766</v>
      </c>
      <c r="J22" s="48">
        <f>IFERROR((TR/(RadSpec!O22*EF_ow*(1/365)*ED_out*RadSpec!T22*ET_ow_o*(1/24)*RadSpec!X22))*1,".")</f>
        <v>31.938564915593016</v>
      </c>
      <c r="K22" s="48">
        <f>IFERROR((TR/(RadSpec!K22*EF_ow*(1/365)*ED_out*RadSpec!P22*ET_ow_o*(1/24)*RadSpec!U22))*1,".")</f>
        <v>22.023686771386469</v>
      </c>
      <c r="L22" s="48">
        <f>IFERROR(TR/(RadSpec!G22*EF_ow*ED_out*ET_ow_o*(1/24)*IRA_ow),".")</f>
        <v>3.3980232000033986E-4</v>
      </c>
      <c r="M22" s="48">
        <f>IFERROR(TR/(RadSpec!J22*EF_ow*(1/365)*ED_out*ET_ow_o*(1/24)*GSF_a),".")</f>
        <v>10551.854991100987</v>
      </c>
      <c r="N22" s="48">
        <f t="shared" ref="N22:N23" si="19">IFERROR(IF(AND(ISNUMBER(L22),ISNUMBER(M22)),1/((1/L22)+(1/M22)),IF(AND(ISNUMBER(L22),NOT(ISNUMBER(M22))),1/((1/L22)),IF(AND(NOT(ISNUMBER(L22)),ISNUMBER(M22)),1/((1/M22)),IF(AND(NOT(ISNUMBER(L22)),NOT(ISNUMBER(M22))),".")))),".")</f>
        <v>3.3980230905765609E-4</v>
      </c>
    </row>
    <row r="23" spans="1:14" ht="15" customHeight="1" x14ac:dyDescent="0.25">
      <c r="A23" s="51" t="s">
        <v>33</v>
      </c>
      <c r="B23" s="50" t="s">
        <v>275</v>
      </c>
      <c r="C23" s="48">
        <f>IFERROR((TR/(RadSpec!I23*EF_ow*ED_out*IRS_ow*(1/1000)))*1,".")</f>
        <v>6.0361869407095536</v>
      </c>
      <c r="D23" s="48">
        <f>IFERROR(IF(A23="H-3",(TR/(RadSpec!G23*EF_ow*ED_out*ET_ow_o*(1/24)*IRA_ow*(1/17)*1000))*1,(TR/(RadSpec!G23*EF_ow*ED_out*ET_ow_o*(1/24)*IRA_ow*(1/PEF_wind)*1000))*1),".")</f>
        <v>429.13172523317553</v>
      </c>
      <c r="E23" s="48">
        <f>IFERROR((TR/(RadSpec!F23*EF_ow*(1/365)*ED_out*RadSpec!Q23*ET_ow_o*(1/24)*RadSpec!V23))*1,".")</f>
        <v>7.7906219093175482</v>
      </c>
      <c r="F23" s="48">
        <f t="shared" si="18"/>
        <v>3.3743059095107175</v>
      </c>
      <c r="G23" s="48">
        <f>IFERROR((TR/(RadSpec!F23*EF_ow*(1/365)*ED_out*RadSpec!Q23*ET_ow_o*(1/24)*RadSpec!V23))*1,".")</f>
        <v>7.7906219093175482</v>
      </c>
      <c r="H23" s="48">
        <f>IFERROR((TR/(RadSpec!M23*EF_ow*(1/365)*ED_out*RadSpec!R23*ET_ow_o*(1/24)*RadSpec!W23)*1),".")</f>
        <v>30.737335704165851</v>
      </c>
      <c r="I23" s="48">
        <f>IFERROR((TR/(RadSpec!N23*EF_ow*(1/365)*ED_out*RadSpec!S23*ET_ow_o*(1/24)*RadSpec!W23))*1,".")</f>
        <v>11.242030266985541</v>
      </c>
      <c r="J23" s="48">
        <f>IFERROR((TR/(RadSpec!O23*EF_ow*(1/365)*ED_out*RadSpec!T23*ET_ow_o*(1/24)*RadSpec!X23))*1,".")</f>
        <v>8.0153513874709414</v>
      </c>
      <c r="K23" s="48">
        <f>IFERROR((TR/(RadSpec!K23*EF_ow*(1/365)*ED_out*RadSpec!P23*ET_ow_o*(1/24)*RadSpec!U23))*1,".")</f>
        <v>31.162487637270193</v>
      </c>
      <c r="L23" s="48">
        <f>IFERROR(TR/(RadSpec!G23*EF_ow*ED_out*ET_ow_o*(1/24)*IRA_ow),".")</f>
        <v>3.1569019742475724E-4</v>
      </c>
      <c r="M23" s="48">
        <f>IFERROR(TR/(RadSpec!J23*EF_ow*(1/365)*ED_out*ET_ow_o*(1/24)*GSF_a),".")</f>
        <v>6832.7585598112928</v>
      </c>
      <c r="N23" s="48">
        <f t="shared" si="19"/>
        <v>3.1569018283909682E-4</v>
      </c>
    </row>
    <row r="24" spans="1:14" ht="15" customHeight="1" x14ac:dyDescent="0.25">
      <c r="A24" s="49" t="s">
        <v>34</v>
      </c>
      <c r="B24" s="50" t="s">
        <v>289</v>
      </c>
      <c r="C24" s="48" t="str">
        <f>IFERROR((TR/(RadSpec!I24*EF_ow*ED_out*IRS_ow*(1/1000)))*1,".")</f>
        <v>.</v>
      </c>
      <c r="D24" s="48" t="str">
        <f>IFERROR(IF(A24="H-3",(TR/(RadSpec!G24*EF_ow*ED_out*ET_ow_o*(1/24)*IRA_ow*(1/17)*1000))*1,(TR/(RadSpec!G24*EF_ow*ED_out*ET_ow_o*(1/24)*IRA_ow*(1/PEF_wind)*1000))*1),".")</f>
        <v>.</v>
      </c>
      <c r="E24" s="48">
        <f>IFERROR((TR/(RadSpec!F24*EF_ow*(1/365)*ED_out*RadSpec!Q24*ET_ow_o*(1/24)*RadSpec!V24))*1,".")</f>
        <v>57.489416848067442</v>
      </c>
      <c r="F24" s="48">
        <f t="shared" ref="F24:F25" si="20">(IF(AND(ISNUMBER(C24),ISNUMBER(D24),ISNUMBER(E24)),1/((1/C24)+(1/D24)+(1/E24)),IF(AND(ISNUMBER(C24),ISNUMBER(D24),NOT(ISNUMBER(E24))), 1/((1/C24)+(1/D24)),IF(AND(ISNUMBER(C24),NOT(ISNUMBER(D24)),ISNUMBER(E24)),1/((1/C24)+(1/E24)),IF(AND(NOT(ISNUMBER(C24)),ISNUMBER(D24),ISNUMBER(E24)),1/((1/D24)+(1/E24)),IF(AND(ISNUMBER(C24),NOT(ISNUMBER(D24)),NOT(ISNUMBER(E24))),1/((1/C24)),IF(AND(NOT(ISNUMBER(C24)),NOT(ISNUMBER(D24)),ISNUMBER(E24)),1/((1/E24)),IF(AND(NOT(ISNUMBER(C24)),ISNUMBER(D24),NOT(ISNUMBER(E24))),1/((1/D24)),IF(AND(NOT(ISNUMBER(C24)),NOT(ISNUMBER(D24)),NOT(ISNUMBER(E24))),".")))))))))</f>
        <v>57.489416848067435</v>
      </c>
      <c r="G24" s="48">
        <f>IFERROR((TR/(RadSpec!F24*EF_ow*(1/365)*ED_out*RadSpec!Q24*ET_ow_o*(1/24)*RadSpec!V24))*1,".")</f>
        <v>57.489416848067442</v>
      </c>
      <c r="H24" s="48">
        <f>IFERROR((TR/(RadSpec!M24*EF_ow*(1/365)*ED_out*RadSpec!R24*ET_ow_o*(1/24)*RadSpec!W24)*1),".")</f>
        <v>279.35541028719098</v>
      </c>
      <c r="I24" s="48">
        <f>IFERROR((TR/(RadSpec!N24*EF_ow*(1/365)*ED_out*RadSpec!S24*ET_ow_o*(1/24)*RadSpec!W24))*1,".")</f>
        <v>99.237683844878305</v>
      </c>
      <c r="J24" s="48">
        <f>IFERROR((TR/(RadSpec!O24*EF_ow*(1/365)*ED_out*RadSpec!T24*ET_ow_o*(1/24)*RadSpec!X24))*1,".")</f>
        <v>64.122811099767532</v>
      </c>
      <c r="K24" s="48">
        <f>IFERROR((TR/(RadSpec!K24*EF_ow*(1/365)*ED_out*RadSpec!P24*ET_ow_o*(1/24)*RadSpec!U24))*1,".")</f>
        <v>285.96793972452065</v>
      </c>
      <c r="L24" s="48" t="str">
        <f>IFERROR(TR/(RadSpec!G24*EF_ow*ED_out*ET_ow_o*(1/24)*IRA_ow),".")</f>
        <v>.</v>
      </c>
      <c r="M24" s="48">
        <f>IFERROR(TR/(RadSpec!J24*EF_ow*(1/365)*ED_out*ET_ow_o*(1/24)*GSF_a),".")</f>
        <v>61069.343904540496</v>
      </c>
      <c r="N24" s="48">
        <f t="shared" ref="N24:N25" si="21">IFERROR(IF(AND(ISNUMBER(L24),ISNUMBER(M24)),1/((1/L24)+(1/M24)),IF(AND(ISNUMBER(L24),NOT(ISNUMBER(M24))),1/((1/L24)),IF(AND(NOT(ISNUMBER(L24)),ISNUMBER(M24)),1/((1/M24)),IF(AND(NOT(ISNUMBER(L24)),NOT(ISNUMBER(M24))),".")))),".")</f>
        <v>61069.343904540496</v>
      </c>
    </row>
    <row r="25" spans="1:14" ht="15" customHeight="1" x14ac:dyDescent="0.25">
      <c r="A25" s="51" t="s">
        <v>35</v>
      </c>
      <c r="B25" s="50" t="s">
        <v>275</v>
      </c>
      <c r="C25" s="48" t="str">
        <f>IFERROR((TR/(RadSpec!I25*EF_ow*ED_out*IRS_ow*(1/1000)))*1,".")</f>
        <v>.</v>
      </c>
      <c r="D25" s="48">
        <f>IFERROR(IF(A25="H-3",(TR/(RadSpec!G25*EF_ow*ED_out*ET_ow_o*(1/24)*IRA_ow*(1/17)*1000))*1,(TR/(RadSpec!G25*EF_ow*ED_out*ET_ow_o*(1/24)*IRA_ow*(1/PEF_wind)*1000))*1),".")</f>
        <v>5299588.5909607559</v>
      </c>
      <c r="E25" s="48">
        <f>IFERROR((TR/(RadSpec!F25*EF_ow*(1/365)*ED_out*RadSpec!Q25*ET_ow_o*(1/24)*RadSpec!V25))*1,".")</f>
        <v>114.97883369613488</v>
      </c>
      <c r="F25" s="48">
        <f t="shared" si="20"/>
        <v>114.97633919205101</v>
      </c>
      <c r="G25" s="48">
        <f>IFERROR((TR/(RadSpec!F25*EF_ow*(1/365)*ED_out*RadSpec!Q25*ET_ow_o*(1/24)*RadSpec!V25))*1,".")</f>
        <v>114.97883369613488</v>
      </c>
      <c r="H25" s="48">
        <f>IFERROR((TR/(RadSpec!M25*EF_ow*(1/365)*ED_out*RadSpec!R25*ET_ow_o*(1/24)*RadSpec!W25)*1),".")</f>
        <v>545.54747663414776</v>
      </c>
      <c r="I25" s="48">
        <f>IFERROR((TR/(RadSpec!N25*EF_ow*(1/365)*ED_out*RadSpec!S25*ET_ow_o*(1/24)*RadSpec!W25))*1,".")</f>
        <v>193.32016333417852</v>
      </c>
      <c r="J25" s="48">
        <f>IFERROR((TR/(RadSpec!O25*EF_ow*(1/365)*ED_out*RadSpec!T25*ET_ow_o*(1/24)*RadSpec!X25))*1,".")</f>
        <v>126.30250671166331</v>
      </c>
      <c r="K25" s="48">
        <f>IFERROR((TR/(RadSpec!K25*EF_ow*(1/365)*ED_out*RadSpec!P25*ET_ow_o*(1/24)*RadSpec!U25))*1,".")</f>
        <v>555.73102953131854</v>
      </c>
      <c r="L25" s="48">
        <f>IFERROR(TR/(RadSpec!G25*EF_ow*ED_out*ET_ow_o*(1/24)*IRA_ow),".")</f>
        <v>3.8986354775828467</v>
      </c>
      <c r="M25" s="48">
        <f>IFERROR(TR/(RadSpec!J25*EF_ow*(1/365)*ED_out*ET_ow_o*(1/24)*GSF_a),".")</f>
        <v>119941.94881970904</v>
      </c>
      <c r="N25" s="48">
        <f t="shared" si="21"/>
        <v>3.8985087590768748</v>
      </c>
    </row>
    <row r="26" spans="1:14" ht="15" customHeight="1" x14ac:dyDescent="0.25">
      <c r="A26" s="49" t="s">
        <v>36</v>
      </c>
      <c r="B26" s="50" t="s">
        <v>289</v>
      </c>
      <c r="C26" s="48">
        <f>IFERROR((TR/(RadSpec!I26*EF_ow*ED_out*IRS_ow*(1/1000)))*1,".")</f>
        <v>9.0315879789563986</v>
      </c>
      <c r="D26" s="48">
        <f>IFERROR(IF(A26="H-3",(TR/(RadSpec!G26*EF_ow*ED_out*ET_ow_o*(1/24)*IRA_ow*(1/17)*1000))*1,(TR/(RadSpec!G26*EF_ow*ED_out*ET_ow_o*(1/24)*IRA_ow*(1/PEF_wind)*1000))*1),".")</f>
        <v>69.18839892000986</v>
      </c>
      <c r="E26" s="48">
        <f>IFERROR((TR/(RadSpec!F26*EF_ow*(1/365)*ED_out*RadSpec!Q26*ET_ow_o*(1/24)*RadSpec!V26))*1,".")</f>
        <v>0.86832973364268518</v>
      </c>
      <c r="F26" s="48">
        <f t="shared" ref="F26:F29" si="22">(IF(AND(ISNUMBER(C26),ISNUMBER(D26),ISNUMBER(E26)),1/((1/C26)+(1/D26)+(1/E26)),IF(AND(ISNUMBER(C26),ISNUMBER(D26),NOT(ISNUMBER(E26))), 1/((1/C26)+(1/D26)),IF(AND(ISNUMBER(C26),NOT(ISNUMBER(D26)),ISNUMBER(E26)),1/((1/C26)+(1/E26)),IF(AND(NOT(ISNUMBER(C26)),ISNUMBER(D26),ISNUMBER(E26)),1/((1/D26)+(1/E26)),IF(AND(ISNUMBER(C26),NOT(ISNUMBER(D26)),NOT(ISNUMBER(E26))),1/((1/C26)),IF(AND(NOT(ISNUMBER(C26)),NOT(ISNUMBER(D26)),ISNUMBER(E26)),1/((1/E26)),IF(AND(NOT(ISNUMBER(C26)),ISNUMBER(D26),NOT(ISNUMBER(E26))),1/((1/D26)),IF(AND(NOT(ISNUMBER(C26)),NOT(ISNUMBER(D26)),NOT(ISNUMBER(E26))),".")))))))))</f>
        <v>0.78320063329394174</v>
      </c>
      <c r="G26" s="48">
        <f>IFERROR((TR/(RadSpec!F26*EF_ow*(1/365)*ED_out*RadSpec!Q26*ET_ow_o*(1/24)*RadSpec!V26))*1,".")</f>
        <v>0.86832973364268518</v>
      </c>
      <c r="H26" s="48">
        <f>IFERROR((TR/(RadSpec!M26*EF_ow*(1/365)*ED_out*RadSpec!R26*ET_ow_o*(1/24)*RadSpec!W26)*1),".")</f>
        <v>2.8784411059978514</v>
      </c>
      <c r="I26" s="48">
        <f>IFERROR((TR/(RadSpec!N26*EF_ow*(1/365)*ED_out*RadSpec!S26*ET_ow_o*(1/24)*RadSpec!W26))*1,".")</f>
        <v>1.14113147747704</v>
      </c>
      <c r="J26" s="48">
        <f>IFERROR((TR/(RadSpec!O26*EF_ow*(1/365)*ED_out*RadSpec!T26*ET_ow_o*(1/24)*RadSpec!X26))*1,".")</f>
        <v>0.87747004662839767</v>
      </c>
      <c r="K26" s="48">
        <f>IFERROR((TR/(RadSpec!K26*EF_ow*(1/365)*ED_out*RadSpec!P26*ET_ow_o*(1/24)*RadSpec!U26))*1,".")</f>
        <v>2.7511437105510823</v>
      </c>
      <c r="L26" s="48">
        <f>IFERROR(TR/(RadSpec!G26*EF_ow*ED_out*ET_ow_o*(1/24)*IRA_ow),".")</f>
        <v>5.089835598310174E-5</v>
      </c>
      <c r="M26" s="48">
        <f>IFERROR(TR/(RadSpec!J26*EF_ow*(1/365)*ED_out*ET_ow_o*(1/24)*GSF_a),".")</f>
        <v>648.71326404434069</v>
      </c>
      <c r="N26" s="48">
        <f t="shared" ref="N26:N29" si="23">IFERROR(IF(AND(ISNUMBER(L26),ISNUMBER(M26)),1/((1/L26)+(1/M26)),IF(AND(ISNUMBER(L26),NOT(ISNUMBER(M26))),1/((1/L26)),IF(AND(NOT(ISNUMBER(L26)),ISNUMBER(M26)),1/((1/M26)),IF(AND(NOT(ISNUMBER(L26)),NOT(ISNUMBER(M26))),".")))),".")</f>
        <v>5.0898351989592454E-5</v>
      </c>
    </row>
    <row r="27" spans="1:14" ht="15" customHeight="1" x14ac:dyDescent="0.25">
      <c r="A27" s="49" t="s">
        <v>37</v>
      </c>
      <c r="B27" s="50" t="s">
        <v>289</v>
      </c>
      <c r="C27" s="48" t="str">
        <f>IFERROR((TR/(RadSpec!I27*EF_ow*ED_out*IRS_ow*(1/1000)))*1,".")</f>
        <v>.</v>
      </c>
      <c r="D27" s="48" t="str">
        <f>IFERROR(IF(A27="H-3",(TR/(RadSpec!G27*EF_ow*ED_out*ET_ow_o*(1/24)*IRA_ow*(1/17)*1000))*1,(TR/(RadSpec!G27*EF_ow*ED_out*ET_ow_o*(1/24)*IRA_ow*(1/PEF_wind)*1000))*1),".")</f>
        <v>.</v>
      </c>
      <c r="E27" s="48">
        <f>IFERROR((TR/(RadSpec!F27*EF_ow*(1/365)*ED_out*RadSpec!Q27*ET_ow_o*(1/24)*RadSpec!V27))*1,".")</f>
        <v>31.877496913842361</v>
      </c>
      <c r="F27" s="48">
        <f t="shared" si="22"/>
        <v>31.877496913842357</v>
      </c>
      <c r="G27" s="48">
        <f>IFERROR((TR/(RadSpec!F27*EF_ow*(1/365)*ED_out*RadSpec!Q27*ET_ow_o*(1/24)*RadSpec!V27))*1,".")</f>
        <v>31.877496913842361</v>
      </c>
      <c r="H27" s="48">
        <f>IFERROR((TR/(RadSpec!M27*EF_ow*(1/365)*ED_out*RadSpec!R27*ET_ow_o*(1/24)*RadSpec!W27)*1),".")</f>
        <v>93.87348471812814</v>
      </c>
      <c r="I27" s="48">
        <f>IFERROR((TR/(RadSpec!N27*EF_ow*(1/365)*ED_out*RadSpec!S27*ET_ow_o*(1/24)*RadSpec!W27))*1,".")</f>
        <v>44.152359337763649</v>
      </c>
      <c r="J27" s="48">
        <f>IFERROR((TR/(RadSpec!O27*EF_ow*(1/365)*ED_out*RadSpec!T27*ET_ow_o*(1/24)*RadSpec!X27))*1,".")</f>
        <v>33.211017701074816</v>
      </c>
      <c r="K27" s="48">
        <f>IFERROR((TR/(RadSpec!K27*EF_ow*(1/365)*ED_out*RadSpec!P27*ET_ow_o*(1/24)*RadSpec!U27))*1,".")</f>
        <v>22.713802296920374</v>
      </c>
      <c r="L27" s="48" t="str">
        <f>IFERROR(TR/(RadSpec!G27*EF_ow*ED_out*ET_ow_o*(1/24)*IRA_ow),".")</f>
        <v>.</v>
      </c>
      <c r="M27" s="48">
        <f>IFERROR(TR/(RadSpec!J27*EF_ow*(1/365)*ED_out*ET_ow_o*(1/24)*GSF_a),".")</f>
        <v>20710.473150235473</v>
      </c>
      <c r="N27" s="48">
        <f t="shared" si="23"/>
        <v>20710.473150235473</v>
      </c>
    </row>
    <row r="28" spans="1:14" ht="15" customHeight="1" x14ac:dyDescent="0.25">
      <c r="A28" s="49" t="s">
        <v>38</v>
      </c>
      <c r="B28" s="50" t="s">
        <v>289</v>
      </c>
      <c r="C28" s="48" t="str">
        <f>IFERROR((TR/(RadSpec!I28*EF_ow*ED_out*IRS_ow*(1/1000)))*1,".")</f>
        <v>.</v>
      </c>
      <c r="D28" s="48" t="str">
        <f>IFERROR(IF(A28="H-3",(TR/(RadSpec!G28*EF_ow*ED_out*ET_ow_o*(1/24)*IRA_ow*(1/17)*1000))*1,(TR/(RadSpec!G28*EF_ow*ED_out*ET_ow_o*(1/24)*IRA_ow*(1/PEF_wind)*1000))*1),".")</f>
        <v>.</v>
      </c>
      <c r="E28" s="48">
        <f>IFERROR((TR/(RadSpec!F28*EF_ow*(1/365)*ED_out*RadSpec!Q28*ET_ow_o*(1/24)*RadSpec!V28))*1,".")</f>
        <v>1.8859650323461038E-2</v>
      </c>
      <c r="F28" s="48">
        <f t="shared" si="22"/>
        <v>1.8859650323461038E-2</v>
      </c>
      <c r="G28" s="48">
        <f>IFERROR((TR/(RadSpec!F28*EF_ow*(1/365)*ED_out*RadSpec!Q28*ET_ow_o*(1/24)*RadSpec!V28))*1,".")</f>
        <v>1.8859650323461038E-2</v>
      </c>
      <c r="H28" s="48">
        <f>IFERROR((TR/(RadSpec!M28*EF_ow*(1/365)*ED_out*RadSpec!R28*ET_ow_o*(1/24)*RadSpec!W28)*1),".")</f>
        <v>0.10215643925208061</v>
      </c>
      <c r="I28" s="48">
        <f>IFERROR((TR/(RadSpec!N28*EF_ow*(1/365)*ED_out*RadSpec!S28*ET_ow_o*(1/24)*RadSpec!W28))*1,".")</f>
        <v>3.5562992504137275E-2</v>
      </c>
      <c r="J28" s="48">
        <f>IFERROR((TR/(RadSpec!O28*EF_ow*(1/365)*ED_out*RadSpec!T28*ET_ow_o*(1/24)*RadSpec!X28))*1,".")</f>
        <v>2.2348432822975276E-2</v>
      </c>
      <c r="K28" s="48">
        <f>IFERROR((TR/(RadSpec!K28*EF_ow*(1/365)*ED_out*RadSpec!P28*ET_ow_o*(1/24)*RadSpec!U28))*1,".")</f>
        <v>0.10485491123232424</v>
      </c>
      <c r="L28" s="48" t="str">
        <f>IFERROR(TR/(RadSpec!G28*EF_ow*ED_out*ET_ow_o*(1/24)*IRA_ow),".")</f>
        <v>.</v>
      </c>
      <c r="M28" s="48">
        <f>IFERROR(TR/(RadSpec!J28*EF_ow*(1/365)*ED_out*ET_ow_o*(1/24)*GSF_a),".")</f>
        <v>20.331623031633605</v>
      </c>
      <c r="N28" s="48">
        <f t="shared" si="23"/>
        <v>20.331623031633605</v>
      </c>
    </row>
    <row r="29" spans="1:14" ht="15" customHeight="1" x14ac:dyDescent="0.25">
      <c r="A29" s="49" t="s">
        <v>39</v>
      </c>
      <c r="B29" s="50" t="s">
        <v>289</v>
      </c>
      <c r="C29" s="48" t="str">
        <f>IFERROR((TR/(RadSpec!I29*EF_ow*ED_out*IRS_ow*(1/1000)))*1,".")</f>
        <v>.</v>
      </c>
      <c r="D29" s="48" t="str">
        <f>IFERROR(IF(A29="H-3",(TR/(RadSpec!G29*EF_ow*ED_out*ET_ow_o*(1/24)*IRA_ow*(1/17)*1000))*1,(TR/(RadSpec!G29*EF_ow*ED_out*ET_ow_o*(1/24)*IRA_ow*(1/PEF_wind)*1000))*1),".")</f>
        <v>.</v>
      </c>
      <c r="E29" s="48">
        <f>IFERROR((TR/(RadSpec!F29*EF_ow*(1/365)*ED_out*RadSpec!Q29*ET_ow_o*(1/24)*RadSpec!V29))*1,".")</f>
        <v>1.449733120516483E-2</v>
      </c>
      <c r="F29" s="48">
        <f t="shared" si="22"/>
        <v>1.449733120516483E-2</v>
      </c>
      <c r="G29" s="48">
        <f>IFERROR((TR/(RadSpec!F29*EF_ow*(1/365)*ED_out*RadSpec!Q29*ET_ow_o*(1/24)*RadSpec!V29))*1,".")</f>
        <v>1.449733120516483E-2</v>
      </c>
      <c r="H29" s="48">
        <f>IFERROR((TR/(RadSpec!M29*EF_ow*(1/365)*ED_out*RadSpec!R29*ET_ow_o*(1/24)*RadSpec!W29)*1),".")</f>
        <v>7.8345539877535494E-2</v>
      </c>
      <c r="I29" s="48">
        <f>IFERROR((TR/(RadSpec!N29*EF_ow*(1/365)*ED_out*RadSpec!S29*ET_ow_o*(1/24)*RadSpec!W29))*1,".")</f>
        <v>2.7348967988745993E-2</v>
      </c>
      <c r="J29" s="48">
        <f>IFERROR((TR/(RadSpec!O29*EF_ow*(1/365)*ED_out*RadSpec!T29*ET_ow_o*(1/24)*RadSpec!X29))*1,".")</f>
        <v>1.7134564117101288E-2</v>
      </c>
      <c r="K29" s="48">
        <f>IFERROR((TR/(RadSpec!K29*EF_ow*(1/365)*ED_out*RadSpec!P29*ET_ow_o*(1/24)*RadSpec!U29))*1,".")</f>
        <v>8.0931703329803664E-2</v>
      </c>
      <c r="L29" s="48" t="str">
        <f>IFERROR(TR/(RadSpec!G29*EF_ow*ED_out*ET_ow_o*(1/24)*IRA_ow),".")</f>
        <v>.</v>
      </c>
      <c r="M29" s="48">
        <f>IFERROR(TR/(RadSpec!J29*EF_ow*(1/365)*ED_out*ET_ow_o*(1/24)*GSF_a),".")</f>
        <v>15.728236684848639</v>
      </c>
      <c r="N29" s="48">
        <f t="shared" si="23"/>
        <v>15.728236684848637</v>
      </c>
    </row>
    <row r="30" spans="1:14" ht="15" customHeight="1" x14ac:dyDescent="0.25">
      <c r="A30" s="49" t="s">
        <v>40</v>
      </c>
      <c r="B30" s="50" t="s">
        <v>289</v>
      </c>
      <c r="C30" s="48">
        <f>IFERROR((TR/(RadSpec!I30*EF_ow*ED_out*IRS_ow*(1/1000)))*1,".")</f>
        <v>34.076629821310675</v>
      </c>
      <c r="D30" s="48">
        <f>IFERROR(IF(A30="H-3",(TR/(RadSpec!G30*EF_ow*ED_out*ET_ow_o*(1/24)*IRA_ow*(1/17)*1000))*1,(TR/(RadSpec!G30*EF_ow*ED_out*ET_ow_o*(1/24)*IRA_ow*(1/PEF_wind)*1000))*1),".")</f>
        <v>426.88789921888434</v>
      </c>
      <c r="E30" s="48">
        <f>IFERROR((TR/(RadSpec!F30*EF_ow*(1/365)*ED_out*RadSpec!Q30*ET_ow_o*(1/24)*RadSpec!V30))*1,".")</f>
        <v>273.75912784794014</v>
      </c>
      <c r="F30" s="48">
        <f t="shared" ref="F30" si="24">(IF(AND(ISNUMBER(C30),ISNUMBER(D30),ISNUMBER(E30)),1/((1/C30)+(1/D30)+(1/E30)),IF(AND(ISNUMBER(C30),ISNUMBER(D30),NOT(ISNUMBER(E30))), 1/((1/C30)+(1/D30)),IF(AND(ISNUMBER(C30),NOT(ISNUMBER(D30)),ISNUMBER(E30)),1/((1/C30)+(1/E30)),IF(AND(NOT(ISNUMBER(C30)),ISNUMBER(D30),ISNUMBER(E30)),1/((1/D30)+(1/E30)),IF(AND(ISNUMBER(C30),NOT(ISNUMBER(D30)),NOT(ISNUMBER(E30))),1/((1/C30)),IF(AND(NOT(ISNUMBER(C30)),NOT(ISNUMBER(D30)),ISNUMBER(E30)),1/((1/E30)),IF(AND(NOT(ISNUMBER(C30)),ISNUMBER(D30),NOT(ISNUMBER(E30))),1/((1/D30)),IF(AND(NOT(ISNUMBER(C30)),NOT(ISNUMBER(D30)),NOT(ISNUMBER(E30))),".")))))))))</f>
        <v>28.29574186484939</v>
      </c>
      <c r="G30" s="48">
        <f>IFERROR((TR/(RadSpec!F30*EF_ow*(1/365)*ED_out*RadSpec!Q30*ET_ow_o*(1/24)*RadSpec!V30))*1,".")</f>
        <v>273.75912784794014</v>
      </c>
      <c r="H30" s="48">
        <f>IFERROR((TR/(RadSpec!M30*EF_ow*(1/365)*ED_out*RadSpec!R30*ET_ow_o*(1/24)*RadSpec!W30)*1),".")</f>
        <v>938.73484718128122</v>
      </c>
      <c r="I30" s="48">
        <f>IFERROR((TR/(RadSpec!N30*EF_ow*(1/365)*ED_out*RadSpec!S30*ET_ow_o*(1/24)*RadSpec!W30))*1,".")</f>
        <v>384.50025105949163</v>
      </c>
      <c r="J30" s="48">
        <f>IFERROR((TR/(RadSpec!O30*EF_ow*(1/365)*ED_out*RadSpec!T30*ET_ow_o*(1/24)*RadSpec!X30))*1,".")</f>
        <v>283.05485375109606</v>
      </c>
      <c r="K30" s="48">
        <f>IFERROR((TR/(RadSpec!K30*EF_ow*(1/365)*ED_out*RadSpec!P30*ET_ow_o*(1/24)*RadSpec!U30))*1,".")</f>
        <v>544.83434267776329</v>
      </c>
      <c r="L30" s="48">
        <f>IFERROR(TR/(RadSpec!G30*EF_ow*ED_out*ET_ow_o*(1/24)*IRA_ow),".")</f>
        <v>3.1403952972580419E-4</v>
      </c>
      <c r="M30" s="48">
        <f>IFERROR(TR/(RadSpec!J30*EF_ow*(1/365)*ED_out*ET_ow_o*(1/24)*GSF_a),".")</f>
        <v>207620.5589780767</v>
      </c>
      <c r="N30" s="48">
        <f t="shared" ref="N30" si="25">IFERROR(IF(AND(ISNUMBER(L30),ISNUMBER(M30)),1/((1/L30)+(1/M30)),IF(AND(ISNUMBER(L30),NOT(ISNUMBER(M30))),1/((1/L30)),IF(AND(NOT(ISNUMBER(L30)),ISNUMBER(M30)),1/((1/M30)),IF(AND(NOT(ISNUMBER(L30)),NOT(ISNUMBER(M30))),".")))),".")</f>
        <v>3.1403952925079906E-4</v>
      </c>
    </row>
    <row r="31" spans="1:14" x14ac:dyDescent="0.25">
      <c r="A31" s="52" t="s">
        <v>13</v>
      </c>
      <c r="B31" s="52" t="s">
        <v>289</v>
      </c>
      <c r="C31" s="53">
        <f>1/SUM(1/C32,1/C33,1/C34,1/C35,1/C36,1/C37,1/C38,1/C41,1/C44)</f>
        <v>3.2049833416308076</v>
      </c>
      <c r="D31" s="53">
        <f>1/SUM(1/D32,1/D33,1/D34,1/D35,1/D36,1/D37,1/D38,1/D41,1/D44)</f>
        <v>37.273558773663289</v>
      </c>
      <c r="E31" s="53">
        <f>1/SUM(1/E32,1/E33,1/E34,1/E35,1/E36,1/E37,1/E38,1/E39,1/E40,1/E41,1/E42,1/E43,1/E44)</f>
        <v>9.6370775514422358E-2</v>
      </c>
      <c r="F31" s="54">
        <f>1/SUM(1/F32,1/F33,1/F34,1/F35,1/F36,1/F37,1/F38,1/F39,1/F40,1/F41,1/F42,1/F43,1/F44)</f>
        <v>9.3323344559708532E-2</v>
      </c>
      <c r="G31" s="53">
        <f t="shared" ref="G31:N31" si="26">1/SUM(1/G32,1/G33,1/G34,1/G35,1/G36,1/G37,1/G38,1/G39,1/G40,1/G41,1/G42,1/G43,1/G44)</f>
        <v>9.6370775514422358E-2</v>
      </c>
      <c r="H31" s="53">
        <f t="shared" si="26"/>
        <v>0.398085476339057</v>
      </c>
      <c r="I31" s="53">
        <f t="shared" si="26"/>
        <v>0.14836613067321314</v>
      </c>
      <c r="J31" s="53">
        <f t="shared" si="26"/>
        <v>0.10299961676460462</v>
      </c>
      <c r="K31" s="53">
        <f t="shared" si="26"/>
        <v>0.38571325992453237</v>
      </c>
      <c r="L31" s="53">
        <f>1/SUM(1/L32,1/L33,1/L34,1/L35,1/L36,1/L37,1/L38,1/L41,1/L44)</f>
        <v>2.7420245197642584E-5</v>
      </c>
      <c r="M31" s="53">
        <f t="shared" si="26"/>
        <v>88.092948509802298</v>
      </c>
      <c r="N31" s="54">
        <f t="shared" si="26"/>
        <v>2.7420236662684609E-5</v>
      </c>
    </row>
    <row r="32" spans="1:14" x14ac:dyDescent="0.25">
      <c r="A32" s="55" t="s">
        <v>290</v>
      </c>
      <c r="B32" s="50">
        <v>1</v>
      </c>
      <c r="C32" s="56">
        <f>IFERROR(C3/$B32,0)</f>
        <v>19.53172684880002</v>
      </c>
      <c r="D32" s="56">
        <f>IFERROR(D3/$B32,0)</f>
        <v>320.16592441416327</v>
      </c>
      <c r="E32" s="56">
        <f>IFERROR(E3/$B32,0)</f>
        <v>7.0345699940673239</v>
      </c>
      <c r="F32" s="56">
        <f>IF(AND(C32&lt;&gt;0,D32&lt;&gt;0,E32&lt;&gt;0),1/((1/C32)+(1/D32)+(1/E32)),IF(AND(C32&lt;&gt;0,D32&lt;&gt;0,E32=0), 1/((1/C32)+(1/D32)),IF(AND(C32&lt;&gt;0,D32=0,E32&lt;&gt;0),1/((1/C32)+(1/E32)),IF(AND(C32=0,D32&lt;&gt;0,E32&lt;&gt;0),1/((1/D32)+(1/E32)),IF(AND(C32&lt;&gt;0,D32=0,E32=0),1/((1/C32)),IF(AND(C32=0,D32&lt;&gt;0,E32=0),1/((1/D32)),IF(AND(C32=0,D32=0,E32&lt;&gt;0),1/((1/E32)),IF(AND(C32=0,D32=0,E32=0),0))))))))</f>
        <v>5.0896482927468947</v>
      </c>
      <c r="G32" s="56">
        <f t="shared" ref="G32:M32" si="27">IFERROR(G3/$B32,0)</f>
        <v>7.0345699940673239</v>
      </c>
      <c r="H32" s="56">
        <f t="shared" si="27"/>
        <v>14.152742687554802</v>
      </c>
      <c r="I32" s="56">
        <f t="shared" si="27"/>
        <v>7.5506933360233504</v>
      </c>
      <c r="J32" s="56">
        <f t="shared" si="27"/>
        <v>7.0345699940673239</v>
      </c>
      <c r="K32" s="56">
        <f t="shared" si="27"/>
        <v>10.419956803712223</v>
      </c>
      <c r="L32" s="56">
        <f t="shared" si="27"/>
        <v>2.3552964729435318E-4</v>
      </c>
      <c r="M32" s="56">
        <f t="shared" si="27"/>
        <v>3354.5132567282808</v>
      </c>
      <c r="N32" s="56">
        <f>IFERROR(IF(AND(L32&lt;&gt;0,M32&lt;&gt;0),1/((1/L32)+(1/M32)),IF(AND(L32&lt;&gt;0,M32=0),1/((1/L32)),IF(AND(L32=0,M32&lt;&gt;0),1/((1/M32)),IF(AND(L32=0,M32=0),0)))),0)</f>
        <v>2.3552963075716682E-4</v>
      </c>
    </row>
    <row r="33" spans="1:14" x14ac:dyDescent="0.25">
      <c r="A33" s="55" t="s">
        <v>291</v>
      </c>
      <c r="B33" s="50">
        <v>1</v>
      </c>
      <c r="C33" s="56">
        <f t="shared" ref="C33:E34" si="28">IFERROR(C13/$B33,0)</f>
        <v>37.833108699250431</v>
      </c>
      <c r="D33" s="56">
        <f t="shared" si="28"/>
        <v>421.37966826122135</v>
      </c>
      <c r="E33" s="56">
        <f t="shared" si="28"/>
        <v>3.7634155498734887</v>
      </c>
      <c r="F33" s="56">
        <f>IF(AND(C33&lt;&gt;0,D33&lt;&gt;0,E33&lt;&gt;0),1/((1/C33)+(1/D33)+(1/E33)),IF(AND(C33&lt;&gt;0,D33&lt;&gt;0,E33=0), 1/((1/C33)+(1/D33)),IF(AND(C33&lt;&gt;0,D33=0,E33&lt;&gt;0),1/((1/C33)+(1/E33)),IF(AND(C33=0,D33&lt;&gt;0,E33&lt;&gt;0),1/((1/D33)+(1/E33)),IF(AND(C33&lt;&gt;0,D33=0,E33=0),1/((1/C33)),IF(AND(C33=0,D33&lt;&gt;0,E33=0),1/((1/D33)),IF(AND(C33=0,D33=0,E33&lt;&gt;0),1/((1/E33)),IF(AND(C33=0,D33=0,E33=0),0))))))))</f>
        <v>3.3953424212677845</v>
      </c>
      <c r="G33" s="56">
        <f t="shared" ref="G33:M34" si="29">IFERROR(G13/$B33,0)</f>
        <v>3.7634155498734887</v>
      </c>
      <c r="H33" s="56">
        <f t="shared" si="29"/>
        <v>11.219334378155827</v>
      </c>
      <c r="I33" s="56">
        <f t="shared" si="29"/>
        <v>4.714912580865259</v>
      </c>
      <c r="J33" s="56">
        <f t="shared" si="29"/>
        <v>3.7804831940906025</v>
      </c>
      <c r="K33" s="56">
        <f t="shared" si="29"/>
        <v>9.2621838255219728</v>
      </c>
      <c r="L33" s="56">
        <f t="shared" si="29"/>
        <v>3.0998740676160027E-4</v>
      </c>
      <c r="M33" s="56">
        <f t="shared" si="29"/>
        <v>2537.5846097320482</v>
      </c>
      <c r="N33" s="56">
        <f t="shared" ref="N33:N44" si="30">IFERROR(IF(AND(L33&lt;&gt;0,M33&lt;&gt;0),1/((1/L33)+(1/M33)),IF(AND(L33&lt;&gt;0,M33=0),1/((1/L33)),IF(AND(L33=0,M33&lt;&gt;0),1/((1/M33)),IF(AND(L33=0,M33=0),0)))),0)</f>
        <v>3.0998736889402325E-4</v>
      </c>
    </row>
    <row r="34" spans="1:14" x14ac:dyDescent="0.25">
      <c r="A34" s="55" t="s">
        <v>292</v>
      </c>
      <c r="B34" s="50">
        <v>1</v>
      </c>
      <c r="C34" s="56">
        <f t="shared" si="28"/>
        <v>688.36745054510095</v>
      </c>
      <c r="D34" s="56">
        <f t="shared" si="28"/>
        <v>790724.55908582697</v>
      </c>
      <c r="E34" s="56">
        <f t="shared" si="28"/>
        <v>0.24232457683051681</v>
      </c>
      <c r="F34" s="56">
        <f>IF(AND(C34&lt;&gt;0,D34&lt;&gt;0,E34&lt;&gt;0),1/((1/C34)+(1/D34)+(1/E34)),IF(AND(C34&lt;&gt;0,D34&lt;&gt;0,E34=0), 1/((1/C34)+(1/D34)),IF(AND(C34&lt;&gt;0,D34=0,E34&lt;&gt;0),1/((1/C34)+(1/E34)),IF(AND(C34=0,D34&lt;&gt;0,E34&lt;&gt;0),1/((1/D34)+(1/E34)),IF(AND(C34&lt;&gt;0,D34=0,E34=0),1/((1/C34)),IF(AND(C34=0,D34&lt;&gt;0,E34=0),1/((1/D34)),IF(AND(C34=0,D34=0,E34&lt;&gt;0),1/((1/E34)),IF(AND(C34=0,D34=0,E34=0),0))))))))</f>
        <v>0.24223922761742417</v>
      </c>
      <c r="G34" s="56">
        <f t="shared" si="29"/>
        <v>0.24232457683051681</v>
      </c>
      <c r="H34" s="56">
        <f t="shared" si="29"/>
        <v>1.0215643925208064</v>
      </c>
      <c r="I34" s="56">
        <f t="shared" si="29"/>
        <v>0.37214131441829357</v>
      </c>
      <c r="J34" s="56">
        <f t="shared" si="29"/>
        <v>0.25609724863194405</v>
      </c>
      <c r="K34" s="56">
        <f t="shared" si="29"/>
        <v>1.0355236575117737</v>
      </c>
      <c r="L34" s="56">
        <f t="shared" si="29"/>
        <v>0.58169549694973421</v>
      </c>
      <c r="M34" s="56">
        <f t="shared" si="29"/>
        <v>228.07018995813345</v>
      </c>
      <c r="N34" s="56">
        <f t="shared" si="30"/>
        <v>0.58021565063008484</v>
      </c>
    </row>
    <row r="35" spans="1:14" x14ac:dyDescent="0.25">
      <c r="A35" s="55" t="s">
        <v>293</v>
      </c>
      <c r="B35" s="50">
        <v>1</v>
      </c>
      <c r="C35" s="56">
        <f>IFERROR(C30/$B35,0)</f>
        <v>34.076629821310675</v>
      </c>
      <c r="D35" s="56">
        <f>IFERROR(D30/$B35,0)</f>
        <v>426.88789921888434</v>
      </c>
      <c r="E35" s="56">
        <f>IFERROR(E30/$B35,0)</f>
        <v>273.75912784794014</v>
      </c>
      <c r="F35" s="56">
        <f t="shared" ref="F35:F61" si="31">IF(AND(C35&lt;&gt;0,D35&lt;&gt;0,E35&lt;&gt;0),1/((1/C35)+(1/D35)+(1/E35)),IF(AND(C35&lt;&gt;0,D35&lt;&gt;0,E35=0), 1/((1/C35)+(1/D35)),IF(AND(C35&lt;&gt;0,D35=0,E35&lt;&gt;0),1/((1/C35)+(1/E35)),IF(AND(C35=0,D35&lt;&gt;0,E35&lt;&gt;0),1/((1/D35)+(1/E35)),IF(AND(C35&lt;&gt;0,D35=0,E35=0),1/((1/C35)),IF(AND(C35=0,D35&lt;&gt;0,E35=0),1/((1/D35)),IF(AND(C35=0,D35=0,E35&lt;&gt;0),1/((1/E35)),IF(AND(C35=0,D35=0,E35=0),0))))))))</f>
        <v>28.29574186484939</v>
      </c>
      <c r="G35" s="56">
        <f t="shared" ref="G35:M35" si="32">IFERROR(G30/$B35,0)</f>
        <v>273.75912784794014</v>
      </c>
      <c r="H35" s="56">
        <f t="shared" si="32"/>
        <v>938.73484718128122</v>
      </c>
      <c r="I35" s="56">
        <f t="shared" si="32"/>
        <v>384.50025105949163</v>
      </c>
      <c r="J35" s="56">
        <f t="shared" si="32"/>
        <v>283.05485375109606</v>
      </c>
      <c r="K35" s="56">
        <f t="shared" si="32"/>
        <v>544.83434267776329</v>
      </c>
      <c r="L35" s="56">
        <f t="shared" si="32"/>
        <v>3.1403952972580419E-4</v>
      </c>
      <c r="M35" s="56">
        <f t="shared" si="32"/>
        <v>207620.5589780767</v>
      </c>
      <c r="N35" s="56">
        <f t="shared" si="30"/>
        <v>3.1403952925079906E-4</v>
      </c>
    </row>
    <row r="36" spans="1:14" x14ac:dyDescent="0.25">
      <c r="A36" s="55" t="s">
        <v>294</v>
      </c>
      <c r="B36" s="50">
        <v>1</v>
      </c>
      <c r="C36" s="56">
        <f>IFERROR(C26/$B36,0)</f>
        <v>9.0315879789563986</v>
      </c>
      <c r="D36" s="56">
        <f>IFERROR(D26/$B36,0)</f>
        <v>69.18839892000986</v>
      </c>
      <c r="E36" s="56">
        <f>IFERROR(E26/$B36,0)</f>
        <v>0.86832973364268518</v>
      </c>
      <c r="F36" s="56">
        <f t="shared" si="31"/>
        <v>0.78320063329394174</v>
      </c>
      <c r="G36" s="56">
        <f t="shared" ref="G36:M36" si="33">IFERROR(G26/$B36,0)</f>
        <v>0.86832973364268518</v>
      </c>
      <c r="H36" s="56">
        <f t="shared" si="33"/>
        <v>2.8784411059978514</v>
      </c>
      <c r="I36" s="56">
        <f t="shared" si="33"/>
        <v>1.14113147747704</v>
      </c>
      <c r="J36" s="56">
        <f t="shared" si="33"/>
        <v>0.87747004662839767</v>
      </c>
      <c r="K36" s="56">
        <f t="shared" si="33"/>
        <v>2.7511437105510823</v>
      </c>
      <c r="L36" s="56">
        <f t="shared" si="33"/>
        <v>5.089835598310174E-5</v>
      </c>
      <c r="M36" s="56">
        <f t="shared" si="33"/>
        <v>648.71326404434069</v>
      </c>
      <c r="N36" s="56">
        <f t="shared" si="30"/>
        <v>5.0898351989592454E-5</v>
      </c>
    </row>
    <row r="37" spans="1:14" x14ac:dyDescent="0.25">
      <c r="A37" s="55" t="s">
        <v>295</v>
      </c>
      <c r="B37" s="50">
        <v>1</v>
      </c>
      <c r="C37" s="56">
        <f>IFERROR(C22/$B37,0)</f>
        <v>23.904501516441819</v>
      </c>
      <c r="D37" s="56">
        <f>IFERROR(D22/$B37,0)</f>
        <v>461.90840580261192</v>
      </c>
      <c r="E37" s="56">
        <f>IFERROR(E22/$B37,0)</f>
        <v>31.877496913842361</v>
      </c>
      <c r="F37" s="56">
        <f t="shared" si="31"/>
        <v>13.268204488335746</v>
      </c>
      <c r="G37" s="56">
        <f t="shared" ref="G37:M37" si="34">IFERROR(G22/$B37,0)</f>
        <v>31.877496913842361</v>
      </c>
      <c r="H37" s="56">
        <f t="shared" si="34"/>
        <v>43.78133110803455</v>
      </c>
      <c r="I37" s="56">
        <f t="shared" si="34"/>
        <v>32.061405549883766</v>
      </c>
      <c r="J37" s="56">
        <f t="shared" si="34"/>
        <v>31.938564915593016</v>
      </c>
      <c r="K37" s="56">
        <f t="shared" si="34"/>
        <v>22.023686771386469</v>
      </c>
      <c r="L37" s="56">
        <f t="shared" si="34"/>
        <v>3.3980232000033986E-4</v>
      </c>
      <c r="M37" s="56">
        <f t="shared" si="34"/>
        <v>10551.854991100987</v>
      </c>
      <c r="N37" s="56">
        <f t="shared" si="30"/>
        <v>3.3980230905765609E-4</v>
      </c>
    </row>
    <row r="38" spans="1:14" x14ac:dyDescent="0.25">
      <c r="A38" s="55" t="s">
        <v>296</v>
      </c>
      <c r="B38" s="50">
        <v>1</v>
      </c>
      <c r="C38" s="56">
        <f>IFERROR(C2/$B38,0)</f>
        <v>19.691822970511495</v>
      </c>
      <c r="D38" s="56">
        <f>IFERROR(D2/$B38,0)</f>
        <v>423.01715401871314</v>
      </c>
      <c r="E38" s="56">
        <f>IFERROR(E2/$B38,0)</f>
        <v>4.7229265965834433</v>
      </c>
      <c r="F38" s="56">
        <f t="shared" si="31"/>
        <v>3.775300263170835</v>
      </c>
      <c r="G38" s="56">
        <f t="shared" ref="G38:M38" si="35">IFERROR(G2/$B38,0)</f>
        <v>4.7229265965834433</v>
      </c>
      <c r="H38" s="56">
        <f t="shared" si="35"/>
        <v>16.860771527042431</v>
      </c>
      <c r="I38" s="56">
        <f t="shared" si="35"/>
        <v>6.5124730023201387</v>
      </c>
      <c r="J38" s="56">
        <f t="shared" si="35"/>
        <v>4.8464915366103352</v>
      </c>
      <c r="K38" s="56">
        <f t="shared" si="35"/>
        <v>16.186340665960731</v>
      </c>
      <c r="L38" s="56">
        <f t="shared" si="35"/>
        <v>3.1119202103658064E-4</v>
      </c>
      <c r="M38" s="56">
        <f t="shared" si="35"/>
        <v>3780.4831940906024</v>
      </c>
      <c r="N38" s="56">
        <f t="shared" si="30"/>
        <v>3.1119199542068419E-4</v>
      </c>
    </row>
    <row r="39" spans="1:14" x14ac:dyDescent="0.25">
      <c r="A39" s="55" t="s">
        <v>297</v>
      </c>
      <c r="B39" s="50">
        <v>1</v>
      </c>
      <c r="C39" s="56">
        <f>IFERROR(C11/$B39,0)</f>
        <v>0</v>
      </c>
      <c r="D39" s="56">
        <f>IFERROR(D11/$B39,0)</f>
        <v>0</v>
      </c>
      <c r="E39" s="56">
        <f>IFERROR(E11/$B39,0)</f>
        <v>1.8565624594587478</v>
      </c>
      <c r="F39" s="56">
        <f t="shared" si="31"/>
        <v>1.856562459458748</v>
      </c>
      <c r="G39" s="56">
        <f t="shared" ref="G39:M39" si="36">IFERROR(G11/$B39,0)</f>
        <v>1.8565624594587478</v>
      </c>
      <c r="H39" s="56">
        <f t="shared" si="36"/>
        <v>7.6058078859213296</v>
      </c>
      <c r="I39" s="56">
        <f t="shared" si="36"/>
        <v>2.7566023290243979</v>
      </c>
      <c r="J39" s="56">
        <f t="shared" si="36"/>
        <v>1.9273908538658446</v>
      </c>
      <c r="K39" s="56">
        <f t="shared" si="36"/>
        <v>7.7184865212683125</v>
      </c>
      <c r="L39" s="56">
        <f t="shared" si="36"/>
        <v>0</v>
      </c>
      <c r="M39" s="56">
        <f t="shared" si="36"/>
        <v>1689.1520654447372</v>
      </c>
      <c r="N39" s="56">
        <f t="shared" si="30"/>
        <v>1689.1520654447372</v>
      </c>
    </row>
    <row r="40" spans="1:14" x14ac:dyDescent="0.25">
      <c r="A40" s="55" t="s">
        <v>298</v>
      </c>
      <c r="B40" s="50">
        <v>1</v>
      </c>
      <c r="C40" s="56">
        <f>IFERROR(C4/$B40,0)</f>
        <v>0</v>
      </c>
      <c r="D40" s="56">
        <f>IFERROR(D4/$B40,0)</f>
        <v>0</v>
      </c>
      <c r="E40" s="56">
        <f>IFERROR(E4/$B40,0)</f>
        <v>207.87943748054309</v>
      </c>
      <c r="F40" s="56">
        <f t="shared" si="31"/>
        <v>207.87943748054309</v>
      </c>
      <c r="G40" s="56">
        <f t="shared" ref="G40:M40" si="37">IFERROR(G4/$B40,0)</f>
        <v>207.87943748054309</v>
      </c>
      <c r="H40" s="56">
        <f t="shared" si="37"/>
        <v>898.27213825105366</v>
      </c>
      <c r="I40" s="56">
        <f t="shared" si="37"/>
        <v>325.62365011600701</v>
      </c>
      <c r="J40" s="56">
        <f t="shared" si="37"/>
        <v>221.70120858962173</v>
      </c>
      <c r="K40" s="56">
        <f t="shared" si="37"/>
        <v>916.04015856810747</v>
      </c>
      <c r="L40" s="56">
        <f t="shared" si="37"/>
        <v>0</v>
      </c>
      <c r="M40" s="56">
        <f t="shared" si="37"/>
        <v>199425.01059736309</v>
      </c>
      <c r="N40" s="56">
        <f t="shared" si="30"/>
        <v>199425.01059736309</v>
      </c>
    </row>
    <row r="41" spans="1:14" x14ac:dyDescent="0.25">
      <c r="A41" s="55" t="s">
        <v>299</v>
      </c>
      <c r="B41" s="57">
        <v>0.99987999999999999</v>
      </c>
      <c r="C41" s="56">
        <f>IFERROR(C8/$B41,0)</f>
        <v>5607.212894491101</v>
      </c>
      <c r="D41" s="56">
        <f>IFERROR(D8/$B41,0)</f>
        <v>163304.21795737819</v>
      </c>
      <c r="E41" s="56">
        <f>IFERROR(E8/$B41,0)</f>
        <v>0.35857917758603192</v>
      </c>
      <c r="F41" s="56">
        <f t="shared" si="31"/>
        <v>0.3585554607909634</v>
      </c>
      <c r="G41" s="56">
        <f t="shared" ref="G41:M41" si="38">IFERROR(G8/$B41,0)</f>
        <v>0.35857917758603192</v>
      </c>
      <c r="H41" s="56">
        <f t="shared" si="38"/>
        <v>1.6541598966022308</v>
      </c>
      <c r="I41" s="56">
        <f t="shared" si="38"/>
        <v>0.59211405389738947</v>
      </c>
      <c r="J41" s="56">
        <f t="shared" si="38"/>
        <v>0.39140684877348553</v>
      </c>
      <c r="K41" s="56">
        <f t="shared" si="38"/>
        <v>1.6188283259951932</v>
      </c>
      <c r="L41" s="56">
        <f t="shared" si="38"/>
        <v>0.12013453626447188</v>
      </c>
      <c r="M41" s="56">
        <f t="shared" si="38"/>
        <v>365.65639819628262</v>
      </c>
      <c r="N41" s="56">
        <f t="shared" si="30"/>
        <v>0.12009507964133735</v>
      </c>
    </row>
    <row r="42" spans="1:14" x14ac:dyDescent="0.25">
      <c r="A42" s="55" t="s">
        <v>300</v>
      </c>
      <c r="B42" s="50">
        <v>0.97898250799999997</v>
      </c>
      <c r="C42" s="56">
        <f>IFERROR(C19/$B42,0)</f>
        <v>0</v>
      </c>
      <c r="D42" s="56">
        <f>IFERROR(D19/$B42,0)</f>
        <v>0</v>
      </c>
      <c r="E42" s="56">
        <f>IFERROR(E19/$B42,0)</f>
        <v>1150.6659285658425</v>
      </c>
      <c r="F42" s="56">
        <f t="shared" si="31"/>
        <v>1150.6659285658425</v>
      </c>
      <c r="G42" s="56">
        <f t="shared" ref="G42:M42" si="39">IFERROR(G19/$B42,0)</f>
        <v>1150.6659285658425</v>
      </c>
      <c r="H42" s="56">
        <f t="shared" si="39"/>
        <v>5753.3296428292133</v>
      </c>
      <c r="I42" s="56">
        <f t="shared" si="39"/>
        <v>2042.9289518683393</v>
      </c>
      <c r="J42" s="56">
        <f t="shared" si="39"/>
        <v>1309.9889032903441</v>
      </c>
      <c r="K42" s="56">
        <f t="shared" si="39"/>
        <v>5913.1443551300235</v>
      </c>
      <c r="L42" s="56">
        <f t="shared" si="39"/>
        <v>0</v>
      </c>
      <c r="M42" s="56">
        <f t="shared" si="39"/>
        <v>1234047.5175923528</v>
      </c>
      <c r="N42" s="56">
        <f t="shared" si="30"/>
        <v>1234047.5175923528</v>
      </c>
    </row>
    <row r="43" spans="1:14" x14ac:dyDescent="0.25">
      <c r="A43" s="55" t="s">
        <v>301</v>
      </c>
      <c r="B43" s="50">
        <v>2.0897492E-2</v>
      </c>
      <c r="C43" s="56">
        <f>IFERROR(C28/$B43,0)</f>
        <v>0</v>
      </c>
      <c r="D43" s="56">
        <f>IFERROR(D28/$B43,0)</f>
        <v>0</v>
      </c>
      <c r="E43" s="56">
        <f>IFERROR(E28/$B43,0)</f>
        <v>0.90248391163212494</v>
      </c>
      <c r="F43" s="56">
        <f t="shared" si="31"/>
        <v>0.90248391163212505</v>
      </c>
      <c r="G43" s="56">
        <f t="shared" ref="G43:M43" si="40">IFERROR(G28/$B43,0)</f>
        <v>0.90248391163212494</v>
      </c>
      <c r="H43" s="56">
        <f t="shared" si="40"/>
        <v>4.8884545213406758</v>
      </c>
      <c r="I43" s="56">
        <f t="shared" si="40"/>
        <v>1.7017828026510202</v>
      </c>
      <c r="J43" s="56">
        <f t="shared" si="40"/>
        <v>1.0694313376445019</v>
      </c>
      <c r="K43" s="56">
        <f t="shared" si="40"/>
        <v>5.0175835086968448</v>
      </c>
      <c r="L43" s="56">
        <f t="shared" si="40"/>
        <v>0</v>
      </c>
      <c r="M43" s="56">
        <f t="shared" si="40"/>
        <v>972.92168034487599</v>
      </c>
      <c r="N43" s="56">
        <f t="shared" si="30"/>
        <v>972.92168034487611</v>
      </c>
    </row>
    <row r="44" spans="1:14" x14ac:dyDescent="0.25">
      <c r="A44" s="55" t="s">
        <v>302</v>
      </c>
      <c r="B44" s="50">
        <v>0.99987999999999999</v>
      </c>
      <c r="C44" s="56">
        <f>IFERROR(C15/$B44,0)</f>
        <v>14561.761971451133</v>
      </c>
      <c r="D44" s="56">
        <f>IFERROR(D15/$B44,0)</f>
        <v>58115380.056006484</v>
      </c>
      <c r="E44" s="56">
        <f>IFERROR(E15/$B44,0)</f>
        <v>402.75197482489097</v>
      </c>
      <c r="F44" s="56">
        <f t="shared" si="31"/>
        <v>391.90974474533067</v>
      </c>
      <c r="G44" s="56">
        <f t="shared" ref="G44:M44" si="41">IFERROR(G15/$B44,0)</f>
        <v>402.75197482489097</v>
      </c>
      <c r="H44" s="56">
        <f t="shared" si="41"/>
        <v>1174.0551864350432</v>
      </c>
      <c r="I44" s="56">
        <f t="shared" si="41"/>
        <v>519.24301687065531</v>
      </c>
      <c r="J44" s="56">
        <f t="shared" si="41"/>
        <v>408.97551527472365</v>
      </c>
      <c r="K44" s="56">
        <f t="shared" si="41"/>
        <v>382.7808025195244</v>
      </c>
      <c r="L44" s="56">
        <f t="shared" si="41"/>
        <v>42.752504008708854</v>
      </c>
      <c r="M44" s="56">
        <f t="shared" si="41"/>
        <v>114205.01203938689</v>
      </c>
      <c r="N44" s="56">
        <f t="shared" si="30"/>
        <v>42.736505651048908</v>
      </c>
    </row>
    <row r="45" spans="1:14" x14ac:dyDescent="0.25">
      <c r="A45" s="52" t="s">
        <v>20</v>
      </c>
      <c r="B45" s="52" t="s">
        <v>289</v>
      </c>
      <c r="C45" s="53">
        <f>IFERROR(IF(AND(C46&lt;&gt;0,C47&lt;&gt;0),1/SUM(1/C46,1/C47),IF(AND(C46&lt;&gt;0,C47=0),1/(1/C46),IF(AND(C46=0,C47&lt;&gt;0),1/(1/C47),IF(AND(C46=0,C47=0),".")))),".")</f>
        <v>55.934863851045449</v>
      </c>
      <c r="D45" s="53">
        <f t="shared" ref="D45:N45" si="42">IFERROR(IF(AND(D46&lt;&gt;0,D47&lt;&gt;0),1/SUM(1/D46,1/D47),IF(AND(D46&lt;&gt;0,D47=0),1/(1/D46),IF(AND(D46=0,D47&lt;&gt;0),1/(1/D47),IF(AND(D46=0,D47=0),".")))),".")</f>
        <v>107424.09306001532</v>
      </c>
      <c r="E45" s="53">
        <f t="shared" si="42"/>
        <v>7.6770800478620199E-2</v>
      </c>
      <c r="F45" s="54">
        <f t="shared" si="42"/>
        <v>7.6665521986646043E-2</v>
      </c>
      <c r="G45" s="53">
        <f t="shared" si="42"/>
        <v>7.6770800478620199E-2</v>
      </c>
      <c r="H45" s="53">
        <f t="shared" si="42"/>
        <v>0.37659036645727584</v>
      </c>
      <c r="I45" s="53">
        <f t="shared" si="42"/>
        <v>0.13355516104910667</v>
      </c>
      <c r="J45" s="53">
        <f t="shared" si="42"/>
        <v>8.6131205906147257E-2</v>
      </c>
      <c r="K45" s="53">
        <f t="shared" si="42"/>
        <v>0.38435362759652875</v>
      </c>
      <c r="L45" s="53">
        <f t="shared" si="42"/>
        <v>7.9026394815868511E-2</v>
      </c>
      <c r="M45" s="53">
        <f t="shared" si="42"/>
        <v>81.708793621608081</v>
      </c>
      <c r="N45" s="54">
        <f t="shared" si="42"/>
        <v>7.8950036611476468E-2</v>
      </c>
    </row>
    <row r="46" spans="1:14" x14ac:dyDescent="0.25">
      <c r="A46" s="55" t="s">
        <v>303</v>
      </c>
      <c r="B46" s="50">
        <v>1</v>
      </c>
      <c r="C46" s="56">
        <f>IFERROR(C10/$B46,0)</f>
        <v>55.934863851045449</v>
      </c>
      <c r="D46" s="56">
        <f>IFERROR(D10/$B46,0)</f>
        <v>107424.09306001532</v>
      </c>
      <c r="E46" s="56">
        <f>IFERROR(E10/$B46,0)</f>
        <v>352.47211175347894</v>
      </c>
      <c r="F46" s="56">
        <f t="shared" si="31"/>
        <v>48.252417372979295</v>
      </c>
      <c r="G46" s="56">
        <f t="shared" ref="G46:M46" si="43">IFERROR(G10/$B46,0)</f>
        <v>352.47211175347894</v>
      </c>
      <c r="H46" s="56">
        <f t="shared" si="43"/>
        <v>1011.6462916225458</v>
      </c>
      <c r="I46" s="56">
        <f t="shared" si="43"/>
        <v>459.02893408423876</v>
      </c>
      <c r="J46" s="56">
        <f t="shared" si="43"/>
        <v>359.30885530042144</v>
      </c>
      <c r="K46" s="56">
        <f t="shared" si="43"/>
        <v>351.72849970336614</v>
      </c>
      <c r="L46" s="56">
        <f t="shared" si="43"/>
        <v>7.9026394815868511E-2</v>
      </c>
      <c r="M46" s="56">
        <f t="shared" si="43"/>
        <v>119941.94881970904</v>
      </c>
      <c r="N46" s="56">
        <f t="shared" ref="N46:N47" si="44">IFERROR(IF(AND(L46&lt;&gt;0,M46&lt;&gt;0),1/((1/L46)+(1/M46)),IF(AND(L46&lt;&gt;0,M46=0),1/((1/L46)),IF(AND(L46=0,M46&lt;&gt;0),1/((1/M46)),IF(AND(L46=0,M46=0),0)))),0)</f>
        <v>7.9026342747621964E-2</v>
      </c>
    </row>
    <row r="47" spans="1:14" x14ac:dyDescent="0.25">
      <c r="A47" s="55" t="s">
        <v>304</v>
      </c>
      <c r="B47" s="58">
        <v>0.94399</v>
      </c>
      <c r="C47" s="56">
        <f>IFERROR(C6/$B$47,0)</f>
        <v>0</v>
      </c>
      <c r="D47" s="56">
        <f>IFERROR(D6/$B$47,0)</f>
        <v>0</v>
      </c>
      <c r="E47" s="56">
        <f>IFERROR(E6/$B$47,0)</f>
        <v>7.6787525318937858E-2</v>
      </c>
      <c r="F47" s="56">
        <f t="shared" si="31"/>
        <v>7.6787525318937858E-2</v>
      </c>
      <c r="G47" s="56">
        <f t="shared" ref="G47:M47" si="45">IFERROR(G6/$B$47,0)</f>
        <v>7.6787525318937858E-2</v>
      </c>
      <c r="H47" s="56">
        <f t="shared" si="45"/>
        <v>0.37673060630024974</v>
      </c>
      <c r="I47" s="56">
        <f t="shared" si="45"/>
        <v>0.13359403043385557</v>
      </c>
      <c r="J47" s="56">
        <f t="shared" si="45"/>
        <v>8.6151857674905893E-2</v>
      </c>
      <c r="K47" s="56">
        <f t="shared" si="45"/>
        <v>0.38477409201210705</v>
      </c>
      <c r="L47" s="56">
        <f t="shared" si="45"/>
        <v>0</v>
      </c>
      <c r="M47" s="56">
        <f t="shared" si="45"/>
        <v>81.764494552572728</v>
      </c>
      <c r="N47" s="56">
        <f t="shared" si="44"/>
        <v>81.764494552572728</v>
      </c>
    </row>
    <row r="48" spans="1:14" x14ac:dyDescent="0.25">
      <c r="A48" s="52" t="s">
        <v>33</v>
      </c>
      <c r="B48" s="52" t="s">
        <v>289</v>
      </c>
      <c r="C48" s="53">
        <f>1/SUM(1/C49,1/C52,1/C54,1/C58,1/C59,1/C61)</f>
        <v>0.76180962193890756</v>
      </c>
      <c r="D48" s="53">
        <f>1/SUM(1/D49,1/D50,1/D51,1/D52,1/D54,1/D58,1/D59,1/D61)</f>
        <v>204.2963920853465</v>
      </c>
      <c r="E48" s="53">
        <f>1/SUM(1/E49,1/E50,1/E51,1/E52,1/E53,1/E54,1/E55,1/E56,1/E57,1/E58,1/E59,1/E60,1/E61,1/E62)</f>
        <v>2.3252013234957857E-2</v>
      </c>
      <c r="F48" s="54">
        <f>1/SUM(1/F49,1/F50,1/F51,1/F52,1/F53,1/F54,1/F55,1/F56,1/F57,1/F58,1/F59,1/F60,1/F61,1/F62)</f>
        <v>2.2560841685177448E-2</v>
      </c>
      <c r="G48" s="53">
        <f t="shared" ref="G48:N48" si="46">1/SUM(1/G49,1/G50,1/G51,1/G52,1/G53,1/G54,1/G55,1/G56,1/G57,1/G58,1/G59,1/G60,1/G61,1/G62)</f>
        <v>2.3252013234957857E-2</v>
      </c>
      <c r="H48" s="53">
        <f t="shared" si="46"/>
        <v>0.12465516313744524</v>
      </c>
      <c r="I48" s="53">
        <f t="shared" si="46"/>
        <v>4.3606289802349797E-2</v>
      </c>
      <c r="J48" s="53">
        <f t="shared" si="46"/>
        <v>2.7398876954684431E-2</v>
      </c>
      <c r="K48" s="53">
        <f t="shared" si="46"/>
        <v>0.12797832121566599</v>
      </c>
      <c r="L48" s="53">
        <f>1/SUM(1/L49,1/L50,1/L51,1/L52,1/L54,1/L58,1/L59,1/L61)</f>
        <v>1.5029037602741819E-4</v>
      </c>
      <c r="M48" s="53">
        <f t="shared" si="46"/>
        <v>25.111801248980694</v>
      </c>
      <c r="N48" s="54">
        <f t="shared" si="46"/>
        <v>1.5028947656737062E-4</v>
      </c>
    </row>
    <row r="49" spans="1:14" x14ac:dyDescent="0.25">
      <c r="A49" s="55" t="s">
        <v>305</v>
      </c>
      <c r="B49" s="50">
        <v>1</v>
      </c>
      <c r="C49" s="56">
        <f>IFERROR(C23/$B49,0)</f>
        <v>6.0361869407095536</v>
      </c>
      <c r="D49" s="56">
        <f>IFERROR(D23/$B49,0)</f>
        <v>429.13172523317553</v>
      </c>
      <c r="E49" s="56">
        <f>IFERROR(E23/$B49,0)</f>
        <v>7.7906219093175482</v>
      </c>
      <c r="F49" s="56">
        <f t="shared" si="31"/>
        <v>3.3743059095107175</v>
      </c>
      <c r="G49" s="56">
        <f t="shared" ref="G49:M49" si="47">IFERROR(G23/$B49,0)</f>
        <v>7.7906219093175482</v>
      </c>
      <c r="H49" s="56">
        <f t="shared" si="47"/>
        <v>30.737335704165851</v>
      </c>
      <c r="I49" s="56">
        <f t="shared" si="47"/>
        <v>11.242030266985541</v>
      </c>
      <c r="J49" s="56">
        <f t="shared" si="47"/>
        <v>8.0153513874709414</v>
      </c>
      <c r="K49" s="56">
        <f t="shared" si="47"/>
        <v>31.162487637270193</v>
      </c>
      <c r="L49" s="56">
        <f t="shared" si="47"/>
        <v>3.1569019742475724E-4</v>
      </c>
      <c r="M49" s="56">
        <f t="shared" si="47"/>
        <v>6832.7585598112928</v>
      </c>
      <c r="N49" s="56">
        <f t="shared" ref="N49:N62" si="48">IFERROR(IF(AND(L49&lt;&gt;0,M49&lt;&gt;0),1/((1/L49)+(1/M49)),IF(AND(L49&lt;&gt;0,M49=0),1/((1/L49)),IF(AND(L49=0,M49&lt;&gt;0),1/((1/M49)),IF(AND(L49=0,M49=0),0)))),0)</f>
        <v>3.1569018283909682E-4</v>
      </c>
    </row>
    <row r="50" spans="1:14" x14ac:dyDescent="0.25">
      <c r="A50" s="55" t="s">
        <v>306</v>
      </c>
      <c r="B50" s="50">
        <v>1</v>
      </c>
      <c r="C50" s="56">
        <f>IFERROR(C25/$B50,0)</f>
        <v>0</v>
      </c>
      <c r="D50" s="56">
        <f>IFERROR(D25/$B50,0)</f>
        <v>5299588.5909607559</v>
      </c>
      <c r="E50" s="56">
        <f>IFERROR(E25/$B50,0)</f>
        <v>114.97883369613488</v>
      </c>
      <c r="F50" s="56">
        <f t="shared" si="31"/>
        <v>114.97633919205101</v>
      </c>
      <c r="G50" s="56">
        <f t="shared" ref="G50:M50" si="49">IFERROR(G25/$B50,0)</f>
        <v>114.97883369613488</v>
      </c>
      <c r="H50" s="56">
        <f t="shared" si="49"/>
        <v>545.54747663414776</v>
      </c>
      <c r="I50" s="56">
        <f t="shared" si="49"/>
        <v>193.32016333417852</v>
      </c>
      <c r="J50" s="56">
        <f t="shared" si="49"/>
        <v>126.30250671166331</v>
      </c>
      <c r="K50" s="56">
        <f t="shared" si="49"/>
        <v>555.73102953131854</v>
      </c>
      <c r="L50" s="56">
        <f t="shared" si="49"/>
        <v>3.8986354775828467</v>
      </c>
      <c r="M50" s="56">
        <f t="shared" si="49"/>
        <v>119941.94881970904</v>
      </c>
      <c r="N50" s="56">
        <f t="shared" si="48"/>
        <v>3.8985087590768748</v>
      </c>
    </row>
    <row r="51" spans="1:14" x14ac:dyDescent="0.25">
      <c r="A51" s="55" t="s">
        <v>307</v>
      </c>
      <c r="B51" s="50">
        <v>1</v>
      </c>
      <c r="C51" s="56">
        <f>IFERROR(C21/$B51,0)</f>
        <v>0</v>
      </c>
      <c r="D51" s="56">
        <f>IFERROR(D21/$B51,0)</f>
        <v>869285.03506406629</v>
      </c>
      <c r="E51" s="56">
        <f>IFERROR(E21/$B51,0)</f>
        <v>31611548.892566469</v>
      </c>
      <c r="F51" s="56">
        <f t="shared" si="31"/>
        <v>846020.3469138178</v>
      </c>
      <c r="G51" s="56">
        <f t="shared" ref="G51:M51" si="50">IFERROR(G21/$B51,0)</f>
        <v>31611548.892566469</v>
      </c>
      <c r="H51" s="56">
        <f t="shared" si="50"/>
        <v>68507276.81599094</v>
      </c>
      <c r="I51" s="56">
        <f t="shared" si="50"/>
        <v>36180405.568445213</v>
      </c>
      <c r="J51" s="56">
        <f t="shared" si="50"/>
        <v>31719807.621650603</v>
      </c>
      <c r="K51" s="56">
        <f t="shared" si="50"/>
        <v>40802571.918599017</v>
      </c>
      <c r="L51" s="56">
        <f t="shared" si="50"/>
        <v>0.63948840927258188</v>
      </c>
      <c r="M51" s="56">
        <f t="shared" si="50"/>
        <v>4932523930.7513466</v>
      </c>
      <c r="N51" s="56">
        <f t="shared" si="48"/>
        <v>0.63948840918967387</v>
      </c>
    </row>
    <row r="52" spans="1:14" x14ac:dyDescent="0.25">
      <c r="A52" s="55" t="s">
        <v>308</v>
      </c>
      <c r="B52" s="58">
        <v>0.99980000000000002</v>
      </c>
      <c r="C52" s="56">
        <f>IFERROR(C17/$B52,0)</f>
        <v>8063.365701336249</v>
      </c>
      <c r="D52" s="56">
        <f>IFERROR(D17/$B52,0)</f>
        <v>155540.27134114754</v>
      </c>
      <c r="E52" s="56">
        <f>IFERROR(E17/$B52,0)</f>
        <v>0.19594907096506911</v>
      </c>
      <c r="F52" s="56">
        <f t="shared" si="31"/>
        <v>0.19594406244911441</v>
      </c>
      <c r="G52" s="56">
        <f t="shared" ref="G52:M52" si="51">IFERROR(G17/$B52,0)</f>
        <v>0.19594907096506911</v>
      </c>
      <c r="H52" s="56">
        <f t="shared" si="51"/>
        <v>0.86132571999624918</v>
      </c>
      <c r="I52" s="56">
        <f t="shared" si="51"/>
        <v>0.30925938314405382</v>
      </c>
      <c r="J52" s="56">
        <f t="shared" si="51"/>
        <v>0.20922541956245144</v>
      </c>
      <c r="K52" s="56">
        <f t="shared" si="51"/>
        <v>0.87305057272918229</v>
      </c>
      <c r="L52" s="56">
        <f t="shared" si="51"/>
        <v>0.11442299899991436</v>
      </c>
      <c r="M52" s="56">
        <f t="shared" si="51"/>
        <v>191.01106459481534</v>
      </c>
      <c r="N52" s="56">
        <f t="shared" si="48"/>
        <v>0.1143544962436103</v>
      </c>
    </row>
    <row r="53" spans="1:14" x14ac:dyDescent="0.25">
      <c r="A53" s="55" t="s">
        <v>309</v>
      </c>
      <c r="B53" s="50">
        <v>2.0000000000000001E-4</v>
      </c>
      <c r="C53" s="56">
        <f>IFERROR(C5/$B53,0)</f>
        <v>0</v>
      </c>
      <c r="D53" s="56">
        <f>IFERROR(D5/$B53,0)</f>
        <v>0</v>
      </c>
      <c r="E53" s="56">
        <f>IFERROR(E5/$B53,0)</f>
        <v>39413548.193710521</v>
      </c>
      <c r="F53" s="56">
        <f t="shared" si="31"/>
        <v>39413548.193710521</v>
      </c>
      <c r="G53" s="56">
        <f t="shared" ref="G53:M53" si="52">IFERROR(G5/$B53,0)</f>
        <v>39413548.193710521</v>
      </c>
      <c r="H53" s="56">
        <f t="shared" si="52"/>
        <v>128927948.57352413</v>
      </c>
      <c r="I53" s="56">
        <f t="shared" si="52"/>
        <v>58658542.276896611</v>
      </c>
      <c r="J53" s="56">
        <f t="shared" si="52"/>
        <v>42293076.828867465</v>
      </c>
      <c r="K53" s="56">
        <f t="shared" si="52"/>
        <v>54164817.693110973</v>
      </c>
      <c r="L53" s="56">
        <f t="shared" si="52"/>
        <v>0</v>
      </c>
      <c r="M53" s="56">
        <f t="shared" si="52"/>
        <v>31575626677.915821</v>
      </c>
      <c r="N53" s="56">
        <f t="shared" si="48"/>
        <v>31575626677.915825</v>
      </c>
    </row>
    <row r="54" spans="1:14" x14ac:dyDescent="0.25">
      <c r="A54" s="55" t="s">
        <v>310</v>
      </c>
      <c r="B54" s="50">
        <v>0.99999979999999999</v>
      </c>
      <c r="C54" s="56">
        <f>IFERROR(C9/$B54,0)</f>
        <v>12072.376295894366</v>
      </c>
      <c r="D54" s="56">
        <f>IFERROR(D9/$B54,0)</f>
        <v>195518.84148872821</v>
      </c>
      <c r="E54" s="56">
        <f>IFERROR(E9/$B54,0)</f>
        <v>2.6505459809739906E-2</v>
      </c>
      <c r="F54" s="56">
        <f t="shared" si="31"/>
        <v>2.6505398022716953E-2</v>
      </c>
      <c r="G54" s="56">
        <f t="shared" ref="G54:M54" si="53">IFERROR(G9/$B54,0)</f>
        <v>2.6505459809739906E-2</v>
      </c>
      <c r="H54" s="56">
        <f t="shared" si="53"/>
        <v>0.14675998433385914</v>
      </c>
      <c r="I54" s="56">
        <f t="shared" si="53"/>
        <v>5.1078229841686272E-2</v>
      </c>
      <c r="J54" s="56">
        <f t="shared" si="53"/>
        <v>3.1695692434080609E-2</v>
      </c>
      <c r="K54" s="56">
        <f t="shared" si="53"/>
        <v>0.15156303836660362</v>
      </c>
      <c r="L54" s="56">
        <f t="shared" si="53"/>
        <v>0.14383318230852787</v>
      </c>
      <c r="M54" s="56">
        <f t="shared" si="53"/>
        <v>29.095871239662127</v>
      </c>
      <c r="N54" s="56">
        <f t="shared" si="48"/>
        <v>0.14312565175232109</v>
      </c>
    </row>
    <row r="55" spans="1:14" x14ac:dyDescent="0.25">
      <c r="A55" s="55" t="s">
        <v>311</v>
      </c>
      <c r="B55" s="50">
        <v>1.9999999999999999E-7</v>
      </c>
      <c r="C55" s="56">
        <f>IFERROR(C24/$B55,0)</f>
        <v>0</v>
      </c>
      <c r="D55" s="56">
        <f>IFERROR(D24/$B55,0)</f>
        <v>0</v>
      </c>
      <c r="E55" s="56">
        <f>IFERROR(E24/$B55,0)</f>
        <v>287447084.24033725</v>
      </c>
      <c r="F55" s="56">
        <f t="shared" si="31"/>
        <v>287447084.24033725</v>
      </c>
      <c r="G55" s="56">
        <f t="shared" ref="G55:M55" si="54">IFERROR(G24/$B55,0)</f>
        <v>287447084.24033725</v>
      </c>
      <c r="H55" s="56">
        <f t="shared" si="54"/>
        <v>1396777051.435955</v>
      </c>
      <c r="I55" s="56">
        <f t="shared" si="54"/>
        <v>496188419.22439152</v>
      </c>
      <c r="J55" s="56">
        <f t="shared" si="54"/>
        <v>320614055.49883765</v>
      </c>
      <c r="K55" s="56">
        <f t="shared" si="54"/>
        <v>1429839698.6226034</v>
      </c>
      <c r="L55" s="56">
        <f t="shared" si="54"/>
        <v>0</v>
      </c>
      <c r="M55" s="56">
        <f t="shared" si="54"/>
        <v>305346719522.70251</v>
      </c>
      <c r="N55" s="56">
        <f t="shared" si="48"/>
        <v>305346719522.70251</v>
      </c>
    </row>
    <row r="56" spans="1:14" x14ac:dyDescent="0.25">
      <c r="A56" s="55" t="s">
        <v>312</v>
      </c>
      <c r="B56" s="50">
        <v>0.99979000004200003</v>
      </c>
      <c r="C56" s="56">
        <f>IFERROR(C20/$B56,0)</f>
        <v>0</v>
      </c>
      <c r="D56" s="56">
        <f>IFERROR(D20/$B56,0)</f>
        <v>0</v>
      </c>
      <c r="E56" s="56">
        <f>IFERROR(E20/$B56,0)</f>
        <v>505.31614321550524</v>
      </c>
      <c r="F56" s="56">
        <f t="shared" si="31"/>
        <v>505.31614321550524</v>
      </c>
      <c r="G56" s="56">
        <f t="shared" ref="G56:M56" si="55">IFERROR(G20/$B56,0)</f>
        <v>505.31614321550524</v>
      </c>
      <c r="H56" s="56">
        <f t="shared" si="55"/>
        <v>2554.4474151519103</v>
      </c>
      <c r="I56" s="56">
        <f t="shared" si="55"/>
        <v>906.27351772346037</v>
      </c>
      <c r="J56" s="56">
        <f t="shared" si="55"/>
        <v>577.00459259901982</v>
      </c>
      <c r="K56" s="56">
        <f t="shared" si="55"/>
        <v>2621.9233846087532</v>
      </c>
      <c r="L56" s="56">
        <f t="shared" si="55"/>
        <v>0</v>
      </c>
      <c r="M56" s="56">
        <f t="shared" si="55"/>
        <v>544948.78189907421</v>
      </c>
      <c r="N56" s="56">
        <f t="shared" si="48"/>
        <v>544948.78189907421</v>
      </c>
    </row>
    <row r="57" spans="1:14" x14ac:dyDescent="0.25">
      <c r="A57" s="55" t="s">
        <v>313</v>
      </c>
      <c r="B57" s="50">
        <v>2.0999995799999999E-4</v>
      </c>
      <c r="C57" s="56">
        <f>IFERROR(C29/$B57,0)</f>
        <v>0</v>
      </c>
      <c r="D57" s="56">
        <f>IFERROR(D29/$B57,0)</f>
        <v>0</v>
      </c>
      <c r="E57" s="56">
        <f>IFERROR(E29/$B57,0)</f>
        <v>69.034924307769771</v>
      </c>
      <c r="F57" s="56">
        <f t="shared" si="31"/>
        <v>69.034924307769771</v>
      </c>
      <c r="G57" s="56">
        <f t="shared" ref="G57:M57" si="56">IFERROR(G29/$B57,0)</f>
        <v>69.034924307769771</v>
      </c>
      <c r="H57" s="56">
        <f t="shared" si="56"/>
        <v>373.07407403165053</v>
      </c>
      <c r="I57" s="56">
        <f t="shared" si="56"/>
        <v>130.23320694543185</v>
      </c>
      <c r="J57" s="56">
        <f t="shared" si="56"/>
        <v>81.593178781022843</v>
      </c>
      <c r="K57" s="56">
        <f t="shared" si="56"/>
        <v>385.38914055308368</v>
      </c>
      <c r="L57" s="56">
        <f t="shared" si="56"/>
        <v>0</v>
      </c>
      <c r="M57" s="56">
        <f t="shared" si="56"/>
        <v>74896.380145221934</v>
      </c>
      <c r="N57" s="56">
        <f t="shared" si="48"/>
        <v>74896.380145221934</v>
      </c>
    </row>
    <row r="58" spans="1:14" x14ac:dyDescent="0.25">
      <c r="A58" s="55" t="s">
        <v>314</v>
      </c>
      <c r="B58" s="50">
        <v>1</v>
      </c>
      <c r="C58" s="56">
        <f>IFERROR(C16/$B58,0)</f>
        <v>2.9659288918548175</v>
      </c>
      <c r="D58" s="56">
        <f>IFERROR(D16/$B58,0)</f>
        <v>761.23366643926954</v>
      </c>
      <c r="E58" s="56">
        <f>IFERROR(E16/$B58,0)</f>
        <v>131.27504634598077</v>
      </c>
      <c r="F58" s="56">
        <f t="shared" si="31"/>
        <v>2.889390510464112</v>
      </c>
      <c r="G58" s="56">
        <f t="shared" ref="G58:M58" si="57">IFERROR(G16/$B58,0)</f>
        <v>131.27504634598077</v>
      </c>
      <c r="H58" s="56">
        <f t="shared" si="57"/>
        <v>204.3128785041612</v>
      </c>
      <c r="I58" s="56">
        <f t="shared" si="57"/>
        <v>132.73830323200283</v>
      </c>
      <c r="J58" s="56">
        <f t="shared" si="57"/>
        <v>131.27504634598077</v>
      </c>
      <c r="K58" s="56">
        <f t="shared" si="57"/>
        <v>113.41449582271808</v>
      </c>
      <c r="L58" s="56">
        <f t="shared" si="57"/>
        <v>5.6000056000056009E-4</v>
      </c>
      <c r="M58" s="56">
        <f t="shared" si="57"/>
        <v>49471.605002788005</v>
      </c>
      <c r="N58" s="56">
        <f t="shared" si="48"/>
        <v>5.6000055366155774E-4</v>
      </c>
    </row>
    <row r="59" spans="1:14" x14ac:dyDescent="0.25">
      <c r="A59" s="55" t="s">
        <v>315</v>
      </c>
      <c r="B59" s="50">
        <v>1</v>
      </c>
      <c r="C59" s="56">
        <f>IFERROR(C7/$B59,0)</f>
        <v>475.72324800047568</v>
      </c>
      <c r="D59" s="56">
        <f>IFERROR(D7/$B59,0)</f>
        <v>26550.344951418418</v>
      </c>
      <c r="E59" s="56">
        <f>IFERROR(E7/$B59,0)</f>
        <v>70.345699940673228</v>
      </c>
      <c r="F59" s="56">
        <f t="shared" si="31"/>
        <v>61.142496035272117</v>
      </c>
      <c r="G59" s="56">
        <f t="shared" ref="G59:M59" si="58">IFERROR(G7/$B59,0)</f>
        <v>70.345699940673228</v>
      </c>
      <c r="H59" s="56">
        <f t="shared" si="58"/>
        <v>203.9130489963253</v>
      </c>
      <c r="I59" s="56">
        <f t="shared" si="58"/>
        <v>94.726880033747463</v>
      </c>
      <c r="J59" s="56">
        <f t="shared" si="58"/>
        <v>72.486656025824146</v>
      </c>
      <c r="K59" s="56">
        <f t="shared" si="58"/>
        <v>40.367871394526766</v>
      </c>
      <c r="L59" s="56">
        <f t="shared" si="58"/>
        <v>1.9531726848800019E-2</v>
      </c>
      <c r="M59" s="56">
        <f t="shared" si="58"/>
        <v>36803.37943916017</v>
      </c>
      <c r="N59" s="56">
        <f t="shared" si="48"/>
        <v>1.9531716483226068E-2</v>
      </c>
    </row>
    <row r="60" spans="1:14" x14ac:dyDescent="0.25">
      <c r="A60" s="55" t="s">
        <v>316</v>
      </c>
      <c r="B60" s="59">
        <v>1.9000000000000001E-8</v>
      </c>
      <c r="C60" s="56">
        <f>IFERROR(C12/$B60,0)</f>
        <v>0</v>
      </c>
      <c r="D60" s="56">
        <f>IFERROR(D12/$B60,0)</f>
        <v>0</v>
      </c>
      <c r="E60" s="56">
        <f>IFERROR(E12/$B60,0)</f>
        <v>21194928.662521679</v>
      </c>
      <c r="F60" s="56">
        <f t="shared" si="31"/>
        <v>21194928.662521679</v>
      </c>
      <c r="G60" s="56">
        <f t="shared" ref="G60:M60" si="59">IFERROR(G12/$B60,0)</f>
        <v>21194928.662521679</v>
      </c>
      <c r="H60" s="56">
        <f t="shared" si="59"/>
        <v>93268499.854208946</v>
      </c>
      <c r="I60" s="56">
        <f t="shared" si="59"/>
        <v>33440169.459923688</v>
      </c>
      <c r="J60" s="56">
        <f t="shared" si="59"/>
        <v>22673644.615720864</v>
      </c>
      <c r="K60" s="56">
        <f t="shared" si="59"/>
        <v>91689660.044764623</v>
      </c>
      <c r="L60" s="56">
        <f t="shared" si="59"/>
        <v>0</v>
      </c>
      <c r="M60" s="56">
        <f t="shared" si="59"/>
        <v>20646354038.315239</v>
      </c>
      <c r="N60" s="56">
        <f t="shared" si="48"/>
        <v>20646354038.315239</v>
      </c>
    </row>
    <row r="61" spans="1:14" x14ac:dyDescent="0.25">
      <c r="A61" s="55" t="s">
        <v>317</v>
      </c>
      <c r="B61" s="50">
        <v>1</v>
      </c>
      <c r="C61" s="56">
        <f>IFERROR(C18/$B61,0)</f>
        <v>1.2383517538156712</v>
      </c>
      <c r="D61" s="56">
        <f>IFERROR(D18/$B61,0)</f>
        <v>833.08480332256772</v>
      </c>
      <c r="E61" s="56">
        <f>IFERROR(E18/$B61,0)</f>
        <v>4319.1530792589529</v>
      </c>
      <c r="F61" s="56">
        <f t="shared" si="31"/>
        <v>1.2361598234882729</v>
      </c>
      <c r="G61" s="56">
        <f t="shared" ref="G61:M61" si="60">IFERROR(G18/$B61,0)</f>
        <v>4319.1530792589529</v>
      </c>
      <c r="H61" s="56">
        <f t="shared" si="60"/>
        <v>21753.563264534911</v>
      </c>
      <c r="I61" s="56">
        <f t="shared" si="60"/>
        <v>7661.7329439060477</v>
      </c>
      <c r="J61" s="56">
        <f t="shared" si="60"/>
        <v>4917.9737126665359</v>
      </c>
      <c r="K61" s="56">
        <f t="shared" si="60"/>
        <v>22378.430719381951</v>
      </c>
      <c r="L61" s="56">
        <f t="shared" si="60"/>
        <v>6.128577557148985E-4</v>
      </c>
      <c r="M61" s="56">
        <f t="shared" si="60"/>
        <v>4656963.9346199874</v>
      </c>
      <c r="N61" s="56">
        <f t="shared" si="48"/>
        <v>6.1285775563424622E-4</v>
      </c>
    </row>
    <row r="62" spans="1:14" x14ac:dyDescent="0.25">
      <c r="A62" s="55" t="s">
        <v>318</v>
      </c>
      <c r="B62" s="50">
        <v>1.339E-6</v>
      </c>
      <c r="C62" s="56">
        <f>IFERROR(C27/$B62,0)</f>
        <v>0</v>
      </c>
      <c r="D62" s="56">
        <f>IFERROR(D27/$B62,0)</f>
        <v>0</v>
      </c>
      <c r="E62" s="56">
        <f>IFERROR(E27/$B62,0)</f>
        <v>23806943.176880032</v>
      </c>
      <c r="F62" s="56">
        <f t="shared" ref="F62" si="61">IFERROR(SUM(C62:E62),0)</f>
        <v>23806943.176880032</v>
      </c>
      <c r="G62" s="56">
        <f t="shared" ref="G62:M62" si="62">IFERROR(G27/$B62,0)</f>
        <v>23806943.176880032</v>
      </c>
      <c r="H62" s="56">
        <f t="shared" si="62"/>
        <v>70107158.116600558</v>
      </c>
      <c r="I62" s="56">
        <f t="shared" si="62"/>
        <v>32974129.453146864</v>
      </c>
      <c r="J62" s="56">
        <f t="shared" si="62"/>
        <v>24802851.158382986</v>
      </c>
      <c r="K62" s="56">
        <f t="shared" si="62"/>
        <v>16963257.876714244</v>
      </c>
      <c r="L62" s="56">
        <f t="shared" si="62"/>
        <v>0</v>
      </c>
      <c r="M62" s="56">
        <f t="shared" si="62"/>
        <v>15467119604.358084</v>
      </c>
      <c r="N62" s="56">
        <f t="shared" si="48"/>
        <v>15467119604.358086</v>
      </c>
    </row>
    <row r="63" spans="1:14" x14ac:dyDescent="0.25">
      <c r="A63" s="52" t="s">
        <v>35</v>
      </c>
      <c r="B63" s="52" t="s">
        <v>289</v>
      </c>
      <c r="C63" s="53">
        <f>1/SUM(1/C66,1/C68,1/C72,1/C73,1/C75)</f>
        <v>0.87184230731644319</v>
      </c>
      <c r="D63" s="53">
        <f>1/SUM(1/D64,1/D65,1/D66,1/D68,1/D72,1/D73,1/D75)</f>
        <v>389.93009669372128</v>
      </c>
      <c r="E63" s="53">
        <f>1/SUM(1/E64,1/E65,1/E66,1/E67,1/E68,1/E69,1/E70,1/E71,1/E72,1/E73,1/E74,1/E75,1/E76)</f>
        <v>2.3321619308405105E-2</v>
      </c>
      <c r="F63" s="54">
        <f>1/SUM(1/F64,1/F65,1/F66,1/F67,1/F68,1/F69,1/F70,1/F71,1/F72,1/F73,1/F74,1/F75,1/F76)</f>
        <v>2.271270036393843E-2</v>
      </c>
      <c r="G63" s="53">
        <f t="shared" ref="G63:N63" si="63">1/SUM(1/G64,1/G65,1/G66,1/G67,1/G68,1/G69,1/G70,1/G71,1/G72,1/G73,1/G74,1/G75,1/G76)</f>
        <v>2.3321619308405105E-2</v>
      </c>
      <c r="H63" s="53">
        <f t="shared" si="63"/>
        <v>0.12516276029725606</v>
      </c>
      <c r="I63" s="53">
        <f t="shared" si="63"/>
        <v>4.3776091241748839E-2</v>
      </c>
      <c r="J63" s="53">
        <f t="shared" si="63"/>
        <v>2.7492855788107593E-2</v>
      </c>
      <c r="K63" s="53">
        <f t="shared" si="63"/>
        <v>0.12850607084219889</v>
      </c>
      <c r="L63" s="53">
        <f>1/SUM(1/L64,1/L65,1/L66,1/L68,1/L72,1/L73,1/L75)</f>
        <v>2.8685157020308567E-4</v>
      </c>
      <c r="M63" s="53">
        <f t="shared" si="63"/>
        <v>25.204432753571492</v>
      </c>
      <c r="N63" s="54">
        <f t="shared" si="63"/>
        <v>2.8684830558341862E-4</v>
      </c>
    </row>
    <row r="64" spans="1:14" x14ac:dyDescent="0.25">
      <c r="A64" s="55" t="s">
        <v>306</v>
      </c>
      <c r="B64" s="60">
        <v>1</v>
      </c>
      <c r="C64" s="56">
        <f>IFERROR(C25/$B50,0)</f>
        <v>0</v>
      </c>
      <c r="D64" s="56">
        <f>IFERROR(D25/$B50,0)</f>
        <v>5299588.5909607559</v>
      </c>
      <c r="E64" s="56">
        <f>IFERROR(E25/$B50,0)</f>
        <v>114.97883369613488</v>
      </c>
      <c r="F64" s="56">
        <f t="shared" ref="F64:F76" si="64">IF(AND(C64&lt;&gt;0,D64&lt;&gt;0,E64&lt;&gt;0),1/((1/C64)+(1/D64)+(1/E64)),IF(AND(C64&lt;&gt;0,D64&lt;&gt;0,E64=0), 1/((1/C64)+(1/D64)),IF(AND(C64&lt;&gt;0,D64=0,E64&lt;&gt;0),1/((1/C64)+(1/E64)),IF(AND(C64=0,D64&lt;&gt;0,E64&lt;&gt;0),1/((1/D64)+(1/E64)),IF(AND(C64&lt;&gt;0,D64=0,E64=0),1/((1/C64)),IF(AND(C64=0,D64&lt;&gt;0,E64=0),1/((1/D64)),IF(AND(C64=0,D64=0,E64&lt;&gt;0),1/((1/E64)),IF(AND(C64=0,D64=0,E64=0),0))))))))</f>
        <v>114.97633919205101</v>
      </c>
      <c r="G64" s="56">
        <f t="shared" ref="G64:M64" si="65">IFERROR(G25/$B50,0)</f>
        <v>114.97883369613488</v>
      </c>
      <c r="H64" s="56">
        <f t="shared" si="65"/>
        <v>545.54747663414776</v>
      </c>
      <c r="I64" s="56">
        <f t="shared" si="65"/>
        <v>193.32016333417852</v>
      </c>
      <c r="J64" s="56">
        <f t="shared" si="65"/>
        <v>126.30250671166331</v>
      </c>
      <c r="K64" s="56">
        <f t="shared" si="65"/>
        <v>555.73102953131854</v>
      </c>
      <c r="L64" s="56">
        <f t="shared" si="65"/>
        <v>3.8986354775828467</v>
      </c>
      <c r="M64" s="56">
        <f t="shared" si="65"/>
        <v>119941.94881970904</v>
      </c>
      <c r="N64" s="56">
        <f t="shared" ref="N64:N76" si="66">IFERROR(IF(AND(L64&lt;&gt;0,M64&lt;&gt;0),1/((1/L64)+(1/M64)),IF(AND(L64&lt;&gt;0,M64=0),1/((1/L64)),IF(AND(L64=0,M64&lt;&gt;0),1/((1/M64)),IF(AND(L64=0,M64=0),0)))),0)</f>
        <v>3.8985087590768748</v>
      </c>
    </row>
    <row r="65" spans="1:14" x14ac:dyDescent="0.25">
      <c r="A65" s="55" t="s">
        <v>307</v>
      </c>
      <c r="B65" s="60">
        <v>1</v>
      </c>
      <c r="C65" s="56">
        <f>IFERROR(C21/$B51,0)</f>
        <v>0</v>
      </c>
      <c r="D65" s="56">
        <f>IFERROR(D21/$B51,0)</f>
        <v>869285.03506406629</v>
      </c>
      <c r="E65" s="56">
        <f>IFERROR(E21/$B51,0)</f>
        <v>31611548.892566469</v>
      </c>
      <c r="F65" s="56">
        <f t="shared" si="64"/>
        <v>846020.3469138178</v>
      </c>
      <c r="G65" s="56">
        <f t="shared" ref="G65:M65" si="67">IFERROR(G21/$B51,0)</f>
        <v>31611548.892566469</v>
      </c>
      <c r="H65" s="56">
        <f t="shared" si="67"/>
        <v>68507276.81599094</v>
      </c>
      <c r="I65" s="56">
        <f t="shared" si="67"/>
        <v>36180405.568445213</v>
      </c>
      <c r="J65" s="56">
        <f t="shared" si="67"/>
        <v>31719807.621650603</v>
      </c>
      <c r="K65" s="56">
        <f t="shared" si="67"/>
        <v>40802571.918599017</v>
      </c>
      <c r="L65" s="56">
        <f t="shared" si="67"/>
        <v>0.63948840927258188</v>
      </c>
      <c r="M65" s="56">
        <f t="shared" si="67"/>
        <v>4932523930.7513466</v>
      </c>
      <c r="N65" s="56">
        <f t="shared" si="66"/>
        <v>0.63948840918967387</v>
      </c>
    </row>
    <row r="66" spans="1:14" x14ac:dyDescent="0.25">
      <c r="A66" s="55" t="s">
        <v>308</v>
      </c>
      <c r="B66" s="61">
        <v>0.99980000000000002</v>
      </c>
      <c r="C66" s="56">
        <f>IFERROR(C17/$B52,0)</f>
        <v>8063.365701336249</v>
      </c>
      <c r="D66" s="56">
        <f>IFERROR(D17/$B52,0)</f>
        <v>155540.27134114754</v>
      </c>
      <c r="E66" s="56">
        <f>IFERROR(E17/$B52,0)</f>
        <v>0.19594907096506911</v>
      </c>
      <c r="F66" s="56">
        <f t="shared" si="64"/>
        <v>0.19594406244911441</v>
      </c>
      <c r="G66" s="56">
        <f t="shared" ref="G66:M66" si="68">IFERROR(G17/$B52,0)</f>
        <v>0.19594907096506911</v>
      </c>
      <c r="H66" s="56">
        <f t="shared" si="68"/>
        <v>0.86132571999624918</v>
      </c>
      <c r="I66" s="56">
        <f t="shared" si="68"/>
        <v>0.30925938314405382</v>
      </c>
      <c r="J66" s="56">
        <f t="shared" si="68"/>
        <v>0.20922541956245144</v>
      </c>
      <c r="K66" s="56">
        <f t="shared" si="68"/>
        <v>0.87305057272918229</v>
      </c>
      <c r="L66" s="56">
        <f t="shared" si="68"/>
        <v>0.11442299899991436</v>
      </c>
      <c r="M66" s="56">
        <f t="shared" si="68"/>
        <v>191.01106459481534</v>
      </c>
      <c r="N66" s="56">
        <f t="shared" si="66"/>
        <v>0.1143544962436103</v>
      </c>
    </row>
    <row r="67" spans="1:14" x14ac:dyDescent="0.25">
      <c r="A67" s="55" t="s">
        <v>309</v>
      </c>
      <c r="B67" s="60">
        <v>2.0000000000000001E-4</v>
      </c>
      <c r="C67" s="56">
        <f>IFERROR(C5/$B53,0)</f>
        <v>0</v>
      </c>
      <c r="D67" s="56">
        <f>IFERROR(D5/$B53,0)</f>
        <v>0</v>
      </c>
      <c r="E67" s="56">
        <f>IFERROR(E5/$B53,0)</f>
        <v>39413548.193710521</v>
      </c>
      <c r="F67" s="56">
        <f t="shared" si="64"/>
        <v>39413548.193710521</v>
      </c>
      <c r="G67" s="56">
        <f t="shared" ref="G67:M67" si="69">IFERROR(G5/$B53,0)</f>
        <v>39413548.193710521</v>
      </c>
      <c r="H67" s="56">
        <f t="shared" si="69"/>
        <v>128927948.57352413</v>
      </c>
      <c r="I67" s="56">
        <f t="shared" si="69"/>
        <v>58658542.276896611</v>
      </c>
      <c r="J67" s="56">
        <f t="shared" si="69"/>
        <v>42293076.828867465</v>
      </c>
      <c r="K67" s="56">
        <f t="shared" si="69"/>
        <v>54164817.693110973</v>
      </c>
      <c r="L67" s="56">
        <f t="shared" si="69"/>
        <v>0</v>
      </c>
      <c r="M67" s="56">
        <f t="shared" si="69"/>
        <v>31575626677.915821</v>
      </c>
      <c r="N67" s="56">
        <f t="shared" si="66"/>
        <v>31575626677.915825</v>
      </c>
    </row>
    <row r="68" spans="1:14" x14ac:dyDescent="0.25">
      <c r="A68" s="55" t="s">
        <v>310</v>
      </c>
      <c r="B68" s="60">
        <v>0.99999979999999999</v>
      </c>
      <c r="C68" s="56">
        <f>IFERROR(C9/$B54,0)</f>
        <v>12072.376295894366</v>
      </c>
      <c r="D68" s="56">
        <f>IFERROR(D9/$B54,0)</f>
        <v>195518.84148872821</v>
      </c>
      <c r="E68" s="56">
        <f>IFERROR(E9/$B54,0)</f>
        <v>2.6505459809739906E-2</v>
      </c>
      <c r="F68" s="56">
        <f t="shared" si="64"/>
        <v>2.6505398022716953E-2</v>
      </c>
      <c r="G68" s="56">
        <f t="shared" ref="G68:M68" si="70">IFERROR(G9/$B54,0)</f>
        <v>2.6505459809739906E-2</v>
      </c>
      <c r="H68" s="56">
        <f t="shared" si="70"/>
        <v>0.14675998433385914</v>
      </c>
      <c r="I68" s="56">
        <f t="shared" si="70"/>
        <v>5.1078229841686272E-2</v>
      </c>
      <c r="J68" s="56">
        <f t="shared" si="70"/>
        <v>3.1695692434080609E-2</v>
      </c>
      <c r="K68" s="56">
        <f t="shared" si="70"/>
        <v>0.15156303836660362</v>
      </c>
      <c r="L68" s="56">
        <f t="shared" si="70"/>
        <v>0.14383318230852787</v>
      </c>
      <c r="M68" s="56">
        <f t="shared" si="70"/>
        <v>29.095871239662127</v>
      </c>
      <c r="N68" s="56">
        <f t="shared" si="66"/>
        <v>0.14312565175232109</v>
      </c>
    </row>
    <row r="69" spans="1:14" x14ac:dyDescent="0.25">
      <c r="A69" s="55" t="s">
        <v>311</v>
      </c>
      <c r="B69" s="60">
        <v>1.9999999999999999E-7</v>
      </c>
      <c r="C69" s="56">
        <f>IFERROR(C24/$B55,0)</f>
        <v>0</v>
      </c>
      <c r="D69" s="56">
        <f>IFERROR(D24/$B55,0)</f>
        <v>0</v>
      </c>
      <c r="E69" s="56">
        <f>IFERROR(E24/$B55,0)</f>
        <v>287447084.24033725</v>
      </c>
      <c r="F69" s="56">
        <f t="shared" si="64"/>
        <v>287447084.24033725</v>
      </c>
      <c r="G69" s="56">
        <f t="shared" ref="G69:M69" si="71">IFERROR(G24/$B55,0)</f>
        <v>287447084.24033725</v>
      </c>
      <c r="H69" s="56">
        <f t="shared" si="71"/>
        <v>1396777051.435955</v>
      </c>
      <c r="I69" s="56">
        <f t="shared" si="71"/>
        <v>496188419.22439152</v>
      </c>
      <c r="J69" s="56">
        <f t="shared" si="71"/>
        <v>320614055.49883765</v>
      </c>
      <c r="K69" s="56">
        <f t="shared" si="71"/>
        <v>1429839698.6226034</v>
      </c>
      <c r="L69" s="56">
        <f t="shared" si="71"/>
        <v>0</v>
      </c>
      <c r="M69" s="56">
        <f t="shared" si="71"/>
        <v>305346719522.70251</v>
      </c>
      <c r="N69" s="56">
        <f t="shared" si="66"/>
        <v>305346719522.70251</v>
      </c>
    </row>
    <row r="70" spans="1:14" x14ac:dyDescent="0.25">
      <c r="A70" s="55" t="s">
        <v>312</v>
      </c>
      <c r="B70" s="60">
        <v>0.99979000004200003</v>
      </c>
      <c r="C70" s="56">
        <f>IFERROR(C20/$B56,0)</f>
        <v>0</v>
      </c>
      <c r="D70" s="56">
        <f>IFERROR(D20/$B56,0)</f>
        <v>0</v>
      </c>
      <c r="E70" s="56">
        <f>IFERROR(E20/$B56,0)</f>
        <v>505.31614321550524</v>
      </c>
      <c r="F70" s="56">
        <f t="shared" si="64"/>
        <v>505.31614321550524</v>
      </c>
      <c r="G70" s="56">
        <f t="shared" ref="G70:M70" si="72">IFERROR(G20/$B56,0)</f>
        <v>505.31614321550524</v>
      </c>
      <c r="H70" s="56">
        <f t="shared" si="72"/>
        <v>2554.4474151519103</v>
      </c>
      <c r="I70" s="56">
        <f t="shared" si="72"/>
        <v>906.27351772346037</v>
      </c>
      <c r="J70" s="56">
        <f t="shared" si="72"/>
        <v>577.00459259901982</v>
      </c>
      <c r="K70" s="56">
        <f t="shared" si="72"/>
        <v>2621.9233846087532</v>
      </c>
      <c r="L70" s="56">
        <f t="shared" si="72"/>
        <v>0</v>
      </c>
      <c r="M70" s="56">
        <f t="shared" si="72"/>
        <v>544948.78189907421</v>
      </c>
      <c r="N70" s="56">
        <f t="shared" si="66"/>
        <v>544948.78189907421</v>
      </c>
    </row>
    <row r="71" spans="1:14" x14ac:dyDescent="0.25">
      <c r="A71" s="55" t="s">
        <v>313</v>
      </c>
      <c r="B71" s="60">
        <v>2.0999995799999999E-4</v>
      </c>
      <c r="C71" s="56">
        <f>IFERROR(C29/$B57,0)</f>
        <v>0</v>
      </c>
      <c r="D71" s="56">
        <f>IFERROR(D29/$B57,0)</f>
        <v>0</v>
      </c>
      <c r="E71" s="56">
        <f>IFERROR(E29/$B57,0)</f>
        <v>69.034924307769771</v>
      </c>
      <c r="F71" s="56">
        <f t="shared" si="64"/>
        <v>69.034924307769771</v>
      </c>
      <c r="G71" s="56">
        <f t="shared" ref="G71:M71" si="73">IFERROR(G29/$B57,0)</f>
        <v>69.034924307769771</v>
      </c>
      <c r="H71" s="56">
        <f t="shared" si="73"/>
        <v>373.07407403165053</v>
      </c>
      <c r="I71" s="56">
        <f t="shared" si="73"/>
        <v>130.23320694543185</v>
      </c>
      <c r="J71" s="56">
        <f t="shared" si="73"/>
        <v>81.593178781022843</v>
      </c>
      <c r="K71" s="56">
        <f t="shared" si="73"/>
        <v>385.38914055308368</v>
      </c>
      <c r="L71" s="56">
        <f t="shared" si="73"/>
        <v>0</v>
      </c>
      <c r="M71" s="56">
        <f t="shared" si="73"/>
        <v>74896.380145221934</v>
      </c>
      <c r="N71" s="56">
        <f t="shared" si="66"/>
        <v>74896.380145221934</v>
      </c>
    </row>
    <row r="72" spans="1:14" x14ac:dyDescent="0.25">
      <c r="A72" s="55" t="s">
        <v>314</v>
      </c>
      <c r="B72" s="60">
        <v>1</v>
      </c>
      <c r="C72" s="56">
        <f>IFERROR(C16/$B58,0)</f>
        <v>2.9659288918548175</v>
      </c>
      <c r="D72" s="56">
        <f>IFERROR(D16/$B58,0)</f>
        <v>761.23366643926954</v>
      </c>
      <c r="E72" s="56">
        <f>IFERROR(E16/$B58,0)</f>
        <v>131.27504634598077</v>
      </c>
      <c r="F72" s="56">
        <f t="shared" si="64"/>
        <v>2.889390510464112</v>
      </c>
      <c r="G72" s="56">
        <f t="shared" ref="G72:M72" si="74">IFERROR(G16/$B58,0)</f>
        <v>131.27504634598077</v>
      </c>
      <c r="H72" s="56">
        <f t="shared" si="74"/>
        <v>204.3128785041612</v>
      </c>
      <c r="I72" s="56">
        <f t="shared" si="74"/>
        <v>132.73830323200283</v>
      </c>
      <c r="J72" s="56">
        <f t="shared" si="74"/>
        <v>131.27504634598077</v>
      </c>
      <c r="K72" s="56">
        <f t="shared" si="74"/>
        <v>113.41449582271808</v>
      </c>
      <c r="L72" s="56">
        <f t="shared" si="74"/>
        <v>5.6000056000056009E-4</v>
      </c>
      <c r="M72" s="56">
        <f t="shared" si="74"/>
        <v>49471.605002788005</v>
      </c>
      <c r="N72" s="56">
        <f t="shared" si="66"/>
        <v>5.6000055366155774E-4</v>
      </c>
    </row>
    <row r="73" spans="1:14" x14ac:dyDescent="0.25">
      <c r="A73" s="55" t="s">
        <v>315</v>
      </c>
      <c r="B73" s="60">
        <v>1</v>
      </c>
      <c r="C73" s="56">
        <f>IFERROR(C7/$B59,0)</f>
        <v>475.72324800047568</v>
      </c>
      <c r="D73" s="56">
        <f>IFERROR(D7/$B59,0)</f>
        <v>26550.344951418418</v>
      </c>
      <c r="E73" s="56">
        <f>IFERROR(E7/$B59,0)</f>
        <v>70.345699940673228</v>
      </c>
      <c r="F73" s="56">
        <f t="shared" si="64"/>
        <v>61.142496035272117</v>
      </c>
      <c r="G73" s="56">
        <f t="shared" ref="G73:M73" si="75">IFERROR(G7/$B59,0)</f>
        <v>70.345699940673228</v>
      </c>
      <c r="H73" s="56">
        <f t="shared" si="75"/>
        <v>203.9130489963253</v>
      </c>
      <c r="I73" s="56">
        <f t="shared" si="75"/>
        <v>94.726880033747463</v>
      </c>
      <c r="J73" s="56">
        <f t="shared" si="75"/>
        <v>72.486656025824146</v>
      </c>
      <c r="K73" s="56">
        <f t="shared" si="75"/>
        <v>40.367871394526766</v>
      </c>
      <c r="L73" s="56">
        <f t="shared" si="75"/>
        <v>1.9531726848800019E-2</v>
      </c>
      <c r="M73" s="56">
        <f t="shared" si="75"/>
        <v>36803.37943916017</v>
      </c>
      <c r="N73" s="56">
        <f t="shared" si="66"/>
        <v>1.9531716483226068E-2</v>
      </c>
    </row>
    <row r="74" spans="1:14" x14ac:dyDescent="0.25">
      <c r="A74" s="55" t="s">
        <v>316</v>
      </c>
      <c r="B74" s="62">
        <v>1.9000000000000001E-8</v>
      </c>
      <c r="C74" s="56">
        <f>IFERROR(C12/$B60,0)</f>
        <v>0</v>
      </c>
      <c r="D74" s="56">
        <f>IFERROR(D12/$B60,0)</f>
        <v>0</v>
      </c>
      <c r="E74" s="56">
        <f>IFERROR(E12/$B60,0)</f>
        <v>21194928.662521679</v>
      </c>
      <c r="F74" s="56">
        <f t="shared" si="64"/>
        <v>21194928.662521679</v>
      </c>
      <c r="G74" s="56">
        <f t="shared" ref="G74:M74" si="76">IFERROR(G12/$B60,0)</f>
        <v>21194928.662521679</v>
      </c>
      <c r="H74" s="56">
        <f t="shared" si="76"/>
        <v>93268499.854208946</v>
      </c>
      <c r="I74" s="56">
        <f t="shared" si="76"/>
        <v>33440169.459923688</v>
      </c>
      <c r="J74" s="56">
        <f t="shared" si="76"/>
        <v>22673644.615720864</v>
      </c>
      <c r="K74" s="56">
        <f t="shared" si="76"/>
        <v>91689660.044764623</v>
      </c>
      <c r="L74" s="56">
        <f t="shared" si="76"/>
        <v>0</v>
      </c>
      <c r="M74" s="56">
        <f t="shared" si="76"/>
        <v>20646354038.315239</v>
      </c>
      <c r="N74" s="56">
        <f t="shared" si="66"/>
        <v>20646354038.315239</v>
      </c>
    </row>
    <row r="75" spans="1:14" x14ac:dyDescent="0.25">
      <c r="A75" s="55" t="s">
        <v>317</v>
      </c>
      <c r="B75" s="60">
        <v>1</v>
      </c>
      <c r="C75" s="56">
        <f>IFERROR(C18/$B61,0)</f>
        <v>1.2383517538156712</v>
      </c>
      <c r="D75" s="56">
        <f>IFERROR(D18/$B61,0)</f>
        <v>833.08480332256772</v>
      </c>
      <c r="E75" s="56">
        <f>IFERROR(E18/$B61,0)</f>
        <v>4319.1530792589529</v>
      </c>
      <c r="F75" s="56">
        <f t="shared" si="64"/>
        <v>1.2361598234882729</v>
      </c>
      <c r="G75" s="56">
        <f t="shared" ref="G75:M75" si="77">IFERROR(G18/$B61,0)</f>
        <v>4319.1530792589529</v>
      </c>
      <c r="H75" s="56">
        <f t="shared" si="77"/>
        <v>21753.563264534911</v>
      </c>
      <c r="I75" s="56">
        <f t="shared" si="77"/>
        <v>7661.7329439060477</v>
      </c>
      <c r="J75" s="56">
        <f t="shared" si="77"/>
        <v>4917.9737126665359</v>
      </c>
      <c r="K75" s="56">
        <f t="shared" si="77"/>
        <v>22378.430719381951</v>
      </c>
      <c r="L75" s="56">
        <f t="shared" si="77"/>
        <v>6.128577557148985E-4</v>
      </c>
      <c r="M75" s="56">
        <f t="shared" si="77"/>
        <v>4656963.9346199874</v>
      </c>
      <c r="N75" s="56">
        <f t="shared" si="66"/>
        <v>6.1285775563424622E-4</v>
      </c>
    </row>
    <row r="76" spans="1:14" x14ac:dyDescent="0.25">
      <c r="A76" s="55" t="s">
        <v>318</v>
      </c>
      <c r="B76" s="60">
        <v>1.339E-6</v>
      </c>
      <c r="C76" s="56">
        <f>IFERROR(C27/$B62,0)</f>
        <v>0</v>
      </c>
      <c r="D76" s="56">
        <f>IFERROR(D27/$B62,0)</f>
        <v>0</v>
      </c>
      <c r="E76" s="56">
        <f>IFERROR(E27/$B62,0)</f>
        <v>23806943.176880032</v>
      </c>
      <c r="F76" s="56">
        <f t="shared" si="64"/>
        <v>23806943.176880032</v>
      </c>
      <c r="G76" s="56">
        <f t="shared" ref="G76:M76" si="78">IFERROR(G27/$B62,0)</f>
        <v>23806943.176880032</v>
      </c>
      <c r="H76" s="56">
        <f t="shared" si="78"/>
        <v>70107158.116600558</v>
      </c>
      <c r="I76" s="56">
        <f t="shared" si="78"/>
        <v>32974129.453146864</v>
      </c>
      <c r="J76" s="56">
        <f t="shared" si="78"/>
        <v>24802851.158382986</v>
      </c>
      <c r="K76" s="56">
        <f t="shared" si="78"/>
        <v>16963257.876714244</v>
      </c>
      <c r="L76" s="56">
        <f t="shared" si="78"/>
        <v>0</v>
      </c>
      <c r="M76" s="56">
        <f t="shared" si="78"/>
        <v>15467119604.358084</v>
      </c>
      <c r="N76" s="56">
        <f t="shared" si="66"/>
        <v>15467119604.358086</v>
      </c>
    </row>
  </sheetData>
  <sheetProtection algorithmName="SHA-512" hashValue="yN7mDYK48p1QYIHK93OLJFBfGHypW5Qu3F4pAxhSQX97kVzpC0LZMy8/QS2L9oL5AAI3KdIzvSW81CDY0cfNVQ==" saltValue="1qbSXYgZTGAoXj4Jj9hLmg==" spinCount="100000" sheet="1" objects="1" scenarios="1" formatColumns="0" formatRows="0" autoFilter="0"/>
  <autoFilter ref="A1:N76" xr:uid="{00000000-0009-0000-0000-000008000000}"/>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tabColor theme="9" tint="-0.499984740745262"/>
  </sheetPr>
  <dimension ref="A1:N76"/>
  <sheetViews>
    <sheetView zoomScale="90" zoomScaleNormal="90" workbookViewId="0">
      <pane xSplit="2" ySplit="1" topLeftCell="C2" activePane="bottomRight" state="frozen"/>
      <selection activeCell="AA1390" sqref="AA1390"/>
      <selection pane="topRight" activeCell="AA1390" sqref="AA1390"/>
      <selection pane="bottomLeft" activeCell="AA1390" sqref="AA1390"/>
      <selection pane="bottomRight" activeCell="C2" sqref="C2"/>
    </sheetView>
  </sheetViews>
  <sheetFormatPr defaultColWidth="9.140625" defaultRowHeight="15" x14ac:dyDescent="0.25"/>
  <cols>
    <col min="1" max="1" width="15.42578125" style="3" customWidth="1"/>
    <col min="2" max="2" width="13.28515625" style="3" bestFit="1" customWidth="1"/>
    <col min="3" max="3" width="14.42578125" style="2" bestFit="1" customWidth="1"/>
    <col min="4" max="4" width="14.5703125" style="2" bestFit="1" customWidth="1"/>
    <col min="5" max="5" width="14.28515625" style="2" bestFit="1" customWidth="1"/>
    <col min="6" max="6" width="14.140625" style="2" bestFit="1" customWidth="1"/>
    <col min="7" max="7" width="13.5703125" style="2" bestFit="1" customWidth="1"/>
    <col min="8" max="9" width="15.42578125" style="2" bestFit="1" customWidth="1"/>
    <col min="10" max="10" width="16.42578125" style="2" bestFit="1" customWidth="1"/>
    <col min="11" max="12" width="13.85546875" style="2" bestFit="1" customWidth="1"/>
    <col min="13" max="13" width="14.140625" style="2" bestFit="1" customWidth="1"/>
    <col min="14" max="14" width="13.28515625" style="2" bestFit="1" customWidth="1"/>
    <col min="15" max="19" width="8.5703125" style="2" bestFit="1" customWidth="1"/>
    <col min="20" max="22" width="9.140625" style="2"/>
    <col min="23" max="25" width="8.5703125" style="2" bestFit="1" customWidth="1"/>
    <col min="26" max="16384" width="9.140625" style="2"/>
  </cols>
  <sheetData>
    <row r="1" spans="1:14" x14ac:dyDescent="0.25">
      <c r="A1" s="47" t="s">
        <v>51</v>
      </c>
      <c r="B1" s="47" t="s">
        <v>274</v>
      </c>
      <c r="C1" s="48" t="s">
        <v>364</v>
      </c>
      <c r="D1" s="48" t="s">
        <v>365</v>
      </c>
      <c r="E1" s="48" t="s">
        <v>366</v>
      </c>
      <c r="F1" s="48" t="s">
        <v>367</v>
      </c>
      <c r="G1" s="48" t="s">
        <v>368</v>
      </c>
      <c r="H1" s="48" t="s">
        <v>369</v>
      </c>
      <c r="I1" s="48" t="s">
        <v>370</v>
      </c>
      <c r="J1" s="48" t="s">
        <v>371</v>
      </c>
      <c r="K1" s="48" t="s">
        <v>372</v>
      </c>
      <c r="L1" s="48" t="s">
        <v>373</v>
      </c>
      <c r="M1" s="48" t="s">
        <v>374</v>
      </c>
      <c r="N1" s="48" t="s">
        <v>375</v>
      </c>
    </row>
    <row r="2" spans="1:14" x14ac:dyDescent="0.25">
      <c r="A2" s="49" t="s">
        <v>12</v>
      </c>
      <c r="B2" s="50" t="s">
        <v>289</v>
      </c>
      <c r="C2" s="48">
        <f>IFERROR((TR/(RadSpec!I2*EF_w*ED_com*IRS_w*(1/1000)))*1,".")</f>
        <v>17.722640673460344</v>
      </c>
      <c r="D2" s="48">
        <f>IFERROR(IF(A2="H-3",(TR/(RadSpec!G2*EF_w*ED_com*(ET_w_o+ET_w_i)*(1/24)*IRA_w*(1/17)*1000))*1,(TR/(RadSpec!G2*EF_w*ED_com*(ET_w_o+ET_w_i)*(1/24)*IRA_w*(1/PEF_wind)*1000))*1),".")</f>
        <v>380.71543861684188</v>
      </c>
      <c r="E2" s="48">
        <f>IFERROR((TR/(RadSpec!F2*EF_w*(1/365)*ED_com*RadSpec!Q2*(ET_w_o+ET_w_i)*(1/24)*RadSpec!V2))*1,".")</f>
        <v>4.2506339369250989</v>
      </c>
      <c r="F2" s="48">
        <f t="shared" ref="F2" si="0">(IF(AND(ISNUMBER(C2),ISNUMBER(D2),ISNUMBER(E2)),1/((1/C2)+(1/D2)+(1/E2)),IF(AND(ISNUMBER(C2),ISNUMBER(D2),NOT(ISNUMBER(E2))), 1/((1/C2)+(1/D2)),IF(AND(ISNUMBER(C2),NOT(ISNUMBER(D2)),ISNUMBER(E2)),1/((1/C2)+(1/E2)),IF(AND(NOT(ISNUMBER(C2)),ISNUMBER(D2),ISNUMBER(E2)),1/((1/D2)+(1/E2)),IF(AND(ISNUMBER(C2),NOT(ISNUMBER(D2)),NOT(ISNUMBER(E2))),1/((1/C2)),IF(AND(NOT(ISNUMBER(C2)),NOT(ISNUMBER(D2)),ISNUMBER(E2)),1/((1/E2)),IF(AND(NOT(ISNUMBER(C2)),ISNUMBER(D2),NOT(ISNUMBER(E2))),1/((1/D2)),IF(AND(NOT(ISNUMBER(C2)),NOT(ISNUMBER(D2)),NOT(ISNUMBER(E2))),".")))))))))</f>
        <v>3.3977702368537517</v>
      </c>
      <c r="G2" s="48">
        <f>IFERROR((TR/(RadSpec!F2*EF_w*(1/365)*ED_com*RadSpec!Q2*(ET_w_o+ET_w_i)*(1/24)*RadSpec!V2))*1,".")</f>
        <v>4.2506339369250989</v>
      </c>
      <c r="H2" s="48">
        <f>IFERROR((TR/(RadSpec!M2*EF_w*(1/365)*ED_com*RadSpec!R2*(ET_w_o+ET_w_i)*(1/24)*RadSpec!W2))*1,".")</f>
        <v>15.174694374338191</v>
      </c>
      <c r="I2" s="48">
        <f>IFERROR((TR/(RadSpec!N2*EF_w*(1/365)*ED_com*RadSpec!S2*(ET_w_o+ET_w_i)*(1/24)*RadSpec!W2))*1,".")</f>
        <v>5.8612257020881255</v>
      </c>
      <c r="J2" s="48">
        <f>IFERROR((TR/(RadSpec!O2*EF_w*(1/365)*ED_com*RadSpec!T2*(ET_w_o+ET_w_i)*(1/24)*RadSpec!X2))*1,".")</f>
        <v>4.3618423829493027</v>
      </c>
      <c r="K2" s="48">
        <f>IFERROR((TR/(RadSpec!K2*EF_w*(1/365)*ED_com*RadSpec!P2*(ET_w_o+ET_w_i)*(1/24)*RadSpec!U2))*1,".")</f>
        <v>14.567706599364659</v>
      </c>
      <c r="L2" s="48">
        <f>IFERROR(TR/(RadSpec!G2*EF_w*ED_com*(ET_w_o+ET_w_i)*(1/24)*IRA_w),".")</f>
        <v>2.8007281893292258E-4</v>
      </c>
      <c r="M2" s="48">
        <f>IFERROR(TR/(RadSpec!J2*EF_w*(1/365)*ED_com*(ET_w_o+ET_w_i)*(1/24)*GSF_a),".")</f>
        <v>3402.4348746815417</v>
      </c>
      <c r="N2" s="48">
        <f t="shared" ref="N2" si="1">IFERROR(IF(AND(ISNUMBER(L2),ISNUMBER(M2)),1/((1/L2)+(1/M2)),IF(AND(ISNUMBER(L2),NOT(ISNUMBER(M2))),1/((1/L2)),IF(AND(NOT(ISNUMBER(L2)),ISNUMBER(M2)),1/((1/M2)),IF(AND(NOT(ISNUMBER(L2)),NOT(ISNUMBER(M2))),".")))),".")</f>
        <v>2.800727958786158E-4</v>
      </c>
    </row>
    <row r="3" spans="1:14" x14ac:dyDescent="0.25">
      <c r="A3" s="51" t="s">
        <v>13</v>
      </c>
      <c r="B3" s="50" t="s">
        <v>275</v>
      </c>
      <c r="C3" s="48">
        <f>IFERROR((TR/(RadSpec!I3*EF_w*ED_com*IRS_w*(1/1000)))*1,".")</f>
        <v>17.578554163920018</v>
      </c>
      <c r="D3" s="48">
        <f>IFERROR(IF(A3="H-3",(TR/(RadSpec!G3*EF_w*ED_com*(ET_w_o+ET_w_i)*(1/24)*IRA_w*(1/17)*1000))*1,(TR/(RadSpec!G3*EF_w*ED_com*(ET_w_o+ET_w_i)*(1/24)*IRA_w*(1/PEF_wind)*1000))*1),".")</f>
        <v>288.14933197274695</v>
      </c>
      <c r="E3" s="48">
        <f>IFERROR((TR/(RadSpec!F3*EF_w*(1/365)*ED_com*RadSpec!Q3*(ET_w_o+ET_w_i)*(1/24)*RadSpec!V3))*1,".")</f>
        <v>6.3311129946605913</v>
      </c>
      <c r="F3" s="48">
        <f>(IF(AND(ISNUMBER(C3),ISNUMBER(D3),ISNUMBER(E3)),1/((1/C3)+(1/D3)+(1/E3)),IF(AND(ISNUMBER(C3),ISNUMBER(D3),NOT(ISNUMBER(E3))), 1/((1/C3)+(1/D3)),IF(AND(ISNUMBER(C3),NOT(ISNUMBER(D3)),ISNUMBER(E3)),1/((1/C3)+(1/E3)),IF(AND(NOT(ISNUMBER(C3)),ISNUMBER(D3),ISNUMBER(E3)),1/((1/D3)+(1/E3)),IF(AND(ISNUMBER(C3),NOT(ISNUMBER(D3)),NOT(ISNUMBER(E3))),1/((1/C3)),IF(AND(NOT(ISNUMBER(C3)),NOT(ISNUMBER(D3)),ISNUMBER(E3)),1/((1/E3)),IF(AND(NOT(ISNUMBER(C3)),ISNUMBER(D3),NOT(ISNUMBER(E3))),1/((1/D3)),IF(AND(NOT(ISNUMBER(C3)),NOT(ISNUMBER(D3)),NOT(ISNUMBER(E3))),".")))))))))</f>
        <v>4.580683463472206</v>
      </c>
      <c r="G3" s="48">
        <f>IFERROR((TR/(RadSpec!F3*EF_w*(1/365)*ED_com*RadSpec!Q3*(ET_w_o+ET_w_i)*(1/24)*RadSpec!V3))*1,".")</f>
        <v>6.3311129946605913</v>
      </c>
      <c r="H3" s="48">
        <f>IFERROR((TR/(RadSpec!M3*EF_w*(1/365)*ED_com*RadSpec!R3*(ET_w_o+ET_w_i)*(1/24)*RadSpec!W3))*1,".")</f>
        <v>12.73746841879932</v>
      </c>
      <c r="I3" s="48">
        <f>IFERROR((TR/(RadSpec!N3*EF_w*(1/365)*ED_com*RadSpec!S3*(ET_w_o+ET_w_i)*(1/24)*RadSpec!W3))*1,".")</f>
        <v>6.7956240024210128</v>
      </c>
      <c r="J3" s="48">
        <f>IFERROR((TR/(RadSpec!O3*EF_w*(1/365)*ED_com*RadSpec!T3*(ET_w_o+ET_w_i)*(1/24)*RadSpec!X3))*1,".")</f>
        <v>6.3311129946605913</v>
      </c>
      <c r="K3" s="48">
        <f>IFERROR((TR/(RadSpec!K3*EF_w*(1/365)*ED_com*RadSpec!P3*(ET_w_o+ET_w_i)*(1/24)*RadSpec!U3))*1,".")</f>
        <v>9.3779611233410005</v>
      </c>
      <c r="L3" s="48">
        <f>IFERROR(TR/(RadSpec!G3*EF_w*ED_com*(ET_w_o+ET_w_i)*(1/24)*IRA_w),".")</f>
        <v>2.1197668256491784E-4</v>
      </c>
      <c r="M3" s="48">
        <f>IFERROR(TR/(RadSpec!J3*EF_w*(1/365)*ED_com*(ET_w_o+ET_w_i)*(1/24)*GSF_a),".")</f>
        <v>3019.0619310554525</v>
      </c>
      <c r="N3" s="48">
        <f>IFERROR(IF(AND(ISNUMBER(L3),ISNUMBER(M3)),1/((1/L3)+(1/M3)),IF(AND(ISNUMBER(L3),NOT(ISNUMBER(M3))),1/((1/L3)),IF(AND(NOT(ISNUMBER(L3)),ISNUMBER(M3)),1/((1/M3)),IF(AND(NOT(ISNUMBER(L3)),NOT(ISNUMBER(M3))),".")))),".")</f>
        <v>2.1197666768145014E-4</v>
      </c>
    </row>
    <row r="4" spans="1:14" x14ac:dyDescent="0.25">
      <c r="A4" s="49" t="s">
        <v>14</v>
      </c>
      <c r="B4" s="50" t="s">
        <v>289</v>
      </c>
      <c r="C4" s="48" t="str">
        <f>IFERROR((TR/(RadSpec!I4*EF_w*ED_com*IRS_w*(1/1000)))*1,".")</f>
        <v>.</v>
      </c>
      <c r="D4" s="48" t="str">
        <f>IFERROR(IF(A4="H-3",(TR/(RadSpec!G4*EF_w*ED_com*(ET_w_o+ET_w_i)*(1/24)*IRA_w*(1/17)*1000))*1,(TR/(RadSpec!G4*EF_w*ED_com*(ET_w_o+ET_w_i)*(1/24)*IRA_w*(1/PEF_wind)*1000))*1),".")</f>
        <v>.</v>
      </c>
      <c r="E4" s="48">
        <f>IFERROR((TR/(RadSpec!F4*EF_w*(1/365)*ED_com*RadSpec!Q4*(ET_w_o+ET_w_i)*(1/24)*RadSpec!V4))*1,".")</f>
        <v>187.09149373248874</v>
      </c>
      <c r="F4" s="48">
        <f t="shared" ref="F4:F5" si="2">(IF(AND(ISNUMBER(C4),ISNUMBER(D4),ISNUMBER(E4)),1/((1/C4)+(1/D4)+(1/E4)),IF(AND(ISNUMBER(C4),ISNUMBER(D4),NOT(ISNUMBER(E4))), 1/((1/C4)+(1/D4)),IF(AND(ISNUMBER(C4),NOT(ISNUMBER(D4)),ISNUMBER(E4)),1/((1/C4)+(1/E4)),IF(AND(NOT(ISNUMBER(C4)),ISNUMBER(D4),ISNUMBER(E4)),1/((1/D4)+(1/E4)),IF(AND(ISNUMBER(C4),NOT(ISNUMBER(D4)),NOT(ISNUMBER(E4))),1/((1/C4)),IF(AND(NOT(ISNUMBER(C4)),NOT(ISNUMBER(D4)),ISNUMBER(E4)),1/((1/E4)),IF(AND(NOT(ISNUMBER(C4)),ISNUMBER(D4),NOT(ISNUMBER(E4))),1/((1/D4)),IF(AND(NOT(ISNUMBER(C4)),NOT(ISNUMBER(D4)),NOT(ISNUMBER(E4))),".")))))))))</f>
        <v>187.09149373248874</v>
      </c>
      <c r="G4" s="48">
        <f>IFERROR((TR/(RadSpec!F4*EF_w*(1/365)*ED_com*RadSpec!Q4*(ET_w_o+ET_w_i)*(1/24)*RadSpec!V4))*1,".")</f>
        <v>187.09149373248874</v>
      </c>
      <c r="H4" s="48">
        <f>IFERROR((TR/(RadSpec!M4*EF_w*(1/365)*ED_com*RadSpec!R4*(ET_w_o+ET_w_i)*(1/24)*RadSpec!W4))*1,".")</f>
        <v>808.44492442594833</v>
      </c>
      <c r="I4" s="48">
        <f>IFERROR((TR/(RadSpec!N4*EF_w*(1/365)*ED_com*RadSpec!S4*(ET_w_o+ET_w_i)*(1/24)*RadSpec!W4))*1,".")</f>
        <v>293.06128510440624</v>
      </c>
      <c r="J4" s="48">
        <f>IFERROR((TR/(RadSpec!O4*EF_w*(1/365)*ED_com*RadSpec!T4*(ET_w_o+ET_w_i)*(1/24)*RadSpec!X4))*1,".")</f>
        <v>199.53108773065958</v>
      </c>
      <c r="K4" s="48">
        <f>IFERROR((TR/(RadSpec!K4*EF_w*(1/365)*ED_com*RadSpec!P4*(ET_w_o+ET_w_i)*(1/24)*RadSpec!U4))*1,".")</f>
        <v>824.43614271129672</v>
      </c>
      <c r="L4" s="48" t="str">
        <f>IFERROR(TR/(RadSpec!G4*EF_w*ED_com*(ET_w_o+ET_w_i)*(1/24)*IRA_w),".")</f>
        <v>.</v>
      </c>
      <c r="M4" s="48">
        <f>IFERROR(TR/(RadSpec!J4*EF_w*(1/365)*ED_com*(ET_w_o+ET_w_i)*(1/24)*GSF_a),".")</f>
        <v>179482.50953762681</v>
      </c>
      <c r="N4" s="48">
        <f t="shared" ref="N4:N5" si="3">IFERROR(IF(AND(ISNUMBER(L4),ISNUMBER(M4)),1/((1/L4)+(1/M4)),IF(AND(ISNUMBER(L4),NOT(ISNUMBER(M4))),1/((1/L4)),IF(AND(NOT(ISNUMBER(L4)),ISNUMBER(M4)),1/((1/M4)),IF(AND(NOT(ISNUMBER(L4)),NOT(ISNUMBER(M4))),".")))),".")</f>
        <v>179482.50953762681</v>
      </c>
    </row>
    <row r="5" spans="1:14" x14ac:dyDescent="0.25">
      <c r="A5" s="49" t="s">
        <v>15</v>
      </c>
      <c r="B5" s="50" t="s">
        <v>289</v>
      </c>
      <c r="C5" s="48" t="str">
        <f>IFERROR((TR/(RadSpec!I5*EF_w*ED_com*IRS_w*(1/1000)))*1,".")</f>
        <v>.</v>
      </c>
      <c r="D5" s="48" t="str">
        <f>IFERROR(IF(A5="H-3",(TR/(RadSpec!G5*EF_w*ED_com*(ET_w_o+ET_w_i)*(1/24)*IRA_w*(1/17)*1000))*1,(TR/(RadSpec!G5*EF_w*ED_com*(ET_w_o+ET_w_i)*(1/24)*IRA_w*(1/PEF_wind)*1000))*1),".")</f>
        <v>.</v>
      </c>
      <c r="E5" s="48">
        <f>IFERROR((TR/(RadSpec!F5*EF_w*(1/365)*ED_com*RadSpec!Q5*(ET_w_o+ET_w_i)*(1/24)*RadSpec!V5))*1,".")</f>
        <v>7094.4386748678953</v>
      </c>
      <c r="F5" s="48">
        <f t="shared" si="2"/>
        <v>7094.4386748678944</v>
      </c>
      <c r="G5" s="48">
        <f>IFERROR((TR/(RadSpec!F5*EF_w*(1/365)*ED_com*RadSpec!Q5*(ET_w_o+ET_w_i)*(1/24)*RadSpec!V5))*1,".")</f>
        <v>7094.4386748678953</v>
      </c>
      <c r="H5" s="48">
        <f>IFERROR((TR/(RadSpec!M5*EF_w*(1/365)*ED_com*RadSpec!R5*(ET_w_o+ET_w_i)*(1/24)*RadSpec!W5))*1,".")</f>
        <v>23207.030743234347</v>
      </c>
      <c r="I5" s="48">
        <f>IFERROR((TR/(RadSpec!N5*EF_w*(1/365)*ED_com*RadSpec!S5*(ET_w_o+ET_w_i)*(1/24)*RadSpec!W5))*1,".")</f>
        <v>10558.537609841391</v>
      </c>
      <c r="J5" s="48">
        <f>IFERROR((TR/(RadSpec!O5*EF_w*(1/365)*ED_com*RadSpec!T5*(ET_w_o+ET_w_i)*(1/24)*RadSpec!X5))*1,".")</f>
        <v>7612.7538291961419</v>
      </c>
      <c r="K5" s="48">
        <f>IFERROR((TR/(RadSpec!K5*EF_w*(1/365)*ED_com*RadSpec!P5*(ET_w_o+ET_w_i)*(1/24)*RadSpec!U5))*1,".")</f>
        <v>9749.6671847599737</v>
      </c>
      <c r="L5" s="48" t="str">
        <f>IFERROR(TR/(RadSpec!G5*EF_w*ED_com*(ET_w_o+ET_w_i)*(1/24)*IRA_w),".")</f>
        <v>.</v>
      </c>
      <c r="M5" s="48">
        <f>IFERROR(TR/(RadSpec!J5*EF_w*(1/365)*ED_com*(ET_w_o+ET_w_i)*(1/24)*GSF_a),".")</f>
        <v>5683612.8020248478</v>
      </c>
      <c r="N5" s="48">
        <f t="shared" si="3"/>
        <v>5683612.8020248478</v>
      </c>
    </row>
    <row r="6" spans="1:14" x14ac:dyDescent="0.25">
      <c r="A6" s="49" t="s">
        <v>16</v>
      </c>
      <c r="B6" s="50" t="s">
        <v>289</v>
      </c>
      <c r="C6" s="48" t="str">
        <f>IFERROR((TR/(RadSpec!I6*EF_w*ED_com*IRS_w*(1/1000)))*1,".")</f>
        <v>.</v>
      </c>
      <c r="D6" s="48" t="str">
        <f>IFERROR(IF(A6="H-3",(TR/(RadSpec!G6*EF_w*ED_com*(ET_w_o+ET_w_i)*(1/24)*IRA_w*(1/17)*1000))*1,(TR/(RadSpec!G6*EF_w*ED_com*(ET_w_o+ET_w_i)*(1/24)*IRA_w*(1/PEF_wind)*1000))*1),".")</f>
        <v>.</v>
      </c>
      <c r="E6" s="48">
        <f>IFERROR((TR/(RadSpec!F6*EF_w*(1/365)*ED_com*RadSpec!Q6*(ET_w_o+ET_w_i)*(1/24)*RadSpec!V6))*1,".")</f>
        <v>6.5237990423241743E-2</v>
      </c>
      <c r="F6" s="48">
        <f t="shared" ref="F6:F9" si="4">(IF(AND(ISNUMBER(C6),ISNUMBER(D6),ISNUMBER(E6)),1/((1/C6)+(1/D6)+(1/E6)),IF(AND(ISNUMBER(C6),ISNUMBER(D6),NOT(ISNUMBER(E6))), 1/((1/C6)+(1/D6)),IF(AND(ISNUMBER(C6),NOT(ISNUMBER(D6)),ISNUMBER(E6)),1/((1/C6)+(1/E6)),IF(AND(NOT(ISNUMBER(C6)),ISNUMBER(D6),ISNUMBER(E6)),1/((1/D6)+(1/E6)),IF(AND(ISNUMBER(C6),NOT(ISNUMBER(D6)),NOT(ISNUMBER(E6))),1/((1/C6)),IF(AND(NOT(ISNUMBER(C6)),NOT(ISNUMBER(D6)),ISNUMBER(E6)),1/((1/E6)),IF(AND(NOT(ISNUMBER(C6)),ISNUMBER(D6),NOT(ISNUMBER(E6))),1/((1/D6)),IF(AND(NOT(ISNUMBER(C6)),NOT(ISNUMBER(D6)),NOT(ISNUMBER(E6))),".")))))))))</f>
        <v>6.5237990423241743E-2</v>
      </c>
      <c r="G6" s="48">
        <f>IFERROR((TR/(RadSpec!F6*EF_w*(1/365)*ED_com*RadSpec!Q6*(ET_w_o+ET_w_i)*(1/24)*RadSpec!V6))*1,".")</f>
        <v>6.5237990423241743E-2</v>
      </c>
      <c r="H6" s="48">
        <f>IFERROR((TR/(RadSpec!M6*EF_w*(1/365)*ED_com*RadSpec!R6*(ET_w_o+ET_w_i)*(1/24)*RadSpec!W6))*1,".")</f>
        <v>0.3200669325372355</v>
      </c>
      <c r="I6" s="48">
        <f>IFERROR((TR/(RadSpec!N6*EF_w*(1/365)*ED_com*RadSpec!S6*(ET_w_o+ET_w_i)*(1/24)*RadSpec!W6))*1,".")</f>
        <v>0.1135002859103298</v>
      </c>
      <c r="J6" s="48">
        <f>IFERROR((TR/(RadSpec!O6*EF_w*(1/365)*ED_com*RadSpec!T6*(ET_w_o+ET_w_i)*(1/24)*RadSpec!X6))*1,".")</f>
        <v>7.3193842913880966E-2</v>
      </c>
      <c r="K6" s="48">
        <f>IFERROR((TR/(RadSpec!K6*EF_w*(1/365)*ED_com*RadSpec!P6*(ET_w_o+ET_w_i)*(1/24)*RadSpec!U6))*1,".")</f>
        <v>0.32690060560665796</v>
      </c>
      <c r="L6" s="48" t="str">
        <f>IFERROR(TR/(RadSpec!G6*EF_w*ED_com*(ET_w_o+ET_w_i)*(1/24)*IRA_w),".")</f>
        <v>.</v>
      </c>
      <c r="M6" s="48">
        <f>IFERROR(TR/(RadSpec!J6*EF_w*(1/365)*ED_com*(ET_w_o+ET_w_i)*(1/24)*GSF_a),".")</f>
        <v>69.466378691414818</v>
      </c>
      <c r="N6" s="48">
        <f t="shared" ref="N6:N9" si="5">IFERROR(IF(AND(ISNUMBER(L6),ISNUMBER(M6)),1/((1/L6)+(1/M6)),IF(AND(ISNUMBER(L6),NOT(ISNUMBER(M6))),1/((1/L6)),IF(AND(NOT(ISNUMBER(L6)),ISNUMBER(M6)),1/((1/M6)),IF(AND(NOT(ISNUMBER(L6)),NOT(ISNUMBER(M6))),".")))),".")</f>
        <v>69.466378691414818</v>
      </c>
    </row>
    <row r="7" spans="1:14" x14ac:dyDescent="0.25">
      <c r="A7" s="49" t="s">
        <v>17</v>
      </c>
      <c r="B7" s="50" t="s">
        <v>289</v>
      </c>
      <c r="C7" s="48">
        <f>IFERROR((TR/(RadSpec!I7*EF_w*ED_com*IRS_w*(1/1000)))*1,".")</f>
        <v>428.15092320042817</v>
      </c>
      <c r="D7" s="48">
        <f>IFERROR(IF(A7="H-3",(TR/(RadSpec!G7*EF_w*ED_com*(ET_w_o+ET_w_i)*(1/24)*IRA_w*(1/17)*1000))*1,(TR/(RadSpec!G7*EF_w*ED_com*(ET_w_o+ET_w_i)*(1/24)*IRA_w*(1/PEF_wind)*1000))*1),".")</f>
        <v>23895.31045627658</v>
      </c>
      <c r="E7" s="48">
        <f>IFERROR((TR/(RadSpec!F7*EF_w*(1/365)*ED_com*RadSpec!Q7*(ET_w_o+ET_w_i)*(1/24)*RadSpec!V7))*1,".")</f>
        <v>63.311129946605895</v>
      </c>
      <c r="F7" s="48">
        <f t="shared" si="4"/>
        <v>55.02824643174489</v>
      </c>
      <c r="G7" s="48">
        <f>IFERROR((TR/(RadSpec!F7*EF_w*(1/365)*ED_com*RadSpec!Q7*(ET_w_o+ET_w_i)*(1/24)*RadSpec!V7))*1,".")</f>
        <v>63.311129946605895</v>
      </c>
      <c r="H7" s="48">
        <f>IFERROR((TR/(RadSpec!M7*EF_w*(1/365)*ED_com*RadSpec!R7*(ET_w_o+ET_w_i)*(1/24)*RadSpec!W7))*1,".")</f>
        <v>183.5217440966928</v>
      </c>
      <c r="I7" s="48">
        <f>IFERROR((TR/(RadSpec!N7*EF_w*(1/365)*ED_com*RadSpec!S7*(ET_w_o+ET_w_i)*(1/24)*RadSpec!W7))*1,".")</f>
        <v>85.254192030372721</v>
      </c>
      <c r="J7" s="48">
        <f>IFERROR((TR/(RadSpec!O7*EF_w*(1/365)*ED_com*RadSpec!T7*(ET_w_o+ET_w_i)*(1/24)*RadSpec!X7))*1,".")</f>
        <v>65.237990423241754</v>
      </c>
      <c r="K7" s="48">
        <f>IFERROR((TR/(RadSpec!K7*EF_w*(1/365)*ED_com*RadSpec!P7*(ET_w_o+ET_w_i)*(1/24)*RadSpec!U7))*1,".")</f>
        <v>36.331084255074089</v>
      </c>
      <c r="L7" s="48">
        <f>IFERROR(TR/(RadSpec!G7*EF_w*ED_com*(ET_w_o+ET_w_i)*(1/24)*IRA_w),".")</f>
        <v>1.757855416392002E-2</v>
      </c>
      <c r="M7" s="48">
        <f>IFERROR(TR/(RadSpec!J7*EF_w*(1/365)*ED_com*(ET_w_o+ET_w_i)*(1/24)*GSF_a),".")</f>
        <v>33123.04149524415</v>
      </c>
      <c r="N7" s="48">
        <f t="shared" si="5"/>
        <v>1.7578544834903464E-2</v>
      </c>
    </row>
    <row r="8" spans="1:14" x14ac:dyDescent="0.25">
      <c r="A8" s="49" t="s">
        <v>18</v>
      </c>
      <c r="B8" s="50" t="s">
        <v>289</v>
      </c>
      <c r="C8" s="48">
        <f>IFERROR((TR/(RadSpec!I8*EF_w*ED_com*IRS_w*(1/1000)))*1,".")</f>
        <v>5045.8860260493857</v>
      </c>
      <c r="D8" s="48">
        <f>IFERROR(IF(A8="H-3",(TR/(RadSpec!G8*EF_w*ED_com*(ET_w_o+ET_w_i)*(1/24)*IRA_w*(1/17)*1000))*1,(TR/(RadSpec!G8*EF_w*ED_com*(ET_w_o+ET_w_i)*(1/24)*IRA_w*(1/PEF_wind)*1000))*1),".")</f>
        <v>146956.15930610095</v>
      </c>
      <c r="E8" s="48">
        <f>IFERROR((TR/(RadSpec!F8*EF_w*(1/365)*ED_com*RadSpec!Q8*(ET_w_o+ET_w_i)*(1/24)*RadSpec!V8))*1,".")</f>
        <v>0.32268253327624941</v>
      </c>
      <c r="F8" s="48">
        <f t="shared" si="4"/>
        <v>0.32266119072210159</v>
      </c>
      <c r="G8" s="48">
        <f>IFERROR((TR/(RadSpec!F8*EF_w*(1/365)*ED_com*RadSpec!Q8*(ET_w_o+ET_w_i)*(1/24)*RadSpec!V8))*1,".")</f>
        <v>0.32268253327624941</v>
      </c>
      <c r="H8" s="48">
        <f>IFERROR((TR/(RadSpec!M8*EF_w*(1/365)*ED_com*RadSpec!R8*(ET_w_o+ET_w_i)*(1/24)*RadSpec!W8))*1,".")</f>
        <v>1.4885652576731745</v>
      </c>
      <c r="I8" s="48">
        <f>IFERROR((TR/(RadSpec!N8*EF_w*(1/365)*ED_com*RadSpec!S8*(ET_w_o+ET_w_i)*(1/24)*RadSpec!W8))*1,".")</f>
        <v>0.53283870018982959</v>
      </c>
      <c r="J8" s="48">
        <f>IFERROR((TR/(RadSpec!O8*EF_w*(1/365)*ED_com*RadSpec!T8*(ET_w_o+ET_w_i)*(1/24)*RadSpec!X8))*1,".")</f>
        <v>0.35222389195646941</v>
      </c>
      <c r="K8" s="48">
        <f>IFERROR((TR/(RadSpec!K8*EF_w*(1/365)*ED_com*RadSpec!P8*(ET_w_o+ET_w_i)*(1/24)*RadSpec!U8))*1,".")</f>
        <v>1.456770659936466</v>
      </c>
      <c r="L8" s="48">
        <f>IFERROR(TR/(RadSpec!G8*EF_w*ED_com*(ET_w_o+ET_w_i)*(1/24)*IRA_w),".")</f>
        <v>0.10810810810810811</v>
      </c>
      <c r="M8" s="48">
        <f>IFERROR(TR/(RadSpec!J8*EF_w*(1/365)*ED_com*(ET_w_o+ET_w_i)*(1/24)*GSF_a),".")</f>
        <v>329.05126748564919</v>
      </c>
      <c r="N8" s="48">
        <f t="shared" si="5"/>
        <v>0.10807260140860234</v>
      </c>
    </row>
    <row r="9" spans="1:14" x14ac:dyDescent="0.25">
      <c r="A9" s="49" t="s">
        <v>19</v>
      </c>
      <c r="B9" s="50" t="s">
        <v>289</v>
      </c>
      <c r="C9" s="48">
        <f>IFERROR((TR/(RadSpec!I9*EF_w*ED_com*IRS_w*(1/1000)))*1,".")</f>
        <v>10865.136493277198</v>
      </c>
      <c r="D9" s="48">
        <f>IFERROR(IF(A9="H-3",(TR/(RadSpec!G9*EF_w*ED_com*(ET_w_o+ET_w_i)*(1/24)*IRA_w*(1/17)*1000))*1,(TR/(RadSpec!G9*EF_w*ED_com*(ET_w_o+ET_w_i)*(1/24)*IRA_w*(1/PEF_wind)*1000))*1),".")</f>
        <v>175966.92214646391</v>
      </c>
      <c r="E9" s="48">
        <f>IFERROR((TR/(RadSpec!F9*EF_w*(1/365)*ED_com*RadSpec!Q9*(ET_w_o+ET_w_i)*(1/24)*RadSpec!V9))*1,".")</f>
        <v>2.3854909057783143E-2</v>
      </c>
      <c r="F9" s="48">
        <f t="shared" si="4"/>
        <v>2.385485344947361E-2</v>
      </c>
      <c r="G9" s="48">
        <f>IFERROR((TR/(RadSpec!F9*EF_w*(1/365)*ED_com*RadSpec!Q9*(ET_w_o+ET_w_i)*(1/24)*RadSpec!V9))*1,".")</f>
        <v>2.3854909057783143E-2</v>
      </c>
      <c r="H9" s="48">
        <f>IFERROR((TR/(RadSpec!M9*EF_w*(1/365)*ED_com*RadSpec!R9*(ET_w_o+ET_w_i)*(1/24)*RadSpec!W9))*1,".")</f>
        <v>0.13208395948367604</v>
      </c>
      <c r="I9" s="48">
        <f>IFERROR((TR/(RadSpec!N9*EF_w*(1/365)*ED_com*RadSpec!S9*(ET_w_o+ET_w_i)*(1/24)*RadSpec!W9))*1,".")</f>
        <v>4.5970397663436274E-2</v>
      </c>
      <c r="J9" s="48">
        <f>IFERROR((TR/(RadSpec!O9*EF_w*(1/365)*ED_com*RadSpec!T9*(ET_w_o+ET_w_i)*(1/24)*RadSpec!X9))*1,".")</f>
        <v>2.8526117485447911E-2</v>
      </c>
      <c r="K9" s="48">
        <f>IFERROR((TR/(RadSpec!K9*EF_w*(1/365)*ED_com*RadSpec!P9*(ET_w_o+ET_w_i)*(1/24)*RadSpec!U9))*1,".")</f>
        <v>0.13640670724859635</v>
      </c>
      <c r="L9" s="48">
        <f>IFERROR(TR/(RadSpec!G9*EF_w*ED_com*(ET_w_o+ET_w_i)*(1/24)*IRA_w),".")</f>
        <v>0.12944983818770225</v>
      </c>
      <c r="M9" s="48">
        <f>IFERROR(TR/(RadSpec!J9*EF_w*(1/365)*ED_com*(ET_w_o+ET_w_i)*(1/24)*GSF_a),".")</f>
        <v>26.186278878439094</v>
      </c>
      <c r="N9" s="48">
        <f t="shared" si="5"/>
        <v>0.12881306081447169</v>
      </c>
    </row>
    <row r="10" spans="1:14" x14ac:dyDescent="0.25">
      <c r="A10" s="51" t="s">
        <v>20</v>
      </c>
      <c r="B10" s="50" t="s">
        <v>275</v>
      </c>
      <c r="C10" s="48">
        <f>IFERROR((TR/(RadSpec!I10*EF_w*ED_com*IRS_w*(1/1000)))*1,".")</f>
        <v>50.341377465940901</v>
      </c>
      <c r="D10" s="48">
        <f>IFERROR(IF(A10="H-3",(TR/(RadSpec!G10*EF_w*ED_com*(ET_w_o+ET_w_i)*(1/24)*IRA_w*(1/17)*1000))*1,(TR/(RadSpec!G10*EF_w*ED_com*(ET_w_o+ET_w_i)*(1/24)*IRA_w*(1/PEF_wind)*1000))*1),".")</f>
        <v>96681.683754013779</v>
      </c>
      <c r="E10" s="48">
        <f>IFERROR((TR/(RadSpec!F10*EF_w*(1/365)*ED_com*RadSpec!Q10*(ET_w_o+ET_w_i)*(1/24)*RadSpec!V10))*1,".")</f>
        <v>317.2249005781311</v>
      </c>
      <c r="F10" s="48">
        <f t="shared" ref="F10" si="6">(IF(AND(ISNUMBER(C10),ISNUMBER(D10),ISNUMBER(E10)),1/((1/C10)+(1/D10)+(1/E10)),IF(AND(ISNUMBER(C10),ISNUMBER(D10),NOT(ISNUMBER(E10))), 1/((1/C10)+(1/D10)),IF(AND(ISNUMBER(C10),NOT(ISNUMBER(D10)),ISNUMBER(E10)),1/((1/C10)+(1/E10)),IF(AND(NOT(ISNUMBER(C10)),ISNUMBER(D10),ISNUMBER(E10)),1/((1/D10)+(1/E10)),IF(AND(ISNUMBER(C10),NOT(ISNUMBER(D10)),NOT(ISNUMBER(E10))),1/((1/C10)),IF(AND(NOT(ISNUMBER(C10)),NOT(ISNUMBER(D10)),ISNUMBER(E10)),1/((1/E10)),IF(AND(NOT(ISNUMBER(C10)),ISNUMBER(D10),NOT(ISNUMBER(E10))),1/((1/D10)),IF(AND(NOT(ISNUMBER(C10)),NOT(ISNUMBER(D10)),NOT(ISNUMBER(E10))),".")))))))))</f>
        <v>43.427175635681373</v>
      </c>
      <c r="G10" s="48">
        <f>IFERROR((TR/(RadSpec!F10*EF_w*(1/365)*ED_com*RadSpec!Q10*(ET_w_o+ET_w_i)*(1/24)*RadSpec!V10))*1,".")</f>
        <v>317.2249005781311</v>
      </c>
      <c r="H10" s="48">
        <f>IFERROR((TR/(RadSpec!M10*EF_w*(1/365)*ED_com*RadSpec!R10*(ET_w_o+ET_w_i)*(1/24)*RadSpec!W10))*1,".")</f>
        <v>910.48166246029132</v>
      </c>
      <c r="I10" s="48">
        <f>IFERROR((TR/(RadSpec!N10*EF_w*(1/365)*ED_com*RadSpec!S10*(ET_w_o+ET_w_i)*(1/24)*RadSpec!W10))*1,".")</f>
        <v>413.12604067581498</v>
      </c>
      <c r="J10" s="48">
        <f>IFERROR((TR/(RadSpec!O10*EF_w*(1/365)*ED_com*RadSpec!T10*(ET_w_o+ET_w_i)*(1/24)*RadSpec!X10))*1,".")</f>
        <v>323.37796977037937</v>
      </c>
      <c r="K10" s="48">
        <f>IFERROR((TR/(RadSpec!K10*EF_w*(1/365)*ED_com*RadSpec!P10*(ET_w_o+ET_w_i)*(1/24)*RadSpec!U10))*1,".")</f>
        <v>316.55564973302955</v>
      </c>
      <c r="L10" s="48">
        <f>IFERROR(TR/(RadSpec!G10*EF_w*ED_com*(ET_w_o+ET_w_i)*(1/24)*IRA_w),".")</f>
        <v>7.1123755334281655E-2</v>
      </c>
      <c r="M10" s="48">
        <f>IFERROR(TR/(RadSpec!J10*EF_w*(1/365)*ED_com*(ET_w_o+ET_w_i)*(1/24)*GSF_a),".")</f>
        <v>107947.75393773813</v>
      </c>
      <c r="N10" s="48">
        <f t="shared" ref="N10" si="7">IFERROR(IF(AND(ISNUMBER(L10),ISNUMBER(M10)),1/((1/L10)+(1/M10)),IF(AND(ISNUMBER(L10),NOT(ISNUMBER(M10))),1/((1/L10)),IF(AND(NOT(ISNUMBER(L10)),ISNUMBER(M10)),1/((1/M10)),IF(AND(NOT(ISNUMBER(L10)),NOT(ISNUMBER(M10))),".")))),".")</f>
        <v>7.1123708472859759E-2</v>
      </c>
    </row>
    <row r="11" spans="1:14" x14ac:dyDescent="0.25">
      <c r="A11" s="49" t="s">
        <v>21</v>
      </c>
      <c r="B11" s="50" t="s">
        <v>289</v>
      </c>
      <c r="C11" s="48" t="str">
        <f>IFERROR((TR/(RadSpec!I11*EF_w*ED_com*IRS_w*(1/1000)))*1,".")</f>
        <v>.</v>
      </c>
      <c r="D11" s="48" t="str">
        <f>IFERROR(IF(A11="H-3",(TR/(RadSpec!G11*EF_w*ED_com*(ET_w_o+ET_w_i)*(1/24)*IRA_w*(1/17)*1000))*1,(TR/(RadSpec!G11*EF_w*ED_com*(ET_w_o+ET_w_i)*(1/24)*IRA_w*(1/PEF_wind)*1000))*1),".")</f>
        <v>.</v>
      </c>
      <c r="E11" s="48">
        <f>IFERROR((TR/(RadSpec!F11*EF_w*(1/365)*ED_com*RadSpec!Q11*(ET_w_o+ET_w_i)*(1/24)*RadSpec!V11))*1,".")</f>
        <v>1.6709062135128732</v>
      </c>
      <c r="F11" s="48">
        <f t="shared" ref="F11" si="8">(IF(AND(ISNUMBER(C11),ISNUMBER(D11),ISNUMBER(E11)),1/((1/C11)+(1/D11)+(1/E11)),IF(AND(ISNUMBER(C11),ISNUMBER(D11),NOT(ISNUMBER(E11))), 1/((1/C11)+(1/D11)),IF(AND(ISNUMBER(C11),NOT(ISNUMBER(D11)),ISNUMBER(E11)),1/((1/C11)+(1/E11)),IF(AND(NOT(ISNUMBER(C11)),ISNUMBER(D11),ISNUMBER(E11)),1/((1/D11)+(1/E11)),IF(AND(ISNUMBER(C11),NOT(ISNUMBER(D11)),NOT(ISNUMBER(E11))),1/((1/C11)),IF(AND(NOT(ISNUMBER(C11)),NOT(ISNUMBER(D11)),ISNUMBER(E11)),1/((1/E11)),IF(AND(NOT(ISNUMBER(C11)),ISNUMBER(D11),NOT(ISNUMBER(E11))),1/((1/D11)),IF(AND(NOT(ISNUMBER(C11)),NOT(ISNUMBER(D11)),NOT(ISNUMBER(E11))),".")))))))))</f>
        <v>1.6709062135128732</v>
      </c>
      <c r="G11" s="48">
        <f>IFERROR((TR/(RadSpec!F11*EF_w*(1/365)*ED_com*RadSpec!Q11*(ET_w_o+ET_w_i)*(1/24)*RadSpec!V11))*1,".")</f>
        <v>1.6709062135128732</v>
      </c>
      <c r="H11" s="48">
        <f>IFERROR((TR/(RadSpec!M11*EF_w*(1/365)*ED_com*RadSpec!R11*(ET_w_o+ET_w_i)*(1/24)*RadSpec!W11))*1,".")</f>
        <v>6.8452270973291984</v>
      </c>
      <c r="I11" s="48">
        <f>IFERROR((TR/(RadSpec!N11*EF_w*(1/365)*ED_com*RadSpec!S11*(ET_w_o+ET_w_i)*(1/24)*RadSpec!W11))*1,".")</f>
        <v>2.4809420961219573</v>
      </c>
      <c r="J11" s="48">
        <f>IFERROR((TR/(RadSpec!O11*EF_w*(1/365)*ED_com*RadSpec!T11*(ET_w_o+ET_w_i)*(1/24)*RadSpec!X11))*1,".")</f>
        <v>1.7346517684792599</v>
      </c>
      <c r="K11" s="48">
        <f>IFERROR((TR/(RadSpec!K11*EF_w*(1/365)*ED_com*RadSpec!P11*(ET_w_o+ET_w_i)*(1/24)*RadSpec!U11))*1,".")</f>
        <v>6.9466378691414814</v>
      </c>
      <c r="L11" s="48" t="str">
        <f>IFERROR(TR/(RadSpec!G11*EF_w*ED_com*(ET_w_o+ET_w_i)*(1/24)*IRA_w),".")</f>
        <v>.</v>
      </c>
      <c r="M11" s="48">
        <f>IFERROR(TR/(RadSpec!J11*EF_w*(1/365)*ED_com*(ET_w_o+ET_w_i)*(1/24)*GSF_a),".")</f>
        <v>1520.2368589002633</v>
      </c>
      <c r="N11" s="48">
        <f t="shared" ref="N11" si="9">IFERROR(IF(AND(ISNUMBER(L11),ISNUMBER(M11)),1/((1/L11)+(1/M11)),IF(AND(ISNUMBER(L11),NOT(ISNUMBER(M11))),1/((1/L11)),IF(AND(NOT(ISNUMBER(L11)),ISNUMBER(M11)),1/((1/M11)),IF(AND(NOT(ISNUMBER(L11)),NOT(ISNUMBER(M11))),".")))),".")</f>
        <v>1520.2368589002633</v>
      </c>
    </row>
    <row r="12" spans="1:14" x14ac:dyDescent="0.25">
      <c r="A12" s="49" t="s">
        <v>22</v>
      </c>
      <c r="B12" s="50" t="s">
        <v>289</v>
      </c>
      <c r="C12" s="48" t="str">
        <f>IFERROR((TR/(RadSpec!I12*EF_w*ED_com*IRS_w*(1/1000)))*1,".")</f>
        <v>.</v>
      </c>
      <c r="D12" s="48" t="str">
        <f>IFERROR(IF(A12="H-3",(TR/(RadSpec!G12*EF_w*ED_com*(ET_w_o+ET_w_i)*(1/24)*IRA_w*(1/17)*1000))*1,(TR/(RadSpec!G12*EF_w*ED_com*(ET_w_o+ET_w_i)*(1/24)*IRA_w*(1/PEF_wind)*1000))*1),".")</f>
        <v>.</v>
      </c>
      <c r="E12" s="48">
        <f>IFERROR((TR/(RadSpec!F12*EF_w*(1/365)*ED_com*RadSpec!Q12*(ET_w_o+ET_w_i)*(1/24)*RadSpec!V12))*1,".")</f>
        <v>0.36243328012912074</v>
      </c>
      <c r="F12" s="48">
        <f t="shared" ref="F12" si="10">(IF(AND(ISNUMBER(C12),ISNUMBER(D12),ISNUMBER(E12)),1/((1/C12)+(1/D12)+(1/E12)),IF(AND(ISNUMBER(C12),ISNUMBER(D12),NOT(ISNUMBER(E12))), 1/((1/C12)+(1/D12)),IF(AND(ISNUMBER(C12),NOT(ISNUMBER(D12)),ISNUMBER(E12)),1/((1/C12)+(1/E12)),IF(AND(NOT(ISNUMBER(C12)),ISNUMBER(D12),ISNUMBER(E12)),1/((1/D12)+(1/E12)),IF(AND(ISNUMBER(C12),NOT(ISNUMBER(D12)),NOT(ISNUMBER(E12))),1/((1/C12)),IF(AND(NOT(ISNUMBER(C12)),NOT(ISNUMBER(D12)),ISNUMBER(E12)),1/((1/E12)),IF(AND(NOT(ISNUMBER(C12)),ISNUMBER(D12),NOT(ISNUMBER(E12))),1/((1/D12)),IF(AND(NOT(ISNUMBER(C12)),NOT(ISNUMBER(D12)),NOT(ISNUMBER(E12))),".")))))))))</f>
        <v>0.36243328012912074</v>
      </c>
      <c r="G12" s="48">
        <f>IFERROR((TR/(RadSpec!F12*EF_w*(1/365)*ED_com*RadSpec!Q12*(ET_w_o+ET_w_i)*(1/24)*RadSpec!V12))*1,".")</f>
        <v>0.36243328012912074</v>
      </c>
      <c r="H12" s="48">
        <f>IFERROR((TR/(RadSpec!M12*EF_w*(1/365)*ED_com*RadSpec!R12*(ET_w_o+ET_w_i)*(1/24)*RadSpec!W12))*1,".")</f>
        <v>1.5948913475069726</v>
      </c>
      <c r="I12" s="48">
        <f>IFERROR((TR/(RadSpec!N12*EF_w*(1/365)*ED_com*RadSpec!S12*(ET_w_o+ET_w_i)*(1/24)*RadSpec!W12))*1,".")</f>
        <v>0.57182689776469509</v>
      </c>
      <c r="J12" s="48">
        <f>IFERROR((TR/(RadSpec!O12*EF_w*(1/365)*ED_com*RadSpec!T12*(ET_w_o+ET_w_i)*(1/24)*RadSpec!X12))*1,".")</f>
        <v>0.38771932292882688</v>
      </c>
      <c r="K12" s="48">
        <f>IFERROR((TR/(RadSpec!K12*EF_w*(1/365)*ED_com*RadSpec!P12*(ET_w_o+ET_w_i)*(1/24)*RadSpec!U12))*1,".")</f>
        <v>1.5678931867654753</v>
      </c>
      <c r="L12" s="48" t="str">
        <f>IFERROR(TR/(RadSpec!G12*EF_w*ED_com*(ET_w_o+ET_w_i)*(1/24)*IRA_w),".")</f>
        <v>.</v>
      </c>
      <c r="M12" s="48">
        <f>IFERROR(TR/(RadSpec!J12*EF_w*(1/365)*ED_com*(ET_w_o+ET_w_i)*(1/24)*GSF_a),".")</f>
        <v>353.0526540551906</v>
      </c>
      <c r="N12" s="48">
        <f t="shared" ref="N12" si="11">IFERROR(IF(AND(ISNUMBER(L12),ISNUMBER(M12)),1/((1/L12)+(1/M12)),IF(AND(ISNUMBER(L12),NOT(ISNUMBER(M12))),1/((1/L12)),IF(AND(NOT(ISNUMBER(L12)),ISNUMBER(M12)),1/((1/M12)),IF(AND(NOT(ISNUMBER(L12)),NOT(ISNUMBER(M12))),".")))),".")</f>
        <v>353.0526540551906</v>
      </c>
    </row>
    <row r="13" spans="1:14" x14ac:dyDescent="0.25">
      <c r="A13" s="49" t="s">
        <v>23</v>
      </c>
      <c r="B13" s="50" t="s">
        <v>289</v>
      </c>
      <c r="C13" s="48">
        <f>IFERROR((TR/(RadSpec!I13*EF_w*ED_com*IRS_w*(1/1000)))*1,".")</f>
        <v>34.049797829325385</v>
      </c>
      <c r="D13" s="48">
        <f>IFERROR(IF(A13="H-3",(TR/(RadSpec!G13*EF_w*ED_com*(ET_w_o+ET_w_i)*(1/24)*IRA_w*(1/17)*1000))*1,(TR/(RadSpec!G13*EF_w*ED_com*(ET_w_o+ET_w_i)*(1/24)*IRA_w*(1/PEF_wind)*1000))*1),".")</f>
        <v>379.24170143509923</v>
      </c>
      <c r="E13" s="48">
        <f>IFERROR((TR/(RadSpec!F13*EF_w*(1/365)*ED_com*RadSpec!Q13*(ET_w_o+ET_w_i)*(1/24)*RadSpec!V13))*1,".")</f>
        <v>3.3870739948861406</v>
      </c>
      <c r="F13" s="48">
        <f t="shared" ref="F13:F14" si="12">(IF(AND(ISNUMBER(C13),ISNUMBER(D13),ISNUMBER(E13)),1/((1/C13)+(1/D13)+(1/E13)),IF(AND(ISNUMBER(C13),ISNUMBER(D13),NOT(ISNUMBER(E13))), 1/((1/C13)+(1/D13)),IF(AND(ISNUMBER(C13),NOT(ISNUMBER(D13)),ISNUMBER(E13)),1/((1/C13)+(1/E13)),IF(AND(NOT(ISNUMBER(C13)),ISNUMBER(D13),ISNUMBER(E13)),1/((1/D13)+(1/E13)),IF(AND(ISNUMBER(C13),NOT(ISNUMBER(D13)),NOT(ISNUMBER(E13))),1/((1/C13)),IF(AND(NOT(ISNUMBER(C13)),NOT(ISNUMBER(D13)),ISNUMBER(E13)),1/((1/E13)),IF(AND(NOT(ISNUMBER(C13)),ISNUMBER(D13),NOT(ISNUMBER(E13))),1/((1/D13)),IF(AND(NOT(ISNUMBER(C13)),NOT(ISNUMBER(D13)),NOT(ISNUMBER(E13))),".")))))))))</f>
        <v>3.0558081791410063</v>
      </c>
      <c r="G13" s="48">
        <f>IFERROR((TR/(RadSpec!F13*EF_w*(1/365)*ED_com*RadSpec!Q13*(ET_w_o+ET_w_i)*(1/24)*RadSpec!V13))*1,".")</f>
        <v>3.3870739948861406</v>
      </c>
      <c r="H13" s="48">
        <f>IFERROR((TR/(RadSpec!M13*EF_w*(1/365)*ED_com*RadSpec!R13*(ET_w_o+ET_w_i)*(1/24)*RadSpec!W13))*1,".")</f>
        <v>10.097400940340243</v>
      </c>
      <c r="I13" s="48">
        <f>IFERROR((TR/(RadSpec!N13*EF_w*(1/365)*ED_com*RadSpec!S13*(ET_w_o+ET_w_i)*(1/24)*RadSpec!W13))*1,".")</f>
        <v>4.2434213227787341</v>
      </c>
      <c r="J13" s="48">
        <f>IFERROR((TR/(RadSpec!O13*EF_w*(1/365)*ED_com*RadSpec!T13*(ET_w_o+ET_w_i)*(1/24)*RadSpec!X13))*1,".")</f>
        <v>3.4024348746815418</v>
      </c>
      <c r="K13" s="48">
        <f>IFERROR((TR/(RadSpec!K13*EF_w*(1/365)*ED_com*RadSpec!P13*(ET_w_o+ET_w_i)*(1/24)*RadSpec!U13))*1,".")</f>
        <v>8.3359654429697763</v>
      </c>
      <c r="L13" s="48">
        <f>IFERROR(TR/(RadSpec!G13*EF_w*ED_com*(ET_w_o+ET_w_i)*(1/24)*IRA_w),".")</f>
        <v>2.7898866608544026E-4</v>
      </c>
      <c r="M13" s="48">
        <f>IFERROR(TR/(RadSpec!J13*EF_w*(1/365)*ED_com*(ET_w_o+ET_w_i)*(1/24)*GSF_a),".")</f>
        <v>2283.8261487588434</v>
      </c>
      <c r="N13" s="48">
        <f t="shared" ref="N13:N14" si="13">IFERROR(IF(AND(ISNUMBER(L13),ISNUMBER(M13)),1/((1/L13)+(1/M13)),IF(AND(ISNUMBER(L13),NOT(ISNUMBER(M13))),1/((1/L13)),IF(AND(NOT(ISNUMBER(L13)),ISNUMBER(M13)),1/((1/M13)),IF(AND(NOT(ISNUMBER(L13)),NOT(ISNUMBER(M13))),".")))),".")</f>
        <v>2.7898863200462093E-4</v>
      </c>
    </row>
    <row r="14" spans="1:14" x14ac:dyDescent="0.25">
      <c r="A14" s="49" t="s">
        <v>24</v>
      </c>
      <c r="B14" s="50" t="s">
        <v>289</v>
      </c>
      <c r="C14" s="48">
        <f>IFERROR((TR/(RadSpec!I14*EF_w*ED_com*IRS_w*(1/1000)))*1,".")</f>
        <v>619.53070549059089</v>
      </c>
      <c r="D14" s="48">
        <f>IFERROR(IF(A14="H-3",(TR/(RadSpec!G14*EF_w*ED_com*(ET_w_o+ET_w_i)*(1/24)*IRA_w*(1/17)*1000))*1,(TR/(RadSpec!G14*EF_w*ED_com*(ET_w_o+ET_w_i)*(1/24)*IRA_w*(1/PEF_wind)*1000))*1),".")</f>
        <v>711652.10317724443</v>
      </c>
      <c r="E14" s="48">
        <f>IFERROR((TR/(RadSpec!F14*EF_w*(1/365)*ED_com*RadSpec!Q14*(ET_w_o+ET_w_i)*(1/24)*RadSpec!V14))*1,".")</f>
        <v>0.21809211914746515</v>
      </c>
      <c r="F14" s="48">
        <f t="shared" si="12"/>
        <v>0.21801530485568177</v>
      </c>
      <c r="G14" s="48">
        <f>IFERROR((TR/(RadSpec!F14*EF_w*(1/365)*ED_com*RadSpec!Q14*(ET_w_o+ET_w_i)*(1/24)*RadSpec!V14))*1,".")</f>
        <v>0.21809211914746515</v>
      </c>
      <c r="H14" s="48">
        <f>IFERROR((TR/(RadSpec!M14*EF_w*(1/365)*ED_com*RadSpec!R14*(ET_w_o+ET_w_i)*(1/24)*RadSpec!W14))*1,".")</f>
        <v>0.91940795326872549</v>
      </c>
      <c r="I14" s="48">
        <f>IFERROR((TR/(RadSpec!N14*EF_w*(1/365)*ED_com*RadSpec!S14*(ET_w_o+ET_w_i)*(1/24)*RadSpec!W14))*1,".")</f>
        <v>0.33492718297646423</v>
      </c>
      <c r="J14" s="48">
        <f>IFERROR((TR/(RadSpec!O14*EF_w*(1/365)*ED_com*RadSpec!T14*(ET_w_o+ET_w_i)*(1/24)*RadSpec!X14))*1,".")</f>
        <v>0.23048752376874962</v>
      </c>
      <c r="K14" s="48">
        <f>IFERROR((TR/(RadSpec!K14*EF_w*(1/365)*ED_com*RadSpec!P14*(ET_w_o+ET_w_i)*(1/24)*RadSpec!U14))*1,".")</f>
        <v>0.93197129176059634</v>
      </c>
      <c r="L14" s="48">
        <f>IFERROR(TR/(RadSpec!G14*EF_w*ED_com*(ET_w_o+ET_w_i)*(1/24)*IRA_w),".")</f>
        <v>0.52352594725476087</v>
      </c>
      <c r="M14" s="48">
        <f>IFERROR(TR/(RadSpec!J14*EF_w*(1/365)*ED_com*(ET_w_o+ET_w_i)*(1/24)*GSF_a),".")</f>
        <v>205.26317096232015</v>
      </c>
      <c r="N14" s="48">
        <f t="shared" si="13"/>
        <v>0.52219408556707636</v>
      </c>
    </row>
    <row r="15" spans="1:14" x14ac:dyDescent="0.25">
      <c r="A15" s="49" t="s">
        <v>25</v>
      </c>
      <c r="B15" s="50" t="s">
        <v>289</v>
      </c>
      <c r="C15" s="48">
        <f>IFERROR((TR/(RadSpec!I15*EF_w*ED_com*IRS_w*(1/1000)))*1,".")</f>
        <v>13104.013104013104</v>
      </c>
      <c r="D15" s="48">
        <f>IFERROR(IF(A15="H-3",(TR/(RadSpec!G15*EF_w*ED_com*(ET_w_o+ET_w_i)*(1/24)*IRA_w*(1/17)*1000))*1,(TR/(RadSpec!G15*EF_w*ED_com*(ET_w_o+ET_w_i)*(1/24)*IRA_w*(1/PEF_wind)*1000))*1),".")</f>
        <v>52297565.589359768</v>
      </c>
      <c r="E15" s="48">
        <f>IFERROR((TR/(RadSpec!F15*EF_w*(1/365)*ED_com*RadSpec!Q15*(ET_w_o+ET_w_i)*(1/24)*RadSpec!V15))*1,".")</f>
        <v>362.43328012912076</v>
      </c>
      <c r="F15" s="48">
        <f t="shared" ref="F15:F17" si="14">(IF(AND(ISNUMBER(C15),ISNUMBER(D15),ISNUMBER(E15)),1/((1/C15)+(1/D15)+(1/E15)),IF(AND(ISNUMBER(C15),ISNUMBER(D15),NOT(ISNUMBER(E15))), 1/((1/C15)+(1/D15)),IF(AND(ISNUMBER(C15),NOT(ISNUMBER(D15)),ISNUMBER(E15)),1/((1/C15)+(1/E15)),IF(AND(NOT(ISNUMBER(C15)),ISNUMBER(D15),ISNUMBER(E15)),1/((1/D15)+(1/E15)),IF(AND(ISNUMBER(C15),NOT(ISNUMBER(D15)),NOT(ISNUMBER(E15))),1/((1/C15)),IF(AND(NOT(ISNUMBER(C15)),NOT(ISNUMBER(D15)),ISNUMBER(E15)),1/((1/E15)),IF(AND(NOT(ISNUMBER(C15)),ISNUMBER(D15),NOT(ISNUMBER(E15))),1/((1/D15)),IF(AND(NOT(ISNUMBER(C15)),NOT(ISNUMBER(D15)),NOT(ISNUMBER(E15))),".")))))))))</f>
        <v>352.67644401836503</v>
      </c>
      <c r="G15" s="48">
        <f>IFERROR((TR/(RadSpec!F15*EF_w*(1/365)*ED_com*RadSpec!Q15*(ET_w_o+ET_w_i)*(1/24)*RadSpec!V15))*1,".")</f>
        <v>362.43328012912076</v>
      </c>
      <c r="H15" s="48">
        <f>IFERROR((TR/(RadSpec!M15*EF_w*(1/365)*ED_com*RadSpec!R15*(ET_w_o+ET_w_i)*(1/24)*RadSpec!W15))*1,".")</f>
        <v>1056.5228698314038</v>
      </c>
      <c r="I15" s="48">
        <f>IFERROR((TR/(RadSpec!N15*EF_w*(1/365)*ED_com*RadSpec!S15*(ET_w_o+ET_w_i)*(1/24)*RadSpec!W15))*1,".")</f>
        <v>467.26263693776787</v>
      </c>
      <c r="J15" s="48">
        <f>IFERROR((TR/(RadSpec!O15*EF_w*(1/365)*ED_com*RadSpec!T15*(ET_w_o+ET_w_i)*(1/24)*RadSpec!X15))*1,".")</f>
        <v>368.03379439160165</v>
      </c>
      <c r="K15" s="48">
        <f>IFERROR((TR/(RadSpec!K15*EF_w*(1/365)*ED_com*RadSpec!P15*(ET_w_o+ET_w_i)*(1/24)*RadSpec!U15))*1,".")</f>
        <v>344.46138194089986</v>
      </c>
      <c r="L15" s="48">
        <f>IFERROR(TR/(RadSpec!G15*EF_w*ED_com*(ET_w_o+ET_w_i)*(1/24)*IRA_w),".")</f>
        <v>38.472636337405021</v>
      </c>
      <c r="M15" s="48">
        <f>IFERROR(TR/(RadSpec!J15*EF_w*(1/365)*ED_com*(ET_w_o+ET_w_i)*(1/24)*GSF_a),".")</f>
        <v>102772.17669414794</v>
      </c>
      <c r="N15" s="48">
        <f t="shared" ref="N15:N17" si="15">IFERROR(IF(AND(ISNUMBER(L15),ISNUMBER(M15)),1/((1/L15)+(1/M15)),IF(AND(ISNUMBER(L15),NOT(ISNUMBER(M15))),1/((1/L15)),IF(AND(NOT(ISNUMBER(L15)),ISNUMBER(M15)),1/((1/M15)),IF(AND(NOT(ISNUMBER(L15)),NOT(ISNUMBER(M15))),".")))),".")</f>
        <v>38.458239543333697</v>
      </c>
    </row>
    <row r="16" spans="1:14" x14ac:dyDescent="0.25">
      <c r="A16" s="49" t="s">
        <v>26</v>
      </c>
      <c r="B16" s="50" t="s">
        <v>289</v>
      </c>
      <c r="C16" s="48">
        <f>IFERROR((TR/(RadSpec!I16*EF_w*ED_com*IRS_w*(1/1000)))*1,".")</f>
        <v>2.6693360026693358</v>
      </c>
      <c r="D16" s="48">
        <f>IFERROR(IF(A16="H-3",(TR/(RadSpec!G16*EF_w*ED_com*(ET_w_o+ET_w_i)*(1/24)*IRA_w*(1/17)*1000))*1,(TR/(RadSpec!G16*EF_w*ED_com*(ET_w_o+ET_w_i)*(1/24)*IRA_w*(1/PEF_wind)*1000))*1),".")</f>
        <v>685.11029979534248</v>
      </c>
      <c r="E16" s="48">
        <f>IFERROR((TR/(RadSpec!F16*EF_w*(1/365)*ED_com*RadSpec!Q16*(ET_w_o+ET_w_i)*(1/24)*RadSpec!V16))*1,".")</f>
        <v>118.14754171138269</v>
      </c>
      <c r="F16" s="48">
        <f t="shared" si="14"/>
        <v>2.6004514594177008</v>
      </c>
      <c r="G16" s="48">
        <f>IFERROR((TR/(RadSpec!F16*EF_w*(1/365)*ED_com*RadSpec!Q16*(ET_w_o+ET_w_i)*(1/24)*RadSpec!V16))*1,".")</f>
        <v>118.14754171138269</v>
      </c>
      <c r="H16" s="48">
        <f>IFERROR((TR/(RadSpec!M16*EF_w*(1/365)*ED_com*RadSpec!R16*(ET_w_o+ET_w_i)*(1/24)*RadSpec!W16))*1,".")</f>
        <v>183.88159065374509</v>
      </c>
      <c r="I16" s="48">
        <f>IFERROR((TR/(RadSpec!N16*EF_w*(1/365)*ED_com*RadSpec!S16*(ET_w_o+ET_w_i)*(1/24)*RadSpec!W16))*1,".")</f>
        <v>119.46447290880255</v>
      </c>
      <c r="J16" s="48">
        <f>IFERROR((TR/(RadSpec!O16*EF_w*(1/365)*ED_com*RadSpec!T16*(ET_w_o+ET_w_i)*(1/24)*RadSpec!X16))*1,".")</f>
        <v>118.14754171138269</v>
      </c>
      <c r="K16" s="48">
        <f>IFERROR((TR/(RadSpec!K16*EF_w*(1/365)*ED_com*RadSpec!P16*(ET_w_o+ET_w_i)*(1/24)*RadSpec!U16))*1,".")</f>
        <v>102.07304624044625</v>
      </c>
      <c r="L16" s="48">
        <f>IFERROR(TR/(RadSpec!G16*EF_w*ED_com*(ET_w_o+ET_w_i)*(1/24)*IRA_w),".")</f>
        <v>5.0400050400050398E-4</v>
      </c>
      <c r="M16" s="48">
        <f>IFERROR(TR/(RadSpec!J16*EF_w*(1/365)*ED_com*(ET_w_o+ET_w_i)*(1/24)*GSF_a),".")</f>
        <v>44524.444502509206</v>
      </c>
      <c r="N16" s="48">
        <f t="shared" si="15"/>
        <v>5.0400049829540179E-4</v>
      </c>
    </row>
    <row r="17" spans="1:14" x14ac:dyDescent="0.25">
      <c r="A17" s="49" t="s">
        <v>27</v>
      </c>
      <c r="B17" s="50" t="s">
        <v>289</v>
      </c>
      <c r="C17" s="48">
        <f>IFERROR((TR/(RadSpec!I17*EF_w*ED_com*IRS_w*(1/1000)))*1,".")</f>
        <v>7255.5777253763817</v>
      </c>
      <c r="D17" s="48">
        <f>IFERROR(IF(A17="H-3",(TR/(RadSpec!G17*EF_w*ED_com*(ET_w_o+ET_w_i)*(1/24)*IRA_w*(1/17)*1000))*1,(TR/(RadSpec!G17*EF_w*ED_com*(ET_w_o+ET_w_i)*(1/24)*IRA_w*(1/PEF_wind)*1000))*1),".")</f>
        <v>139958.24695819139</v>
      </c>
      <c r="E17" s="48">
        <f>IFERROR((TR/(RadSpec!F17*EF_w*(1/365)*ED_com*RadSpec!Q17*(ET_w_o+ET_w_i)*(1/24)*RadSpec!V17))*1,".")</f>
        <v>0.17631889303578846</v>
      </c>
      <c r="F17" s="48">
        <f t="shared" si="14"/>
        <v>0.17631438627296211</v>
      </c>
      <c r="G17" s="48">
        <f>IFERROR((TR/(RadSpec!F17*EF_w*(1/365)*ED_com*RadSpec!Q17*(ET_w_o+ET_w_i)*(1/24)*RadSpec!V17))*1,".")</f>
        <v>0.17631889303578846</v>
      </c>
      <c r="H17" s="48">
        <f>IFERROR((TR/(RadSpec!M17*EF_w*(1/365)*ED_com*RadSpec!R17*(ET_w_o+ET_w_i)*(1/24)*RadSpec!W17))*1,".")</f>
        <v>0.77503810936702477</v>
      </c>
      <c r="I17" s="48">
        <f>IFERROR((TR/(RadSpec!N17*EF_w*(1/365)*ED_com*RadSpec!S17*(ET_w_o+ET_w_i)*(1/24)*RadSpec!W17))*1,".")</f>
        <v>0.2782777781406825</v>
      </c>
      <c r="J17" s="48">
        <f>IFERROR((TR/(RadSpec!O17*EF_w*(1/365)*ED_com*RadSpec!T17*(ET_w_o+ET_w_i)*(1/24)*RadSpec!X17))*1,".")</f>
        <v>0.18826521703068505</v>
      </c>
      <c r="K17" s="48">
        <f>IFERROR((TR/(RadSpec!K17*EF_w*(1/365)*ED_com*RadSpec!P17*(ET_w_o+ET_w_i)*(1/24)*RadSpec!U17))*1,".")</f>
        <v>0.78558836635317275</v>
      </c>
      <c r="L17" s="48">
        <f>IFERROR(TR/(RadSpec!G17*EF_w*ED_com*(ET_w_o+ET_w_i)*(1/24)*IRA_w),".")</f>
        <v>0.10296010296010297</v>
      </c>
      <c r="M17" s="48">
        <f>IFERROR(TR/(RadSpec!J17*EF_w*(1/365)*ED_com*(ET_w_o+ET_w_i)*(1/24)*GSF_a),".")</f>
        <v>171.87557614370675</v>
      </c>
      <c r="N17" s="48">
        <f t="shared" si="15"/>
        <v>0.10289846280992546</v>
      </c>
    </row>
    <row r="18" spans="1:14" x14ac:dyDescent="0.25">
      <c r="A18" s="49" t="s">
        <v>28</v>
      </c>
      <c r="B18" s="50" t="s">
        <v>289</v>
      </c>
      <c r="C18" s="48">
        <f>IFERROR((TR/(RadSpec!I18*EF_w*ED_com*IRS_w*(1/1000)))*1,".")</f>
        <v>1.114516578434104</v>
      </c>
      <c r="D18" s="48">
        <f>IFERROR(IF(A18="H-3",(TR/(RadSpec!G18*EF_w*ED_com*(ET_w_o+ET_w_i)*(1/24)*IRA_w*(1/17)*1000))*1,(TR/(RadSpec!G18*EF_w*ED_com*(ET_w_o+ET_w_i)*(1/24)*IRA_w*(1/PEF_wind)*1000))*1),".")</f>
        <v>749.77632299031086</v>
      </c>
      <c r="E18" s="48">
        <f>IFERROR((TR/(RadSpec!F18*EF_w*(1/365)*ED_com*RadSpec!Q18*(ET_w_o+ET_w_i)*(1/24)*RadSpec!V18))*1,".")</f>
        <v>3887.2377713330575</v>
      </c>
      <c r="F18" s="48">
        <f t="shared" ref="F18:F21" si="16">(IF(AND(ISNUMBER(C18),ISNUMBER(D18),ISNUMBER(E18)),1/((1/C18)+(1/D18)+(1/E18)),IF(AND(ISNUMBER(C18),ISNUMBER(D18),NOT(ISNUMBER(E18))), 1/((1/C18)+(1/D18)),IF(AND(ISNUMBER(C18),NOT(ISNUMBER(D18)),ISNUMBER(E18)),1/((1/C18)+(1/E18)),IF(AND(NOT(ISNUMBER(C18)),ISNUMBER(D18),ISNUMBER(E18)),1/((1/D18)+(1/E18)),IF(AND(ISNUMBER(C18),NOT(ISNUMBER(D18)),NOT(ISNUMBER(E18))),1/((1/C18)),IF(AND(NOT(ISNUMBER(C18)),NOT(ISNUMBER(D18)),ISNUMBER(E18)),1/((1/E18)),IF(AND(NOT(ISNUMBER(C18)),ISNUMBER(D18),NOT(ISNUMBER(E18))),1/((1/D18)),IF(AND(NOT(ISNUMBER(C18)),NOT(ISNUMBER(D18)),NOT(ISNUMBER(E18))),".")))))))))</f>
        <v>1.1125438411394455</v>
      </c>
      <c r="G18" s="48">
        <f>IFERROR((TR/(RadSpec!F18*EF_w*(1/365)*ED_com*RadSpec!Q18*(ET_w_o+ET_w_i)*(1/24)*RadSpec!V18))*1,".")</f>
        <v>3887.2377713330575</v>
      </c>
      <c r="H18" s="48">
        <f>IFERROR((TR/(RadSpec!M18*EF_w*(1/365)*ED_com*RadSpec!R18*(ET_w_o+ET_w_i)*(1/24)*RadSpec!W18))*1,".")</f>
        <v>19578.206938081421</v>
      </c>
      <c r="I18" s="48">
        <f>IFERROR((TR/(RadSpec!N18*EF_w*(1/365)*ED_com*RadSpec!S18*(ET_w_o+ET_w_i)*(1/24)*RadSpec!W18))*1,".")</f>
        <v>6895.5596495154423</v>
      </c>
      <c r="J18" s="48">
        <f>IFERROR((TR/(RadSpec!O18*EF_w*(1/365)*ED_com*RadSpec!T18*(ET_w_o+ET_w_i)*(1/24)*RadSpec!X18))*1,".")</f>
        <v>4426.1763413998824</v>
      </c>
      <c r="K18" s="48">
        <f>IFERROR((TR/(RadSpec!K18*EF_w*(1/365)*ED_com*RadSpec!P18*(ET_w_o+ET_w_i)*(1/24)*RadSpec!U18))*1,".")</f>
        <v>20140.587647443761</v>
      </c>
      <c r="L18" s="48">
        <f>IFERROR(TR/(RadSpec!G18*EF_w*ED_com*(ET_w_o+ET_w_i)*(1/24)*IRA_w),".")</f>
        <v>5.5157198014340865E-4</v>
      </c>
      <c r="M18" s="48">
        <f>IFERROR(TR/(RadSpec!J18*EF_w*(1/365)*ED_com*(ET_w_o+ET_w_i)*(1/24)*GSF_a),".")</f>
        <v>4191267.5411579888</v>
      </c>
      <c r="N18" s="48">
        <f t="shared" ref="N18:N21" si="17">IFERROR(IF(AND(ISNUMBER(L18),ISNUMBER(M18)),1/((1/L18)+(1/M18)),IF(AND(ISNUMBER(L18),NOT(ISNUMBER(M18))),1/((1/L18)),IF(AND(NOT(ISNUMBER(L18)),ISNUMBER(M18)),1/((1/M18)),IF(AND(NOT(ISNUMBER(L18)),NOT(ISNUMBER(M18))),".")))),".")</f>
        <v>5.5157198007082164E-4</v>
      </c>
    </row>
    <row r="19" spans="1:14" x14ac:dyDescent="0.25">
      <c r="A19" s="49" t="s">
        <v>29</v>
      </c>
      <c r="B19" s="50" t="s">
        <v>289</v>
      </c>
      <c r="C19" s="48" t="str">
        <f>IFERROR((TR/(RadSpec!I19*EF_w*ED_com*IRS_w*(1/1000)))*1,".")</f>
        <v>.</v>
      </c>
      <c r="D19" s="48" t="str">
        <f>IFERROR(IF(A19="H-3",(TR/(RadSpec!G19*EF_w*ED_com*(ET_w_o+ET_w_i)*(1/24)*IRA_w*(1/17)*1000))*1,(TR/(RadSpec!G19*EF_w*ED_com*(ET_w_o+ET_w_i)*(1/24)*IRA_w*(1/PEF_wind)*1000))*1),".")</f>
        <v>.</v>
      </c>
      <c r="E19" s="48">
        <f>IFERROR((TR/(RadSpec!F19*EF_w*(1/365)*ED_com*RadSpec!Q19*(ET_w_o+ET_w_i)*(1/24)*RadSpec!V19))*1,".")</f>
        <v>1013.8336349557839</v>
      </c>
      <c r="F19" s="48">
        <f t="shared" si="16"/>
        <v>1013.8336349557837</v>
      </c>
      <c r="G19" s="48">
        <f>IFERROR((TR/(RadSpec!F19*EF_w*(1/365)*ED_com*RadSpec!Q19*(ET_w_o+ET_w_i)*(1/24)*RadSpec!V19))*1,".")</f>
        <v>1013.8336349557839</v>
      </c>
      <c r="H19" s="48">
        <f>IFERROR((TR/(RadSpec!M19*EF_w*(1/365)*ED_com*RadSpec!R19*(ET_w_o+ET_w_i)*(1/24)*RadSpec!W19))*1,".")</f>
        <v>5069.1681747789198</v>
      </c>
      <c r="I19" s="48">
        <f>IFERROR((TR/(RadSpec!N19*EF_w*(1/365)*ED_com*RadSpec!S19*(ET_w_o+ET_w_i)*(1/24)*RadSpec!W19))*1,".")</f>
        <v>1799.9925380692896</v>
      </c>
      <c r="J19" s="48">
        <f>IFERROR((TR/(RadSpec!O19*EF_w*(1/365)*ED_com*RadSpec!T19*(ET_w_o+ET_w_i)*(1/24)*RadSpec!X19))*1,".")</f>
        <v>1154.2105997958154</v>
      </c>
      <c r="K19" s="48">
        <f>IFERROR((TR/(RadSpec!K19*EF_w*(1/365)*ED_com*RadSpec!P19*(ET_w_o+ET_w_i)*(1/24)*RadSpec!U19))*1,".")</f>
        <v>5209.9784018561122</v>
      </c>
      <c r="L19" s="48" t="str">
        <f>IFERROR(TR/(RadSpec!G19*EF_w*ED_com*(ET_w_o+ET_w_i)*(1/24)*IRA_w),".")</f>
        <v>.</v>
      </c>
      <c r="M19" s="48">
        <f>IFERROR(TR/(RadSpec!J19*EF_w*(1/365)*ED_com*(ET_w_o+ET_w_i)*(1/24)*GSF_a),".")</f>
        <v>1087299.8403873623</v>
      </c>
      <c r="N19" s="48">
        <f t="shared" si="17"/>
        <v>1087299.8403873623</v>
      </c>
    </row>
    <row r="20" spans="1:14" x14ac:dyDescent="0.25">
      <c r="A20" s="49" t="s">
        <v>30</v>
      </c>
      <c r="B20" s="50" t="s">
        <v>289</v>
      </c>
      <c r="C20" s="48" t="str">
        <f>IFERROR((TR/(RadSpec!I20*EF_w*ED_com*IRS_w*(1/1000)))*1,".")</f>
        <v>.</v>
      </c>
      <c r="D20" s="48" t="str">
        <f>IFERROR(IF(A20="H-3",(TR/(RadSpec!G20*EF_w*ED_com*(ET_w_o+ET_w_i)*(1/24)*IRA_w*(1/17)*1000))*1,(TR/(RadSpec!G20*EF_w*ED_com*(ET_w_o+ET_w_i)*(1/24)*IRA_w*(1/PEF_wind)*1000))*1),".")</f>
        <v>.</v>
      </c>
      <c r="E20" s="48">
        <f>IFERROR((TR/(RadSpec!F20*EF_w*(1/365)*ED_com*RadSpec!Q20*(ET_w_o+ET_w_i)*(1/24)*RadSpec!V20))*1,".")</f>
        <v>454.6890241619879</v>
      </c>
      <c r="F20" s="48">
        <f t="shared" si="16"/>
        <v>454.68902416198796</v>
      </c>
      <c r="G20" s="48">
        <f>IFERROR((TR/(RadSpec!F20*EF_w*(1/365)*ED_com*RadSpec!Q20*(ET_w_o+ET_w_i)*(1/24)*RadSpec!V20))*1,".")</f>
        <v>454.6890241619879</v>
      </c>
      <c r="H20" s="48">
        <f>IFERROR((TR/(RadSpec!M20*EF_w*(1/365)*ED_com*RadSpec!R20*(ET_w_o+ET_w_i)*(1/24)*RadSpec!W20))*1,".")</f>
        <v>2298.5198831718135</v>
      </c>
      <c r="I20" s="48">
        <f>IFERROR((TR/(RadSpec!N20*EF_w*(1/365)*ED_com*RadSpec!S20*(ET_w_o+ET_w_i)*(1/24)*RadSpec!W20))*1,".")</f>
        <v>815.4748802905217</v>
      </c>
      <c r="J20" s="48">
        <f>IFERROR((TR/(RadSpec!O20*EF_w*(1/365)*ED_com*RadSpec!T20*(ET_w_o+ET_w_i)*(1/24)*RadSpec!X20))*1,".")</f>
        <v>519.19507949292733</v>
      </c>
      <c r="K20" s="48">
        <f>IFERROR((TR/(RadSpec!K20*EF_w*(1/365)*ED_com*RadSpec!P20*(ET_w_o+ET_w_i)*(1/24)*RadSpec!U20))*1,".")</f>
        <v>2359.2355027272956</v>
      </c>
      <c r="L20" s="48" t="str">
        <f>IFERROR(TR/(RadSpec!G20*EF_w*ED_com*(ET_w_o+ET_w_i)*(1/24)*IRA_w),".")</f>
        <v>.</v>
      </c>
      <c r="M20" s="48">
        <f>IFERROR(TR/(RadSpec!J20*EF_w*(1/365)*ED_com*(ET_w_o+ET_w_i)*(1/24)*GSF_a),".")</f>
        <v>490350.90840998688</v>
      </c>
      <c r="N20" s="48">
        <f t="shared" si="17"/>
        <v>490350.90840998682</v>
      </c>
    </row>
    <row r="21" spans="1:14" x14ac:dyDescent="0.25">
      <c r="A21" s="49" t="s">
        <v>31</v>
      </c>
      <c r="B21" s="50" t="s">
        <v>289</v>
      </c>
      <c r="C21" s="48" t="str">
        <f>IFERROR((TR/(RadSpec!I21*EF_w*ED_com*IRS_w*(1/1000)))*1,".")</f>
        <v>.</v>
      </c>
      <c r="D21" s="48">
        <f>IFERROR(IF(A21="H-3",(TR/(RadSpec!G21*EF_w*ED_com*(ET_w_o+ET_w_i)*(1/24)*IRA_w*(1/17)*1000))*1,(TR/(RadSpec!G21*EF_w*ED_com*(ET_w_o+ET_w_i)*(1/24)*IRA_w*(1/PEF_wind)*1000))*1),".")</f>
        <v>782356.53155765973</v>
      </c>
      <c r="E21" s="48">
        <f>IFERROR((TR/(RadSpec!F21*EF_w*(1/365)*ED_com*RadSpec!Q21*(ET_w_o+ET_w_i)*(1/24)*RadSpec!V21))*1,".")</f>
        <v>28450394.003309824</v>
      </c>
      <c r="F21" s="48">
        <f t="shared" si="16"/>
        <v>761418.31222243607</v>
      </c>
      <c r="G21" s="48">
        <f>IFERROR((TR/(RadSpec!F21*EF_w*(1/365)*ED_com*RadSpec!Q21*(ET_w_o+ET_w_i)*(1/24)*RadSpec!V21))*1,".")</f>
        <v>28450394.003309824</v>
      </c>
      <c r="H21" s="48">
        <f>IFERROR((TR/(RadSpec!M21*EF_w*(1/365)*ED_com*RadSpec!R21*(ET_w_o+ET_w_i)*(1/24)*RadSpec!W21))*1,".")</f>
        <v>61656549.134391837</v>
      </c>
      <c r="I21" s="48">
        <f>IFERROR((TR/(RadSpec!N21*EF_w*(1/365)*ED_com*RadSpec!S21*(ET_w_o+ET_w_i)*(1/24)*RadSpec!W21))*1,".")</f>
        <v>32562365.011600692</v>
      </c>
      <c r="J21" s="48">
        <f>IFERROR((TR/(RadSpec!O21*EF_w*(1/365)*ED_com*RadSpec!T21*(ET_w_o+ET_w_i)*(1/24)*RadSpec!X21))*1,".")</f>
        <v>28547826.859485544</v>
      </c>
      <c r="K21" s="48">
        <f>IFERROR((TR/(RadSpec!K21*EF_w*(1/365)*ED_com*RadSpec!P21*(ET_w_o+ET_w_i)*(1/24)*RadSpec!U21))*1,".")</f>
        <v>36722314.726739116</v>
      </c>
      <c r="L21" s="48">
        <f>IFERROR(TR/(RadSpec!G21*EF_w*ED_com*(ET_w_o+ET_w_i)*(1/24)*IRA_w),".")</f>
        <v>0.57553956834532372</v>
      </c>
      <c r="M21" s="48">
        <f>IFERROR(TR/(RadSpec!J21*EF_w*(1/365)*ED_com*(ET_w_o+ET_w_i)*(1/24)*GSF_a),".")</f>
        <v>4439271537.6762133</v>
      </c>
      <c r="N21" s="48">
        <f t="shared" si="17"/>
        <v>0.57553956827070651</v>
      </c>
    </row>
    <row r="22" spans="1:14" x14ac:dyDescent="0.25">
      <c r="A22" s="49" t="s">
        <v>32</v>
      </c>
      <c r="B22" s="50" t="s">
        <v>289</v>
      </c>
      <c r="C22" s="48">
        <f>IFERROR((TR/(RadSpec!I22*EF_w*ED_com*IRS_w*(1/1000)))*1,".")</f>
        <v>21.514051364797631</v>
      </c>
      <c r="D22" s="48">
        <f>IFERROR(IF(A22="H-3",(TR/(RadSpec!G22*EF_w*ED_com*(ET_w_o+ET_w_i)*(1/24)*IRA_w*(1/17)*1000))*1,(TR/(RadSpec!G22*EF_w*ED_com*(ET_w_o+ET_w_i)*(1/24)*IRA_w*(1/PEF_wind)*1000))*1),".")</f>
        <v>415.71756522235063</v>
      </c>
      <c r="E22" s="48">
        <f>IFERROR((TR/(RadSpec!F22*EF_w*(1/365)*ED_com*RadSpec!Q22*(ET_w_o+ET_w_i)*(1/24)*RadSpec!V22))*1,".")</f>
        <v>28.689747222458127</v>
      </c>
      <c r="F22" s="48">
        <f t="shared" ref="F22:F23" si="18">(IF(AND(ISNUMBER(C22),ISNUMBER(D22),ISNUMBER(E22)),1/((1/C22)+(1/D22)+(1/E22)),IF(AND(ISNUMBER(C22),ISNUMBER(D22),NOT(ISNUMBER(E22))), 1/((1/C22)+(1/D22)),IF(AND(ISNUMBER(C22),NOT(ISNUMBER(D22)),ISNUMBER(E22)),1/((1/C22)+(1/E22)),IF(AND(NOT(ISNUMBER(C22)),ISNUMBER(D22),ISNUMBER(E22)),1/((1/D22)+(1/E22)),IF(AND(ISNUMBER(C22),NOT(ISNUMBER(D22)),NOT(ISNUMBER(E22))),1/((1/C22)),IF(AND(NOT(ISNUMBER(C22)),NOT(ISNUMBER(D22)),ISNUMBER(E22)),1/((1/E22)),IF(AND(NOT(ISNUMBER(C22)),ISNUMBER(D22),NOT(ISNUMBER(E22))),1/((1/D22)),IF(AND(NOT(ISNUMBER(C22)),NOT(ISNUMBER(D22)),NOT(ISNUMBER(E22))),".")))))))))</f>
        <v>11.941384039502172</v>
      </c>
      <c r="G22" s="48">
        <f>IFERROR((TR/(RadSpec!F22*EF_w*(1/365)*ED_com*RadSpec!Q22*(ET_w_o+ET_w_i)*(1/24)*RadSpec!V22))*1,".")</f>
        <v>28.689747222458127</v>
      </c>
      <c r="H22" s="48">
        <f>IFERROR((TR/(RadSpec!M22*EF_w*(1/365)*ED_com*RadSpec!R22*(ET_w_o+ET_w_i)*(1/24)*RadSpec!W22))*1,".")</f>
        <v>39.403197997231089</v>
      </c>
      <c r="I22" s="48">
        <f>IFERROR((TR/(RadSpec!N22*EF_w*(1/365)*ED_com*RadSpec!S22*(ET_w_o+ET_w_i)*(1/24)*RadSpec!W22))*1,".")</f>
        <v>28.855264994895382</v>
      </c>
      <c r="J22" s="48">
        <f>IFERROR((TR/(RadSpec!O22*EF_w*(1/365)*ED_com*RadSpec!T22*(ET_w_o+ET_w_i)*(1/24)*RadSpec!X22))*1,".")</f>
        <v>28.744708424033714</v>
      </c>
      <c r="K22" s="48">
        <f>IFERROR((TR/(RadSpec!K22*EF_w*(1/365)*ED_com*RadSpec!P22*(ET_w_o+ET_w_i)*(1/24)*RadSpec!U22))*1,".")</f>
        <v>19.821318094247818</v>
      </c>
      <c r="L22" s="48">
        <f>IFERROR(TR/(RadSpec!G22*EF_w*ED_com*(ET_w_o+ET_w_i)*(1/24)*IRA_w),".")</f>
        <v>3.0582208800030585E-4</v>
      </c>
      <c r="M22" s="48">
        <f>IFERROR(TR/(RadSpec!J22*EF_w*(1/365)*ED_com*(ET_w_o+ET_w_i)*(1/24)*GSF_a),".")</f>
        <v>9496.6694919908859</v>
      </c>
      <c r="N22" s="48">
        <f t="shared" ref="N22:N23" si="19">IFERROR(IF(AND(ISNUMBER(L22),ISNUMBER(M22)),1/((1/L22)+(1/M22)),IF(AND(ISNUMBER(L22),NOT(ISNUMBER(M22))),1/((1/L22)),IF(AND(NOT(ISNUMBER(L22)),ISNUMBER(M22)),1/((1/M22)),IF(AND(NOT(ISNUMBER(L22)),NOT(ISNUMBER(M22))),".")))),".")</f>
        <v>3.0582207815189042E-4</v>
      </c>
    </row>
    <row r="23" spans="1:14" x14ac:dyDescent="0.25">
      <c r="A23" s="51" t="s">
        <v>33</v>
      </c>
      <c r="B23" s="50" t="s">
        <v>275</v>
      </c>
      <c r="C23" s="48">
        <f>IFERROR((TR/(RadSpec!I23*EF_w*ED_com*IRS_w*(1/1000)))*1,".")</f>
        <v>5.4325682466385992</v>
      </c>
      <c r="D23" s="48">
        <f>IFERROR(IF(A23="H-3",(TR/(RadSpec!G23*EF_w*ED_com*(ET_w_o+ET_w_i)*(1/24)*IRA_w*(1/17)*1000))*1,(TR/(RadSpec!G23*EF_w*ED_com*(ET_w_o+ET_w_i)*(1/24)*IRA_w*(1/PEF_wind)*1000))*1),".")</f>
        <v>386.21855270985793</v>
      </c>
      <c r="E23" s="48">
        <f>IFERROR((TR/(RadSpec!F23*EF_w*(1/365)*ED_com*RadSpec!Q23*(ET_w_o+ET_w_i)*(1/24)*RadSpec!V23))*1,".")</f>
        <v>7.0115597183857936</v>
      </c>
      <c r="F23" s="48">
        <f t="shared" si="18"/>
        <v>3.0368753185596455</v>
      </c>
      <c r="G23" s="48">
        <f>IFERROR((TR/(RadSpec!F23*EF_w*(1/365)*ED_com*RadSpec!Q23*(ET_w_o+ET_w_i)*(1/24)*RadSpec!V23))*1,".")</f>
        <v>7.0115597183857936</v>
      </c>
      <c r="H23" s="48">
        <f>IFERROR((TR/(RadSpec!M23*EF_w*(1/365)*ED_com*RadSpec!R23*(ET_w_o+ET_w_i)*(1/24)*RadSpec!W23))*1,".")</f>
        <v>27.663602133749265</v>
      </c>
      <c r="I23" s="48">
        <f>IFERROR((TR/(RadSpec!N23*EF_w*(1/365)*ED_com*RadSpec!S23*(ET_w_o+ET_w_i)*(1/24)*RadSpec!W23))*1,".")</f>
        <v>10.117827240286987</v>
      </c>
      <c r="J23" s="48">
        <f>IFERROR((TR/(RadSpec!O23*EF_w*(1/365)*ED_com*RadSpec!T23*(ET_w_o+ET_w_i)*(1/24)*RadSpec!X23))*1,".")</f>
        <v>7.2138162487238455</v>
      </c>
      <c r="K23" s="48">
        <f>IFERROR((TR/(RadSpec!K23*EF_w*(1/365)*ED_com*RadSpec!P23*(ET_w_o+ET_w_i)*(1/24)*RadSpec!U23))*1,".")</f>
        <v>28.046238873543174</v>
      </c>
      <c r="L23" s="48">
        <f>IFERROR(TR/(RadSpec!G23*EF_w*ED_com*(ET_w_o+ET_w_i)*(1/24)*IRA_w),".")</f>
        <v>2.8412117768228151E-4</v>
      </c>
      <c r="M23" s="48">
        <f>IFERROR(TR/(RadSpec!J23*EF_w*(1/365)*ED_com*(ET_w_o+ET_w_i)*(1/24)*GSF_a),".")</f>
        <v>6149.4827038301655</v>
      </c>
      <c r="N23" s="48">
        <f t="shared" si="19"/>
        <v>2.8412116455518716E-4</v>
      </c>
    </row>
    <row r="24" spans="1:14" x14ac:dyDescent="0.25">
      <c r="A24" s="49" t="s">
        <v>34</v>
      </c>
      <c r="B24" s="50" t="s">
        <v>289</v>
      </c>
      <c r="C24" s="48" t="str">
        <f>IFERROR((TR/(RadSpec!I24*EF_w*ED_com*IRS_w*(1/1000)))*1,".")</f>
        <v>.</v>
      </c>
      <c r="D24" s="48" t="str">
        <f>IFERROR(IF(A24="H-3",(TR/(RadSpec!G24*EF_w*ED_com*(ET_w_o+ET_w_i)*(1/24)*IRA_w*(1/17)*1000))*1,(TR/(RadSpec!G24*EF_w*ED_com*(ET_w_o+ET_w_i)*(1/24)*IRA_w*(1/PEF_wind)*1000))*1),".")</f>
        <v>.</v>
      </c>
      <c r="E24" s="48">
        <f>IFERROR((TR/(RadSpec!F24*EF_w*(1/365)*ED_com*RadSpec!Q24*(ET_w_o+ET_w_i)*(1/24)*RadSpec!V24))*1,".")</f>
        <v>51.740475163260697</v>
      </c>
      <c r="F24" s="48">
        <f t="shared" ref="F24:F25" si="20">(IF(AND(ISNUMBER(C24),ISNUMBER(D24),ISNUMBER(E24)),1/((1/C24)+(1/D24)+(1/E24)),IF(AND(ISNUMBER(C24),ISNUMBER(D24),NOT(ISNUMBER(E24))), 1/((1/C24)+(1/D24)),IF(AND(ISNUMBER(C24),NOT(ISNUMBER(D24)),ISNUMBER(E24)),1/((1/C24)+(1/E24)),IF(AND(NOT(ISNUMBER(C24)),ISNUMBER(D24),ISNUMBER(E24)),1/((1/D24)+(1/E24)),IF(AND(ISNUMBER(C24),NOT(ISNUMBER(D24)),NOT(ISNUMBER(E24))),1/((1/C24)),IF(AND(NOT(ISNUMBER(C24)),NOT(ISNUMBER(D24)),ISNUMBER(E24)),1/((1/E24)),IF(AND(NOT(ISNUMBER(C24)),ISNUMBER(D24),NOT(ISNUMBER(E24))),1/((1/D24)),IF(AND(NOT(ISNUMBER(C24)),NOT(ISNUMBER(D24)),NOT(ISNUMBER(E24))),".")))))))))</f>
        <v>51.740475163260705</v>
      </c>
      <c r="G24" s="48">
        <f>IFERROR((TR/(RadSpec!F24*EF_w*(1/365)*ED_com*RadSpec!Q24*(ET_w_o+ET_w_i)*(1/24)*RadSpec!V24))*1,".")</f>
        <v>51.740475163260697</v>
      </c>
      <c r="H24" s="48">
        <f>IFERROR((TR/(RadSpec!M24*EF_w*(1/365)*ED_com*RadSpec!R24*(ET_w_o+ET_w_i)*(1/24)*RadSpec!W24))*1,".")</f>
        <v>251.41986925847183</v>
      </c>
      <c r="I24" s="48">
        <f>IFERROR((TR/(RadSpec!N24*EF_w*(1/365)*ED_com*RadSpec!S24*(ET_w_o+ET_w_i)*(1/24)*RadSpec!W24))*1,".")</f>
        <v>89.313915460390476</v>
      </c>
      <c r="J24" s="48">
        <f>IFERROR((TR/(RadSpec!O24*EF_w*(1/365)*ED_com*RadSpec!T24*(ET_w_o+ET_w_i)*(1/24)*RadSpec!X24))*1,".")</f>
        <v>57.710529989790764</v>
      </c>
      <c r="K24" s="48">
        <f>IFERROR((TR/(RadSpec!K24*EF_w*(1/365)*ED_com*RadSpec!P24*(ET_w_o+ET_w_i)*(1/24)*RadSpec!U24))*1,".")</f>
        <v>257.37114575206857</v>
      </c>
      <c r="L24" s="48" t="str">
        <f>IFERROR(TR/(RadSpec!G24*EF_w*ED_com*(ET_w_o+ET_w_i)*(1/24)*IRA_w),".")</f>
        <v>.</v>
      </c>
      <c r="M24" s="48">
        <f>IFERROR(TR/(RadSpec!J24*EF_w*(1/365)*ED_com*(ET_w_o+ET_w_i)*(1/24)*GSF_a),".")</f>
        <v>54962.409514086437</v>
      </c>
      <c r="N24" s="48">
        <f t="shared" ref="N24:N25" si="21">IFERROR(IF(AND(ISNUMBER(L24),ISNUMBER(M24)),1/((1/L24)+(1/M24)),IF(AND(ISNUMBER(L24),NOT(ISNUMBER(M24))),1/((1/L24)),IF(AND(NOT(ISNUMBER(L24)),ISNUMBER(M24)),1/((1/M24)),IF(AND(NOT(ISNUMBER(L24)),NOT(ISNUMBER(M24))),".")))),".")</f>
        <v>54962.409514086445</v>
      </c>
    </row>
    <row r="25" spans="1:14" x14ac:dyDescent="0.25">
      <c r="A25" s="51" t="s">
        <v>35</v>
      </c>
      <c r="B25" s="50" t="s">
        <v>275</v>
      </c>
      <c r="C25" s="48" t="str">
        <f>IFERROR((TR/(RadSpec!I25*EF_w*ED_com*IRS_w*(1/1000)))*1,".")</f>
        <v>.</v>
      </c>
      <c r="D25" s="48">
        <f>IFERROR(IF(A25="H-3",(TR/(RadSpec!G25*EF_w*ED_com*(ET_w_o+ET_w_i)*(1/24)*IRA_w*(1/17)*1000))*1,(TR/(RadSpec!G25*EF_w*ED_com*(ET_w_o+ET_w_i)*(1/24)*IRA_w*(1/PEF_wind)*1000))*1),".")</f>
        <v>4769629.7318646796</v>
      </c>
      <c r="E25" s="48">
        <f>IFERROR((TR/(RadSpec!F25*EF_w*(1/365)*ED_com*RadSpec!Q25*(ET_w_o+ET_w_i)*(1/24)*RadSpec!V25))*1,".")</f>
        <v>103.48095032652139</v>
      </c>
      <c r="F25" s="48">
        <f t="shared" si="20"/>
        <v>103.47870527284591</v>
      </c>
      <c r="G25" s="48">
        <f>IFERROR((TR/(RadSpec!F25*EF_w*(1/365)*ED_com*RadSpec!Q25*(ET_w_o+ET_w_i)*(1/24)*RadSpec!V25))*1,".")</f>
        <v>103.48095032652139</v>
      </c>
      <c r="H25" s="48">
        <f>IFERROR((TR/(RadSpec!M25*EF_w*(1/365)*ED_com*RadSpec!R25*(ET_w_o+ET_w_i)*(1/24)*RadSpec!W25))*1,".")</f>
        <v>490.99272897073286</v>
      </c>
      <c r="I25" s="48">
        <f>IFERROR((TR/(RadSpec!N25*EF_w*(1/365)*ED_com*RadSpec!S25*(ET_w_o+ET_w_i)*(1/24)*RadSpec!W25))*1,".")</f>
        <v>173.98814700076068</v>
      </c>
      <c r="J25" s="48">
        <f>IFERROR((TR/(RadSpec!O25*EF_w*(1/365)*ED_com*RadSpec!T25*(ET_w_o+ET_w_i)*(1/24)*RadSpec!X25))*1,".")</f>
        <v>113.67225604049698</v>
      </c>
      <c r="K25" s="48">
        <f>IFERROR((TR/(RadSpec!K25*EF_w*(1/365)*ED_com*RadSpec!P25*(ET_w_o+ET_w_i)*(1/24)*RadSpec!U25))*1,".")</f>
        <v>500.15792657818673</v>
      </c>
      <c r="L25" s="48">
        <f>IFERROR(TR/(RadSpec!G25*EF_w*ED_com*(ET_w_o+ET_w_i)*(1/24)*IRA_w),".")</f>
        <v>3.5087719298245617</v>
      </c>
      <c r="M25" s="48">
        <f>IFERROR(TR/(RadSpec!J25*EF_w*(1/365)*ED_com*(ET_w_o+ET_w_i)*(1/24)*GSF_a),".")</f>
        <v>107947.75393773813</v>
      </c>
      <c r="N25" s="48">
        <f t="shared" si="21"/>
        <v>3.5086578831691866</v>
      </c>
    </row>
    <row r="26" spans="1:14" x14ac:dyDescent="0.25">
      <c r="A26" s="49" t="s">
        <v>36</v>
      </c>
      <c r="B26" s="50" t="s">
        <v>289</v>
      </c>
      <c r="C26" s="48">
        <f>IFERROR((TR/(RadSpec!I26*EF_w*ED_com*IRS_w*(1/1000)))*1,".")</f>
        <v>8.1284291810607616</v>
      </c>
      <c r="D26" s="48">
        <f>IFERROR(IF(A26="H-3",(TR/(RadSpec!G26*EF_w*ED_com*(ET_w_o+ET_w_i)*(1/24)*IRA_w*(1/17)*1000))*1,(TR/(RadSpec!G26*EF_w*ED_com*(ET_w_o+ET_w_i)*(1/24)*IRA_w*(1/PEF_wind)*1000))*1),".")</f>
        <v>62.269559028008885</v>
      </c>
      <c r="E26" s="48">
        <f>IFERROR((TR/(RadSpec!F26*EF_w*(1/365)*ED_com*RadSpec!Q26*(ET_w_o+ET_w_i)*(1/24)*RadSpec!V26))*1,".")</f>
        <v>0.78149676027841664</v>
      </c>
      <c r="F26" s="48">
        <f t="shared" ref="F26:F29" si="22">(IF(AND(ISNUMBER(C26),ISNUMBER(D26),ISNUMBER(E26)),1/((1/C26)+(1/D26)+(1/E26)),IF(AND(ISNUMBER(C26),ISNUMBER(D26),NOT(ISNUMBER(E26))), 1/((1/C26)+(1/D26)),IF(AND(ISNUMBER(C26),NOT(ISNUMBER(D26)),ISNUMBER(E26)),1/((1/C26)+(1/E26)),IF(AND(NOT(ISNUMBER(C26)),ISNUMBER(D26),ISNUMBER(E26)),1/((1/D26)+(1/E26)),IF(AND(ISNUMBER(C26),NOT(ISNUMBER(D26)),NOT(ISNUMBER(E26))),1/((1/C26)),IF(AND(NOT(ISNUMBER(C26)),NOT(ISNUMBER(D26)),ISNUMBER(E26)),1/((1/E26)),IF(AND(NOT(ISNUMBER(C26)),ISNUMBER(D26),NOT(ISNUMBER(E26))),1/((1/D26)),IF(AND(NOT(ISNUMBER(C26)),NOT(ISNUMBER(D26)),NOT(ISNUMBER(E26))),".")))))))))</f>
        <v>0.7048805699645474</v>
      </c>
      <c r="G26" s="48">
        <f>IFERROR((TR/(RadSpec!F26*EF_w*(1/365)*ED_com*RadSpec!Q26*(ET_w_o+ET_w_i)*(1/24)*RadSpec!V26))*1,".")</f>
        <v>0.78149676027841664</v>
      </c>
      <c r="H26" s="48">
        <f>IFERROR((TR/(RadSpec!M26*EF_w*(1/365)*ED_com*RadSpec!R26*(ET_w_o+ET_w_i)*(1/24)*RadSpec!W26))*1,".")</f>
        <v>2.5905969953980663</v>
      </c>
      <c r="I26" s="48">
        <f>IFERROR((TR/(RadSpec!N26*EF_w*(1/365)*ED_com*RadSpec!S26*(ET_w_o+ET_w_i)*(1/24)*RadSpec!W26))*1,".")</f>
        <v>1.027018329729336</v>
      </c>
      <c r="J26" s="48">
        <f>IFERROR((TR/(RadSpec!O26*EF_w*(1/365)*ED_com*RadSpec!T26*(ET_w_o+ET_w_i)*(1/24)*RadSpec!X26))*1,".")</f>
        <v>0.78972304196555798</v>
      </c>
      <c r="K26" s="48">
        <f>IFERROR((TR/(RadSpec!K26*EF_w*(1/365)*ED_com*RadSpec!P26*(ET_w_o+ET_w_i)*(1/24)*RadSpec!U26))*1,".")</f>
        <v>2.476029339495974</v>
      </c>
      <c r="L26" s="48">
        <f>IFERROR(TR/(RadSpec!G26*EF_w*ED_com*(ET_w_o+ET_w_i)*(1/24)*IRA_w),".")</f>
        <v>4.5808520384791572E-5</v>
      </c>
      <c r="M26" s="48">
        <f>IFERROR(TR/(RadSpec!J26*EF_w*(1/365)*ED_com*(ET_w_o+ET_w_i)*(1/24)*GSF_a),".")</f>
        <v>583.84193763990652</v>
      </c>
      <c r="N26" s="48">
        <f t="shared" ref="N26:N29" si="23">IFERROR(IF(AND(ISNUMBER(L26),ISNUMBER(M26)),1/((1/L26)+(1/M26)),IF(AND(ISNUMBER(L26),NOT(ISNUMBER(M26))),1/((1/L26)),IF(AND(NOT(ISNUMBER(L26)),ISNUMBER(M26)),1/((1/M26)),IF(AND(NOT(ISNUMBER(L26)),NOT(ISNUMBER(M26))),".")))),".")</f>
        <v>4.5808516790633222E-5</v>
      </c>
    </row>
    <row r="27" spans="1:14" x14ac:dyDescent="0.25">
      <c r="A27" s="49" t="s">
        <v>37</v>
      </c>
      <c r="B27" s="50" t="s">
        <v>289</v>
      </c>
      <c r="C27" s="48" t="str">
        <f>IFERROR((TR/(RadSpec!I27*EF_w*ED_com*IRS_w*(1/1000)))*1,".")</f>
        <v>.</v>
      </c>
      <c r="D27" s="48" t="str">
        <f>IFERROR(IF(A27="H-3",(TR/(RadSpec!G27*EF_w*ED_com*(ET_w_o+ET_w_i)*(1/24)*IRA_w*(1/17)*1000))*1,(TR/(RadSpec!G27*EF_w*ED_com*(ET_w_o+ET_w_i)*(1/24)*IRA_w*(1/PEF_wind)*1000))*1),".")</f>
        <v>.</v>
      </c>
      <c r="E27" s="48">
        <f>IFERROR((TR/(RadSpec!F27*EF_w*(1/365)*ED_com*RadSpec!Q27*(ET_w_o+ET_w_i)*(1/24)*RadSpec!V27))*1,".")</f>
        <v>28.689747222458127</v>
      </c>
      <c r="F27" s="48">
        <f t="shared" si="22"/>
        <v>28.689747222458127</v>
      </c>
      <c r="G27" s="48">
        <f>IFERROR((TR/(RadSpec!F27*EF_w*(1/365)*ED_com*RadSpec!Q27*(ET_w_o+ET_w_i)*(1/24)*RadSpec!V27))*1,".")</f>
        <v>28.689747222458127</v>
      </c>
      <c r="H27" s="48">
        <f>IFERROR((TR/(RadSpec!M27*EF_w*(1/365)*ED_com*RadSpec!R27*(ET_w_o+ET_w_i)*(1/24)*RadSpec!W27))*1,".")</f>
        <v>84.486136246315326</v>
      </c>
      <c r="I27" s="48">
        <f>IFERROR((TR/(RadSpec!N27*EF_w*(1/365)*ED_com*RadSpec!S27*(ET_w_o+ET_w_i)*(1/24)*RadSpec!W27))*1,".")</f>
        <v>39.73712340398729</v>
      </c>
      <c r="J27" s="48">
        <f>IFERROR((TR/(RadSpec!O27*EF_w*(1/365)*ED_com*RadSpec!T27*(ET_w_o+ET_w_i)*(1/24)*RadSpec!X27))*1,".")</f>
        <v>29.889915930967337</v>
      </c>
      <c r="K27" s="48">
        <f>IFERROR((TR/(RadSpec!K27*EF_w*(1/365)*ED_com*RadSpec!P27*(ET_w_o+ET_w_i)*(1/24)*RadSpec!U27))*1,".")</f>
        <v>20.442422067228339</v>
      </c>
      <c r="L27" s="48" t="str">
        <f>IFERROR(TR/(RadSpec!G27*EF_w*ED_com*(ET_w_o+ET_w_i)*(1/24)*IRA_w),".")</f>
        <v>.</v>
      </c>
      <c r="M27" s="48">
        <f>IFERROR(TR/(RadSpec!J27*EF_w*(1/365)*ED_com*(ET_w_o+ET_w_i)*(1/24)*GSF_a),".")</f>
        <v>18639.425835211921</v>
      </c>
      <c r="N27" s="48">
        <f t="shared" si="23"/>
        <v>18639.425835211921</v>
      </c>
    </row>
    <row r="28" spans="1:14" x14ac:dyDescent="0.25">
      <c r="A28" s="49" t="s">
        <v>38</v>
      </c>
      <c r="B28" s="50" t="s">
        <v>289</v>
      </c>
      <c r="C28" s="48" t="str">
        <f>IFERROR((TR/(RadSpec!I28*EF_w*ED_com*IRS_w*(1/1000)))*1,".")</f>
        <v>.</v>
      </c>
      <c r="D28" s="48" t="str">
        <f>IFERROR(IF(A28="H-3",(TR/(RadSpec!G28*EF_w*ED_com*(ET_w_o+ET_w_i)*(1/24)*IRA_w*(1/17)*1000))*1,(TR/(RadSpec!G28*EF_w*ED_com*(ET_w_o+ET_w_i)*(1/24)*IRA_w*(1/PEF_wind)*1000))*1),".")</f>
        <v>.</v>
      </c>
      <c r="E28" s="48">
        <f>IFERROR((TR/(RadSpec!F28*EF_w*(1/365)*ED_com*RadSpec!Q28*(ET_w_o+ET_w_i)*(1/24)*RadSpec!V28))*1,".")</f>
        <v>1.6973685291114933E-2</v>
      </c>
      <c r="F28" s="48">
        <f t="shared" si="22"/>
        <v>1.6973685291114933E-2</v>
      </c>
      <c r="G28" s="48">
        <f>IFERROR((TR/(RadSpec!F28*EF_w*(1/365)*ED_com*RadSpec!Q28*(ET_w_o+ET_w_i)*(1/24)*RadSpec!V28))*1,".")</f>
        <v>1.6973685291114933E-2</v>
      </c>
      <c r="H28" s="48">
        <f>IFERROR((TR/(RadSpec!M28*EF_w*(1/365)*ED_com*RadSpec!R28*(ET_w_o+ET_w_i)*(1/24)*RadSpec!W28))*1,".")</f>
        <v>9.1940795326872549E-2</v>
      </c>
      <c r="I28" s="48">
        <f>IFERROR((TR/(RadSpec!N28*EF_w*(1/365)*ED_com*RadSpec!S28*(ET_w_o+ET_w_i)*(1/24)*RadSpec!W28))*1,".")</f>
        <v>3.2006693253723552E-2</v>
      </c>
      <c r="J28" s="48">
        <f>IFERROR((TR/(RadSpec!O28*EF_w*(1/365)*ED_com*RadSpec!T28*(ET_w_o+ET_w_i)*(1/24)*RadSpec!X28))*1,".")</f>
        <v>2.0113589540677747E-2</v>
      </c>
      <c r="K28" s="48">
        <f>IFERROR((TR/(RadSpec!K28*EF_w*(1/365)*ED_com*RadSpec!P28*(ET_w_o+ET_w_i)*(1/24)*RadSpec!U28))*1,".")</f>
        <v>9.4369420109091828E-2</v>
      </c>
      <c r="L28" s="48" t="str">
        <f>IFERROR(TR/(RadSpec!G28*EF_w*ED_com*(ET_w_o+ET_w_i)*(1/24)*IRA_w),".")</f>
        <v>.</v>
      </c>
      <c r="M28" s="48">
        <f>IFERROR(TR/(RadSpec!J28*EF_w*(1/365)*ED_com*(ET_w_o+ET_w_i)*(1/24)*GSF_a),".")</f>
        <v>18.298460728470243</v>
      </c>
      <c r="N28" s="48">
        <f t="shared" si="23"/>
        <v>18.298460728470243</v>
      </c>
    </row>
    <row r="29" spans="1:14" x14ac:dyDescent="0.25">
      <c r="A29" s="49" t="s">
        <v>39</v>
      </c>
      <c r="B29" s="50" t="s">
        <v>289</v>
      </c>
      <c r="C29" s="48" t="str">
        <f>IFERROR((TR/(RadSpec!I29*EF_w*ED_com*IRS_w*(1/1000)))*1,".")</f>
        <v>.</v>
      </c>
      <c r="D29" s="48" t="str">
        <f>IFERROR(IF(A29="H-3",(TR/(RadSpec!G29*EF_w*ED_com*(ET_w_o+ET_w_i)*(1/24)*IRA_w*(1/17)*1000))*1,(TR/(RadSpec!G29*EF_w*ED_com*(ET_w_o+ET_w_i)*(1/24)*IRA_w*(1/PEF_wind)*1000))*1),".")</f>
        <v>.</v>
      </c>
      <c r="E29" s="48">
        <f>IFERROR((TR/(RadSpec!F29*EF_w*(1/365)*ED_com*RadSpec!Q29*(ET_w_o+ET_w_i)*(1/24)*RadSpec!V29))*1,".")</f>
        <v>1.3047598084648346E-2</v>
      </c>
      <c r="F29" s="48">
        <f t="shared" si="22"/>
        <v>1.3047598084648346E-2</v>
      </c>
      <c r="G29" s="48">
        <f>IFERROR((TR/(RadSpec!F29*EF_w*(1/365)*ED_com*RadSpec!Q29*(ET_w_o+ET_w_i)*(1/24)*RadSpec!V29))*1,".")</f>
        <v>1.3047598084648346E-2</v>
      </c>
      <c r="H29" s="48">
        <f>IFERROR((TR/(RadSpec!M29*EF_w*(1/365)*ED_com*RadSpec!R29*(ET_w_o+ET_w_i)*(1/24)*RadSpec!W29))*1,".")</f>
        <v>7.0510985889781955E-2</v>
      </c>
      <c r="I29" s="48">
        <f>IFERROR((TR/(RadSpec!N29*EF_w*(1/365)*ED_com*RadSpec!S29*(ET_w_o+ET_w_i)*(1/24)*RadSpec!W29))*1,".")</f>
        <v>2.4614071189871394E-2</v>
      </c>
      <c r="J29" s="48">
        <f>IFERROR((TR/(RadSpec!O29*EF_w*(1/365)*ED_com*RadSpec!T29*(ET_w_o+ET_w_i)*(1/24)*RadSpec!X29))*1,".")</f>
        <v>1.5421107705391162E-2</v>
      </c>
      <c r="K29" s="48">
        <f>IFERROR((TR/(RadSpec!K29*EF_w*(1/365)*ED_com*RadSpec!P29*(ET_w_o+ET_w_i)*(1/24)*RadSpec!U29))*1,".")</f>
        <v>7.2838532996823302E-2</v>
      </c>
      <c r="L29" s="48" t="str">
        <f>IFERROR(TR/(RadSpec!G29*EF_w*ED_com*(ET_w_o+ET_w_i)*(1/24)*IRA_w),".")</f>
        <v>.</v>
      </c>
      <c r="M29" s="48">
        <f>IFERROR(TR/(RadSpec!J29*EF_w*(1/365)*ED_com*(ET_w_o+ET_w_i)*(1/24)*GSF_a),".")</f>
        <v>14.155413016363772</v>
      </c>
      <c r="N29" s="48">
        <f t="shared" si="23"/>
        <v>14.155413016363774</v>
      </c>
    </row>
    <row r="30" spans="1:14" x14ac:dyDescent="0.25">
      <c r="A30" s="49" t="s">
        <v>40</v>
      </c>
      <c r="B30" s="50" t="s">
        <v>289</v>
      </c>
      <c r="C30" s="48">
        <f>IFERROR((TR/(RadSpec!I30*EF_w*ED_com*IRS_w*(1/1000)))*1,".")</f>
        <v>30.66896683917961</v>
      </c>
      <c r="D30" s="48">
        <f>IFERROR(IF(A30="H-3",(TR/(RadSpec!G30*EF_w*ED_com*(ET_w_o+ET_w_i)*(1/24)*IRA_w*(1/17)*1000))*1,(TR/(RadSpec!G30*EF_w*ED_com*(ET_w_o+ET_w_i)*(1/24)*IRA_w*(1/PEF_wind)*1000))*1),".")</f>
        <v>384.19910929699597</v>
      </c>
      <c r="E30" s="48">
        <f>IFERROR((TR/(RadSpec!F30*EF_w*(1/365)*ED_com*RadSpec!Q30*(ET_w_o+ET_w_i)*(1/24)*RadSpec!V30))*1,".")</f>
        <v>246.38321506314611</v>
      </c>
      <c r="F30" s="48">
        <f t="shared" ref="F30" si="24">(IF(AND(ISNUMBER(C30),ISNUMBER(D30),ISNUMBER(E30)),1/((1/C30)+(1/D30)+(1/E30)),IF(AND(ISNUMBER(C30),ISNUMBER(D30),NOT(ISNUMBER(E30))), 1/((1/C30)+(1/D30)),IF(AND(ISNUMBER(C30),NOT(ISNUMBER(D30)),ISNUMBER(E30)),1/((1/C30)+(1/E30)),IF(AND(NOT(ISNUMBER(C30)),ISNUMBER(D30),ISNUMBER(E30)),1/((1/D30)+(1/E30)),IF(AND(ISNUMBER(C30),NOT(ISNUMBER(D30)),NOT(ISNUMBER(E30))),1/((1/C30)),IF(AND(NOT(ISNUMBER(C30)),NOT(ISNUMBER(D30)),ISNUMBER(E30)),1/((1/E30)),IF(AND(NOT(ISNUMBER(C30)),ISNUMBER(D30),NOT(ISNUMBER(E30))),1/((1/D30)),IF(AND(NOT(ISNUMBER(C30)),NOT(ISNUMBER(D30)),NOT(ISNUMBER(E30))),".")))))))))</f>
        <v>25.46616767836445</v>
      </c>
      <c r="G30" s="48">
        <f>IFERROR((TR/(RadSpec!F30*EF_w*(1/365)*ED_com*RadSpec!Q30*(ET_w_o+ET_w_i)*(1/24)*RadSpec!V30))*1,".")</f>
        <v>246.38321506314611</v>
      </c>
      <c r="H30" s="48">
        <f>IFERROR((TR/(RadSpec!M30*EF_w*(1/365)*ED_com*RadSpec!R30*(ET_w_o+ET_w_i)*(1/24)*RadSpec!W30))*1,".")</f>
        <v>844.86136246315323</v>
      </c>
      <c r="I30" s="48">
        <f>IFERROR((TR/(RadSpec!N30*EF_w*(1/365)*ED_com*RadSpec!S30*(ET_w_o+ET_w_i)*(1/24)*RadSpec!W30))*1,".")</f>
        <v>346.05022595354245</v>
      </c>
      <c r="J30" s="48">
        <f>IFERROR((TR/(RadSpec!O30*EF_w*(1/365)*ED_com*RadSpec!T30*(ET_w_o+ET_w_i)*(1/24)*RadSpec!X30))*1,".")</f>
        <v>254.74936837598645</v>
      </c>
      <c r="K30" s="48">
        <f>IFERROR((TR/(RadSpec!K30*EF_w*(1/365)*ED_com*RadSpec!P30*(ET_w_o+ET_w_i)*(1/24)*RadSpec!U30))*1,".")</f>
        <v>490.35090840998691</v>
      </c>
      <c r="L30" s="48">
        <f>IFERROR(TR/(RadSpec!G30*EF_w*ED_com*(ET_w_o+ET_w_i)*(1/24)*IRA_w),".")</f>
        <v>2.8263557675322379E-4</v>
      </c>
      <c r="M30" s="48">
        <f>IFERROR(TR/(RadSpec!J30*EF_w*(1/365)*ED_com*(ET_w_o+ET_w_i)*(1/24)*GSF_a),".")</f>
        <v>186858.503080269</v>
      </c>
      <c r="N30" s="48">
        <f t="shared" ref="N30" si="25">IFERROR(IF(AND(ISNUMBER(L30),ISNUMBER(M30)),1/((1/L30)+(1/M30)),IF(AND(ISNUMBER(L30),NOT(ISNUMBER(M30))),1/((1/L30)),IF(AND(NOT(ISNUMBER(L30)),ISNUMBER(M30)),1/((1/M30)),IF(AND(NOT(ISNUMBER(L30)),NOT(ISNUMBER(M30))),".")))),".")</f>
        <v>2.8263557632571918E-4</v>
      </c>
    </row>
    <row r="31" spans="1:14" x14ac:dyDescent="0.25">
      <c r="A31" s="52" t="s">
        <v>13</v>
      </c>
      <c r="B31" s="52" t="s">
        <v>289</v>
      </c>
      <c r="C31" s="53">
        <f>1/SUM(1/C32,1/C33,1/C34,1/C35,1/C36,1/C37,1/C38,1/C41,1/C44)</f>
        <v>2.8844850074677262</v>
      </c>
      <c r="D31" s="53">
        <f>1/SUM(1/D32,1/D33,1/D34,1/D35,1/D36,1/D37,1/D38,1/D41,1/D44)</f>
        <v>33.546202896296968</v>
      </c>
      <c r="E31" s="53">
        <f>1/SUM(1/E32,1/E33,1/E34,1/E35,1/E36,1/E37,1/E38,1/E39,1/E40,1/E41,1/E42,1/E43,1/E44)</f>
        <v>8.6733697962980111E-2</v>
      </c>
      <c r="F31" s="54">
        <f>1/SUM(1/F32,1/F33,1/F34,1/F35,1/F36,1/F37,1/F38,1/F39,1/F40,1/F41,1/F42,1/F43,1/F44)</f>
        <v>8.399101010373769E-2</v>
      </c>
      <c r="G31" s="53">
        <f t="shared" ref="G31:N31" si="26">1/SUM(1/G32,1/G33,1/G34,1/G35,1/G36,1/G37,1/G38,1/G39,1/G40,1/G41,1/G42,1/G43,1/G44)</f>
        <v>8.6733697962980111E-2</v>
      </c>
      <c r="H31" s="53">
        <f t="shared" si="26"/>
        <v>0.35827692870515121</v>
      </c>
      <c r="I31" s="53">
        <f t="shared" si="26"/>
        <v>0.13352951760589185</v>
      </c>
      <c r="J31" s="53">
        <f t="shared" si="26"/>
        <v>9.2699655088144137E-2</v>
      </c>
      <c r="K31" s="53">
        <f t="shared" si="26"/>
        <v>0.34714193393207909</v>
      </c>
      <c r="L31" s="53">
        <f>1/SUM(1/L32,1/L33,1/L34,1/L35,1/L36,1/L37,1/L38,1/L41,1/L44)</f>
        <v>2.4678220677878321E-5</v>
      </c>
      <c r="M31" s="53">
        <f t="shared" si="26"/>
        <v>79.283653658822047</v>
      </c>
      <c r="N31" s="54">
        <f t="shared" si="26"/>
        <v>2.4678212996416152E-5</v>
      </c>
    </row>
    <row r="32" spans="1:14" x14ac:dyDescent="0.25">
      <c r="A32" s="55" t="s">
        <v>290</v>
      </c>
      <c r="B32" s="50">
        <v>1</v>
      </c>
      <c r="C32" s="56">
        <f>IFERROR(C3/$B32,0)</f>
        <v>17.578554163920018</v>
      </c>
      <c r="D32" s="56">
        <f>IFERROR(D3/$B32,0)</f>
        <v>288.14933197274695</v>
      </c>
      <c r="E32" s="56">
        <f>IFERROR(E3/$B32,0)</f>
        <v>6.3311129946605913</v>
      </c>
      <c r="F32" s="56">
        <f>IF(AND(C32&lt;&gt;0,D32&lt;&gt;0,E32&lt;&gt;0),1/((1/C32)+(1/D32)+(1/E32)),IF(AND(C32&lt;&gt;0,D32&lt;&gt;0,E32=0), 1/((1/C32)+(1/D32)),IF(AND(C32&lt;&gt;0,D32=0,E32&lt;&gt;0),1/((1/C32)+(1/E32)),IF(AND(C32=0,D32&lt;&gt;0,E32&lt;&gt;0),1/((1/D32)+(1/E32)),IF(AND(C32&lt;&gt;0,D32=0,E32=0),1/((1/C32)),IF(AND(C32=0,D32&lt;&gt;0,E32=0),1/((1/D32)),IF(AND(C32=0,D32=0,E32&lt;&gt;0),1/((1/E32)),IF(AND(C32=0,D32=0,E32=0),0))))))))</f>
        <v>4.580683463472206</v>
      </c>
      <c r="G32" s="56">
        <f t="shared" ref="G32:M32" si="27">IFERROR(G3/$B32,0)</f>
        <v>6.3311129946605913</v>
      </c>
      <c r="H32" s="56">
        <f t="shared" si="27"/>
        <v>12.73746841879932</v>
      </c>
      <c r="I32" s="56">
        <f t="shared" si="27"/>
        <v>6.7956240024210128</v>
      </c>
      <c r="J32" s="56">
        <f t="shared" si="27"/>
        <v>6.3311129946605913</v>
      </c>
      <c r="K32" s="56">
        <f t="shared" si="27"/>
        <v>9.3779611233410005</v>
      </c>
      <c r="L32" s="56">
        <f t="shared" si="27"/>
        <v>2.1197668256491784E-4</v>
      </c>
      <c r="M32" s="56">
        <f t="shared" si="27"/>
        <v>3019.0619310554525</v>
      </c>
      <c r="N32" s="56">
        <f>IFERROR(IF(AND(L32&lt;&gt;0,M32&lt;&gt;0),1/((1/L32)+(1/M32)),IF(AND(L32&lt;&gt;0,M32=0),1/((1/L32)),IF(AND(L32=0,M32&lt;&gt;0),1/((1/M32)),IF(AND(L32=0,M32=0),0)))),0)</f>
        <v>2.1197666768145014E-4</v>
      </c>
    </row>
    <row r="33" spans="1:14" x14ac:dyDescent="0.25">
      <c r="A33" s="55" t="s">
        <v>291</v>
      </c>
      <c r="B33" s="50">
        <v>1</v>
      </c>
      <c r="C33" s="56">
        <f t="shared" ref="C33:E34" si="28">IFERROR(C13/$B33,0)</f>
        <v>34.049797829325385</v>
      </c>
      <c r="D33" s="56">
        <f t="shared" si="28"/>
        <v>379.24170143509923</v>
      </c>
      <c r="E33" s="56">
        <f t="shared" si="28"/>
        <v>3.3870739948861406</v>
      </c>
      <c r="F33" s="56">
        <f>IF(AND(C33&lt;&gt;0,D33&lt;&gt;0,E33&lt;&gt;0),1/((1/C33)+(1/D33)+(1/E33)),IF(AND(C33&lt;&gt;0,D33&lt;&gt;0,E33=0), 1/((1/C33)+(1/D33)),IF(AND(C33&lt;&gt;0,D33=0,E33&lt;&gt;0),1/((1/C33)+(1/E33)),IF(AND(C33=0,D33&lt;&gt;0,E33&lt;&gt;0),1/((1/D33)+(1/E33)),IF(AND(C33&lt;&gt;0,D33=0,E33=0),1/((1/C33)),IF(AND(C33=0,D33&lt;&gt;0,E33=0),1/((1/D33)),IF(AND(C33=0,D33=0,E33&lt;&gt;0),1/((1/E33)),IF(AND(C33=0,D33=0,E33=0),0))))))))</f>
        <v>3.0558081791410063</v>
      </c>
      <c r="G33" s="56">
        <f t="shared" ref="G33:M34" si="29">IFERROR(G13/$B33,0)</f>
        <v>3.3870739948861406</v>
      </c>
      <c r="H33" s="56">
        <f t="shared" si="29"/>
        <v>10.097400940340243</v>
      </c>
      <c r="I33" s="56">
        <f t="shared" si="29"/>
        <v>4.2434213227787341</v>
      </c>
      <c r="J33" s="56">
        <f t="shared" si="29"/>
        <v>3.4024348746815418</v>
      </c>
      <c r="K33" s="56">
        <f t="shared" si="29"/>
        <v>8.3359654429697763</v>
      </c>
      <c r="L33" s="56">
        <f t="shared" si="29"/>
        <v>2.7898866608544026E-4</v>
      </c>
      <c r="M33" s="56">
        <f t="shared" si="29"/>
        <v>2283.8261487588434</v>
      </c>
      <c r="N33" s="56">
        <f t="shared" ref="N33:N44" si="30">IFERROR(IF(AND(L33&lt;&gt;0,M33&lt;&gt;0),1/((1/L33)+(1/M33)),IF(AND(L33&lt;&gt;0,M33=0),1/((1/L33)),IF(AND(L33=0,M33&lt;&gt;0),1/((1/M33)),IF(AND(L33=0,M33=0),0)))),0)</f>
        <v>2.7898863200462093E-4</v>
      </c>
    </row>
    <row r="34" spans="1:14" x14ac:dyDescent="0.25">
      <c r="A34" s="55" t="s">
        <v>292</v>
      </c>
      <c r="B34" s="50">
        <v>1</v>
      </c>
      <c r="C34" s="56">
        <f t="shared" si="28"/>
        <v>619.53070549059089</v>
      </c>
      <c r="D34" s="56">
        <f t="shared" si="28"/>
        <v>711652.10317724443</v>
      </c>
      <c r="E34" s="56">
        <f t="shared" si="28"/>
        <v>0.21809211914746515</v>
      </c>
      <c r="F34" s="56">
        <f>IF(AND(C34&lt;&gt;0,D34&lt;&gt;0,E34&lt;&gt;0),1/((1/C34)+(1/D34)+(1/E34)),IF(AND(C34&lt;&gt;0,D34&lt;&gt;0,E34=0), 1/((1/C34)+(1/D34)),IF(AND(C34&lt;&gt;0,D34=0,E34&lt;&gt;0),1/((1/C34)+(1/E34)),IF(AND(C34=0,D34&lt;&gt;0,E34&lt;&gt;0),1/((1/D34)+(1/E34)),IF(AND(C34&lt;&gt;0,D34=0,E34=0),1/((1/C34)),IF(AND(C34=0,D34&lt;&gt;0,E34=0),1/((1/D34)),IF(AND(C34=0,D34=0,E34&lt;&gt;0),1/((1/E34)),IF(AND(C34=0,D34=0,E34=0),0))))))))</f>
        <v>0.21801530485568177</v>
      </c>
      <c r="G34" s="56">
        <f t="shared" si="29"/>
        <v>0.21809211914746515</v>
      </c>
      <c r="H34" s="56">
        <f t="shared" si="29"/>
        <v>0.91940795326872549</v>
      </c>
      <c r="I34" s="56">
        <f t="shared" si="29"/>
        <v>0.33492718297646423</v>
      </c>
      <c r="J34" s="56">
        <f t="shared" si="29"/>
        <v>0.23048752376874962</v>
      </c>
      <c r="K34" s="56">
        <f t="shared" si="29"/>
        <v>0.93197129176059634</v>
      </c>
      <c r="L34" s="56">
        <f t="shared" si="29"/>
        <v>0.52352594725476087</v>
      </c>
      <c r="M34" s="56">
        <f t="shared" si="29"/>
        <v>205.26317096232015</v>
      </c>
      <c r="N34" s="56">
        <f t="shared" si="30"/>
        <v>0.52219408556707636</v>
      </c>
    </row>
    <row r="35" spans="1:14" x14ac:dyDescent="0.25">
      <c r="A35" s="55" t="s">
        <v>293</v>
      </c>
      <c r="B35" s="50">
        <v>1</v>
      </c>
      <c r="C35" s="56">
        <f>IFERROR(C30/$B35,0)</f>
        <v>30.66896683917961</v>
      </c>
      <c r="D35" s="56">
        <f>IFERROR(D30/$B35,0)</f>
        <v>384.19910929699597</v>
      </c>
      <c r="E35" s="56">
        <f>IFERROR(E30/$B35,0)</f>
        <v>246.38321506314611</v>
      </c>
      <c r="F35" s="56">
        <f t="shared" ref="F35:F61" si="31">IF(AND(C35&lt;&gt;0,D35&lt;&gt;0,E35&lt;&gt;0),1/((1/C35)+(1/D35)+(1/E35)),IF(AND(C35&lt;&gt;0,D35&lt;&gt;0,E35=0), 1/((1/C35)+(1/D35)),IF(AND(C35&lt;&gt;0,D35=0,E35&lt;&gt;0),1/((1/C35)+(1/E35)),IF(AND(C35=0,D35&lt;&gt;0,E35&lt;&gt;0),1/((1/D35)+(1/E35)),IF(AND(C35&lt;&gt;0,D35=0,E35=0),1/((1/C35)),IF(AND(C35=0,D35&lt;&gt;0,E35=0),1/((1/D35)),IF(AND(C35=0,D35=0,E35&lt;&gt;0),1/((1/E35)),IF(AND(C35=0,D35=0,E35=0),0))))))))</f>
        <v>25.46616767836445</v>
      </c>
      <c r="G35" s="56">
        <f t="shared" ref="G35:M35" si="32">IFERROR(G30/$B35,0)</f>
        <v>246.38321506314611</v>
      </c>
      <c r="H35" s="56">
        <f t="shared" si="32"/>
        <v>844.86136246315323</v>
      </c>
      <c r="I35" s="56">
        <f t="shared" si="32"/>
        <v>346.05022595354245</v>
      </c>
      <c r="J35" s="56">
        <f t="shared" si="32"/>
        <v>254.74936837598645</v>
      </c>
      <c r="K35" s="56">
        <f t="shared" si="32"/>
        <v>490.35090840998691</v>
      </c>
      <c r="L35" s="56">
        <f t="shared" si="32"/>
        <v>2.8263557675322379E-4</v>
      </c>
      <c r="M35" s="56">
        <f t="shared" si="32"/>
        <v>186858.503080269</v>
      </c>
      <c r="N35" s="56">
        <f t="shared" si="30"/>
        <v>2.8263557632571918E-4</v>
      </c>
    </row>
    <row r="36" spans="1:14" x14ac:dyDescent="0.25">
      <c r="A36" s="55" t="s">
        <v>294</v>
      </c>
      <c r="B36" s="50">
        <v>1</v>
      </c>
      <c r="C36" s="56">
        <f>IFERROR(C26/$B36,0)</f>
        <v>8.1284291810607616</v>
      </c>
      <c r="D36" s="56">
        <f>IFERROR(D26/$B36,0)</f>
        <v>62.269559028008885</v>
      </c>
      <c r="E36" s="56">
        <f>IFERROR(E26/$B36,0)</f>
        <v>0.78149676027841664</v>
      </c>
      <c r="F36" s="56">
        <f t="shared" si="31"/>
        <v>0.7048805699645474</v>
      </c>
      <c r="G36" s="56">
        <f t="shared" ref="G36:M36" si="33">IFERROR(G26/$B36,0)</f>
        <v>0.78149676027841664</v>
      </c>
      <c r="H36" s="56">
        <f t="shared" si="33"/>
        <v>2.5905969953980663</v>
      </c>
      <c r="I36" s="56">
        <f t="shared" si="33"/>
        <v>1.027018329729336</v>
      </c>
      <c r="J36" s="56">
        <f t="shared" si="33"/>
        <v>0.78972304196555798</v>
      </c>
      <c r="K36" s="56">
        <f t="shared" si="33"/>
        <v>2.476029339495974</v>
      </c>
      <c r="L36" s="56">
        <f t="shared" si="33"/>
        <v>4.5808520384791572E-5</v>
      </c>
      <c r="M36" s="56">
        <f t="shared" si="33"/>
        <v>583.84193763990652</v>
      </c>
      <c r="N36" s="56">
        <f t="shared" si="30"/>
        <v>4.5808516790633222E-5</v>
      </c>
    </row>
    <row r="37" spans="1:14" x14ac:dyDescent="0.25">
      <c r="A37" s="55" t="s">
        <v>295</v>
      </c>
      <c r="B37" s="50">
        <v>1</v>
      </c>
      <c r="C37" s="56">
        <f>IFERROR(C22/$B37,0)</f>
        <v>21.514051364797631</v>
      </c>
      <c r="D37" s="56">
        <f>IFERROR(D22/$B37,0)</f>
        <v>415.71756522235063</v>
      </c>
      <c r="E37" s="56">
        <f>IFERROR(E22/$B37,0)</f>
        <v>28.689747222458127</v>
      </c>
      <c r="F37" s="56">
        <f t="shared" si="31"/>
        <v>11.941384039502172</v>
      </c>
      <c r="G37" s="56">
        <f t="shared" ref="G37:M37" si="34">IFERROR(G22/$B37,0)</f>
        <v>28.689747222458127</v>
      </c>
      <c r="H37" s="56">
        <f t="shared" si="34"/>
        <v>39.403197997231089</v>
      </c>
      <c r="I37" s="56">
        <f t="shared" si="34"/>
        <v>28.855264994895382</v>
      </c>
      <c r="J37" s="56">
        <f t="shared" si="34"/>
        <v>28.744708424033714</v>
      </c>
      <c r="K37" s="56">
        <f t="shared" si="34"/>
        <v>19.821318094247818</v>
      </c>
      <c r="L37" s="56">
        <f t="shared" si="34"/>
        <v>3.0582208800030585E-4</v>
      </c>
      <c r="M37" s="56">
        <f t="shared" si="34"/>
        <v>9496.6694919908859</v>
      </c>
      <c r="N37" s="56">
        <f t="shared" si="30"/>
        <v>3.0582207815189042E-4</v>
      </c>
    </row>
    <row r="38" spans="1:14" x14ac:dyDescent="0.25">
      <c r="A38" s="55" t="s">
        <v>296</v>
      </c>
      <c r="B38" s="50">
        <v>1</v>
      </c>
      <c r="C38" s="56">
        <f>IFERROR(C2/$B38,0)</f>
        <v>17.722640673460344</v>
      </c>
      <c r="D38" s="56">
        <f>IFERROR(D2/$B38,0)</f>
        <v>380.71543861684188</v>
      </c>
      <c r="E38" s="56">
        <f>IFERROR(E2/$B38,0)</f>
        <v>4.2506339369250989</v>
      </c>
      <c r="F38" s="56">
        <f t="shared" si="31"/>
        <v>3.3977702368537517</v>
      </c>
      <c r="G38" s="56">
        <f t="shared" ref="G38:M38" si="35">IFERROR(G2/$B38,0)</f>
        <v>4.2506339369250989</v>
      </c>
      <c r="H38" s="56">
        <f t="shared" si="35"/>
        <v>15.174694374338191</v>
      </c>
      <c r="I38" s="56">
        <f t="shared" si="35"/>
        <v>5.8612257020881255</v>
      </c>
      <c r="J38" s="56">
        <f t="shared" si="35"/>
        <v>4.3618423829493027</v>
      </c>
      <c r="K38" s="56">
        <f t="shared" si="35"/>
        <v>14.567706599364659</v>
      </c>
      <c r="L38" s="56">
        <f t="shared" si="35"/>
        <v>2.8007281893292258E-4</v>
      </c>
      <c r="M38" s="56">
        <f t="shared" si="35"/>
        <v>3402.4348746815417</v>
      </c>
      <c r="N38" s="56">
        <f t="shared" si="30"/>
        <v>2.800727958786158E-4</v>
      </c>
    </row>
    <row r="39" spans="1:14" x14ac:dyDescent="0.25">
      <c r="A39" s="55" t="s">
        <v>297</v>
      </c>
      <c r="B39" s="50">
        <v>1</v>
      </c>
      <c r="C39" s="56">
        <f>IFERROR(C11/$B39,0)</f>
        <v>0</v>
      </c>
      <c r="D39" s="56">
        <f>IFERROR(D11/$B39,0)</f>
        <v>0</v>
      </c>
      <c r="E39" s="56">
        <f>IFERROR(E11/$B39,0)</f>
        <v>1.6709062135128732</v>
      </c>
      <c r="F39" s="56">
        <f t="shared" si="31"/>
        <v>1.6709062135128732</v>
      </c>
      <c r="G39" s="56">
        <f t="shared" ref="G39:M39" si="36">IFERROR(G11/$B39,0)</f>
        <v>1.6709062135128732</v>
      </c>
      <c r="H39" s="56">
        <f t="shared" si="36"/>
        <v>6.8452270973291984</v>
      </c>
      <c r="I39" s="56">
        <f t="shared" si="36"/>
        <v>2.4809420961219573</v>
      </c>
      <c r="J39" s="56">
        <f t="shared" si="36"/>
        <v>1.7346517684792599</v>
      </c>
      <c r="K39" s="56">
        <f t="shared" si="36"/>
        <v>6.9466378691414814</v>
      </c>
      <c r="L39" s="56">
        <f t="shared" si="36"/>
        <v>0</v>
      </c>
      <c r="M39" s="56">
        <f t="shared" si="36"/>
        <v>1520.2368589002633</v>
      </c>
      <c r="N39" s="56">
        <f t="shared" si="30"/>
        <v>1520.2368589002633</v>
      </c>
    </row>
    <row r="40" spans="1:14" x14ac:dyDescent="0.25">
      <c r="A40" s="55" t="s">
        <v>298</v>
      </c>
      <c r="B40" s="50">
        <v>1</v>
      </c>
      <c r="C40" s="56">
        <f>IFERROR(C4/$B40,0)</f>
        <v>0</v>
      </c>
      <c r="D40" s="56">
        <f>IFERROR(D4/$B40,0)</f>
        <v>0</v>
      </c>
      <c r="E40" s="56">
        <f>IFERROR(E4/$B40,0)</f>
        <v>187.09149373248874</v>
      </c>
      <c r="F40" s="56">
        <f t="shared" si="31"/>
        <v>187.09149373248874</v>
      </c>
      <c r="G40" s="56">
        <f t="shared" ref="G40:M40" si="37">IFERROR(G4/$B40,0)</f>
        <v>187.09149373248874</v>
      </c>
      <c r="H40" s="56">
        <f t="shared" si="37"/>
        <v>808.44492442594833</v>
      </c>
      <c r="I40" s="56">
        <f t="shared" si="37"/>
        <v>293.06128510440624</v>
      </c>
      <c r="J40" s="56">
        <f t="shared" si="37"/>
        <v>199.53108773065958</v>
      </c>
      <c r="K40" s="56">
        <f t="shared" si="37"/>
        <v>824.43614271129672</v>
      </c>
      <c r="L40" s="56">
        <f t="shared" si="37"/>
        <v>0</v>
      </c>
      <c r="M40" s="56">
        <f t="shared" si="37"/>
        <v>179482.50953762681</v>
      </c>
      <c r="N40" s="56">
        <f t="shared" si="30"/>
        <v>179482.50953762681</v>
      </c>
    </row>
    <row r="41" spans="1:14" x14ac:dyDescent="0.25">
      <c r="A41" s="55" t="s">
        <v>299</v>
      </c>
      <c r="B41" s="57">
        <v>0.99987999999999999</v>
      </c>
      <c r="C41" s="56">
        <f>IFERROR(C8/$B41,0)</f>
        <v>5046.4916050419906</v>
      </c>
      <c r="D41" s="56">
        <f>IFERROR(D8/$B41,0)</f>
        <v>146973.79616164035</v>
      </c>
      <c r="E41" s="56">
        <f>IFERROR(E8/$B41,0)</f>
        <v>0.32272125982742872</v>
      </c>
      <c r="F41" s="56">
        <f t="shared" si="31"/>
        <v>0.3226999147118671</v>
      </c>
      <c r="G41" s="56">
        <f t="shared" ref="G41:M41" si="38">IFERROR(G8/$B41,0)</f>
        <v>0.32272125982742872</v>
      </c>
      <c r="H41" s="56">
        <f t="shared" si="38"/>
        <v>1.4887439069420076</v>
      </c>
      <c r="I41" s="56">
        <f t="shared" si="38"/>
        <v>0.53290264850765057</v>
      </c>
      <c r="J41" s="56">
        <f t="shared" si="38"/>
        <v>0.35226616389613696</v>
      </c>
      <c r="K41" s="56">
        <f t="shared" si="38"/>
        <v>1.4569454933956736</v>
      </c>
      <c r="L41" s="56">
        <f t="shared" si="38"/>
        <v>0.10812108263802468</v>
      </c>
      <c r="M41" s="56">
        <f t="shared" si="38"/>
        <v>329.09075837665438</v>
      </c>
      <c r="N41" s="56">
        <f t="shared" si="30"/>
        <v>0.10808557167720362</v>
      </c>
    </row>
    <row r="42" spans="1:14" x14ac:dyDescent="0.25">
      <c r="A42" s="55" t="s">
        <v>300</v>
      </c>
      <c r="B42" s="50">
        <v>0.97898250799999997</v>
      </c>
      <c r="C42" s="56">
        <f>IFERROR(C19/$B42,0)</f>
        <v>0</v>
      </c>
      <c r="D42" s="56">
        <f>IFERROR(D19/$B42,0)</f>
        <v>0</v>
      </c>
      <c r="E42" s="56">
        <f>IFERROR(E19/$B42,0)</f>
        <v>1035.5993357092586</v>
      </c>
      <c r="F42" s="56">
        <f t="shared" si="31"/>
        <v>1035.5993357092586</v>
      </c>
      <c r="G42" s="56">
        <f t="shared" ref="G42:M42" si="39">IFERROR(G19/$B42,0)</f>
        <v>1035.5993357092586</v>
      </c>
      <c r="H42" s="56">
        <f t="shared" si="39"/>
        <v>5177.996678546293</v>
      </c>
      <c r="I42" s="56">
        <f t="shared" si="39"/>
        <v>1838.6360566815047</v>
      </c>
      <c r="J42" s="56">
        <f t="shared" si="39"/>
        <v>1178.9900129613097</v>
      </c>
      <c r="K42" s="56">
        <f t="shared" si="39"/>
        <v>5321.8299196170237</v>
      </c>
      <c r="L42" s="56">
        <f t="shared" si="39"/>
        <v>0</v>
      </c>
      <c r="M42" s="56">
        <f t="shared" si="39"/>
        <v>1110642.7658331178</v>
      </c>
      <c r="N42" s="56">
        <f t="shared" si="30"/>
        <v>1110642.7658331178</v>
      </c>
    </row>
    <row r="43" spans="1:14" x14ac:dyDescent="0.25">
      <c r="A43" s="55" t="s">
        <v>301</v>
      </c>
      <c r="B43" s="50">
        <v>2.0897492E-2</v>
      </c>
      <c r="C43" s="56">
        <f>IFERROR(C28/$B43,0)</f>
        <v>0</v>
      </c>
      <c r="D43" s="56">
        <f>IFERROR(D28/$B43,0)</f>
        <v>0</v>
      </c>
      <c r="E43" s="56">
        <f>IFERROR(E28/$B43,0)</f>
        <v>0.81223552046891234</v>
      </c>
      <c r="F43" s="56">
        <f t="shared" si="31"/>
        <v>0.81223552046891234</v>
      </c>
      <c r="G43" s="56">
        <f t="shared" ref="G43:M43" si="40">IFERROR(G28/$B43,0)</f>
        <v>0.81223552046891234</v>
      </c>
      <c r="H43" s="56">
        <f t="shared" si="40"/>
        <v>4.3996090692066083</v>
      </c>
      <c r="I43" s="56">
        <f t="shared" si="40"/>
        <v>1.5316045223859185</v>
      </c>
      <c r="J43" s="56">
        <f t="shared" si="40"/>
        <v>0.96248820388005152</v>
      </c>
      <c r="K43" s="56">
        <f t="shared" si="40"/>
        <v>4.5158251578271607</v>
      </c>
      <c r="L43" s="56">
        <f t="shared" si="40"/>
        <v>0</v>
      </c>
      <c r="M43" s="56">
        <f t="shared" si="40"/>
        <v>875.62951231038835</v>
      </c>
      <c r="N43" s="56">
        <f t="shared" si="30"/>
        <v>875.62951231038824</v>
      </c>
    </row>
    <row r="44" spans="1:14" x14ac:dyDescent="0.25">
      <c r="A44" s="55" t="s">
        <v>302</v>
      </c>
      <c r="B44" s="50">
        <v>0.99987999999999999</v>
      </c>
      <c r="C44" s="56">
        <f>IFERROR(C15/$B44,0)</f>
        <v>13105.585774306021</v>
      </c>
      <c r="D44" s="56">
        <f>IFERROR(D15/$B44,0)</f>
        <v>52303842.050405815</v>
      </c>
      <c r="E44" s="56">
        <f>IFERROR(E15/$B44,0)</f>
        <v>362.47677734240187</v>
      </c>
      <c r="F44" s="56">
        <f t="shared" si="31"/>
        <v>352.71877027079762</v>
      </c>
      <c r="G44" s="56">
        <f t="shared" ref="G44:M44" si="41">IFERROR(G15/$B44,0)</f>
        <v>362.47677734240187</v>
      </c>
      <c r="H44" s="56">
        <f t="shared" si="41"/>
        <v>1056.6496677915388</v>
      </c>
      <c r="I44" s="56">
        <f t="shared" si="41"/>
        <v>467.31871518358992</v>
      </c>
      <c r="J44" s="56">
        <f t="shared" si="41"/>
        <v>368.07796374725132</v>
      </c>
      <c r="K44" s="56">
        <f t="shared" si="41"/>
        <v>344.50272226757198</v>
      </c>
      <c r="L44" s="56">
        <f t="shared" si="41"/>
        <v>38.477253607837959</v>
      </c>
      <c r="M44" s="56">
        <f t="shared" si="41"/>
        <v>102784.51083544819</v>
      </c>
      <c r="N44" s="56">
        <f t="shared" si="30"/>
        <v>38.462855085944007</v>
      </c>
    </row>
    <row r="45" spans="1:14" x14ac:dyDescent="0.25">
      <c r="A45" s="52" t="s">
        <v>20</v>
      </c>
      <c r="B45" s="52" t="s">
        <v>289</v>
      </c>
      <c r="C45" s="53">
        <f>IFERROR(IF(AND(C46&lt;&gt;0,C47&lt;&gt;0),1/SUM(1/C46,1/C47),IF(AND(C46&lt;&gt;0,C47=0),1/(1/C46),IF(AND(C46=0,C47&lt;&gt;0),1/(1/C47),IF(AND(C46=0,C47=0),".")))),".")</f>
        <v>50.341377465940901</v>
      </c>
      <c r="D45" s="53">
        <f t="shared" ref="D45:N45" si="42">IFERROR(IF(AND(D46&lt;&gt;0,D47&lt;&gt;0),1/SUM(1/D46,1/D47),IF(AND(D46&lt;&gt;0,D47=0),1/(1/D46),IF(AND(D46=0,D47&lt;&gt;0),1/(1/D47),IF(AND(D46=0,D47=0),".")))),".")</f>
        <v>96681.683754013779</v>
      </c>
      <c r="E45" s="53">
        <f t="shared" si="42"/>
        <v>6.9093720430758176E-2</v>
      </c>
      <c r="F45" s="54">
        <f t="shared" si="42"/>
        <v>6.8998969787981451E-2</v>
      </c>
      <c r="G45" s="53">
        <f t="shared" si="42"/>
        <v>6.9093720430758176E-2</v>
      </c>
      <c r="H45" s="53">
        <f t="shared" si="42"/>
        <v>0.33893132981154822</v>
      </c>
      <c r="I45" s="53">
        <f t="shared" si="42"/>
        <v>0.12019964494419602</v>
      </c>
      <c r="J45" s="53">
        <f t="shared" si="42"/>
        <v>7.7518085315532531E-2</v>
      </c>
      <c r="K45" s="53">
        <f t="shared" si="42"/>
        <v>0.34591826483687577</v>
      </c>
      <c r="L45" s="53">
        <f t="shared" si="42"/>
        <v>7.1123755334281655E-2</v>
      </c>
      <c r="M45" s="53">
        <f t="shared" si="42"/>
        <v>73.537914259447277</v>
      </c>
      <c r="N45" s="54">
        <f t="shared" si="42"/>
        <v>7.105503295032882E-2</v>
      </c>
    </row>
    <row r="46" spans="1:14" x14ac:dyDescent="0.25">
      <c r="A46" s="55" t="s">
        <v>303</v>
      </c>
      <c r="B46" s="50">
        <v>1</v>
      </c>
      <c r="C46" s="56">
        <f>IFERROR(C10/$B46,0)</f>
        <v>50.341377465940901</v>
      </c>
      <c r="D46" s="56">
        <f>IFERROR(D10/$B46,0)</f>
        <v>96681.683754013779</v>
      </c>
      <c r="E46" s="56">
        <f>IFERROR(E10/$B46,0)</f>
        <v>317.2249005781311</v>
      </c>
      <c r="F46" s="56">
        <f t="shared" si="31"/>
        <v>43.427175635681373</v>
      </c>
      <c r="G46" s="56">
        <f t="shared" ref="G46:M46" si="43">IFERROR(G10/$B46,0)</f>
        <v>317.2249005781311</v>
      </c>
      <c r="H46" s="56">
        <f t="shared" si="43"/>
        <v>910.48166246029132</v>
      </c>
      <c r="I46" s="56">
        <f t="shared" si="43"/>
        <v>413.12604067581498</v>
      </c>
      <c r="J46" s="56">
        <f t="shared" si="43"/>
        <v>323.37796977037937</v>
      </c>
      <c r="K46" s="56">
        <f t="shared" si="43"/>
        <v>316.55564973302955</v>
      </c>
      <c r="L46" s="56">
        <f t="shared" si="43"/>
        <v>7.1123755334281655E-2</v>
      </c>
      <c r="M46" s="56">
        <f t="shared" si="43"/>
        <v>107947.75393773813</v>
      </c>
      <c r="N46" s="56">
        <f t="shared" ref="N46:N47" si="44">IFERROR(IF(AND(L46&lt;&gt;0,M46&lt;&gt;0),1/((1/L46)+(1/M46)),IF(AND(L46&lt;&gt;0,M46=0),1/((1/L46)),IF(AND(L46=0,M46&lt;&gt;0),1/((1/M46)),IF(AND(L46=0,M46=0),0)))),0)</f>
        <v>7.1123708472859759E-2</v>
      </c>
    </row>
    <row r="47" spans="1:14" x14ac:dyDescent="0.25">
      <c r="A47" s="55" t="s">
        <v>304</v>
      </c>
      <c r="B47" s="58">
        <v>0.94399</v>
      </c>
      <c r="C47" s="56">
        <f>IFERROR(C6/$B$47,0)</f>
        <v>0</v>
      </c>
      <c r="D47" s="56">
        <f>IFERROR(D6/$B$47,0)</f>
        <v>0</v>
      </c>
      <c r="E47" s="56">
        <f>IFERROR(E6/$B$47,0)</f>
        <v>6.9108772787044082E-2</v>
      </c>
      <c r="F47" s="56">
        <f t="shared" si="31"/>
        <v>6.9108772787044082E-2</v>
      </c>
      <c r="G47" s="56">
        <f t="shared" ref="G47:M47" si="45">IFERROR(G6/$B$47,0)</f>
        <v>6.9108772787044082E-2</v>
      </c>
      <c r="H47" s="56">
        <f t="shared" si="45"/>
        <v>0.33905754567022478</v>
      </c>
      <c r="I47" s="56">
        <f t="shared" si="45"/>
        <v>0.12023462739047003</v>
      </c>
      <c r="J47" s="56">
        <f t="shared" si="45"/>
        <v>7.7536671907415297E-2</v>
      </c>
      <c r="K47" s="56">
        <f t="shared" si="45"/>
        <v>0.34629668281089626</v>
      </c>
      <c r="L47" s="56">
        <f t="shared" si="45"/>
        <v>0</v>
      </c>
      <c r="M47" s="56">
        <f t="shared" si="45"/>
        <v>73.588045097315458</v>
      </c>
      <c r="N47" s="56">
        <f t="shared" si="44"/>
        <v>73.588045097315458</v>
      </c>
    </row>
    <row r="48" spans="1:14" x14ac:dyDescent="0.25">
      <c r="A48" s="52" t="s">
        <v>33</v>
      </c>
      <c r="B48" s="52" t="s">
        <v>289</v>
      </c>
      <c r="C48" s="53">
        <f>1/SUM(1/C49,1/C52,1/C54,1/C58,1/C59,1/C61)</f>
        <v>0.68562865974501674</v>
      </c>
      <c r="D48" s="53">
        <f>1/SUM(1/D49,1/D50,1/D51,1/D52,1/D54,1/D58,1/D59,1/D61)</f>
        <v>183.86675287681183</v>
      </c>
      <c r="E48" s="53">
        <f>1/SUM(1/E49,1/E50,1/E51,1/E52,1/E53,1/E54,1/E55,1/E56,1/E57,1/E58,1/E59,1/E60,1/E61,1/E62)</f>
        <v>2.0926811911462069E-2</v>
      </c>
      <c r="F48" s="54">
        <f>1/SUM(1/F49,1/F50,1/F51,1/F52,1/F53,1/F54,1/F55,1/F56,1/F57,1/F58,1/F59,1/F60,1/F61,1/F62)</f>
        <v>2.0304757516659701E-2</v>
      </c>
      <c r="G48" s="53">
        <f t="shared" ref="G48:N48" si="46">1/SUM(1/G49,1/G50,1/G51,1/G52,1/G53,1/G54,1/G55,1/G56,1/G57,1/G58,1/G59,1/G60,1/G61,1/G62)</f>
        <v>2.0926811911462069E-2</v>
      </c>
      <c r="H48" s="53">
        <f t="shared" si="46"/>
        <v>0.11218964682370068</v>
      </c>
      <c r="I48" s="53">
        <f t="shared" si="46"/>
        <v>3.9245660822114815E-2</v>
      </c>
      <c r="J48" s="53">
        <f t="shared" si="46"/>
        <v>2.4658989259215988E-2</v>
      </c>
      <c r="K48" s="53">
        <f t="shared" si="46"/>
        <v>0.11518048909409932</v>
      </c>
      <c r="L48" s="53">
        <f>1/SUM(1/L49,1/L50,1/L51,1/L52,1/L54,1/L58,1/L59,1/L61)</f>
        <v>1.3526133842467635E-4</v>
      </c>
      <c r="M48" s="53">
        <f t="shared" si="46"/>
        <v>22.600621124082622</v>
      </c>
      <c r="N48" s="54">
        <f t="shared" si="46"/>
        <v>1.3526052891063353E-4</v>
      </c>
    </row>
    <row r="49" spans="1:14" x14ac:dyDescent="0.25">
      <c r="A49" s="55" t="s">
        <v>305</v>
      </c>
      <c r="B49" s="50">
        <v>1</v>
      </c>
      <c r="C49" s="56">
        <f>IFERROR(C23/$B49,0)</f>
        <v>5.4325682466385992</v>
      </c>
      <c r="D49" s="56">
        <f>IFERROR(D23/$B49,0)</f>
        <v>386.21855270985793</v>
      </c>
      <c r="E49" s="56">
        <f>IFERROR(E23/$B49,0)</f>
        <v>7.0115597183857936</v>
      </c>
      <c r="F49" s="56">
        <f t="shared" si="31"/>
        <v>3.0368753185596455</v>
      </c>
      <c r="G49" s="56">
        <f t="shared" ref="G49:M49" si="47">IFERROR(G23/$B49,0)</f>
        <v>7.0115597183857936</v>
      </c>
      <c r="H49" s="56">
        <f t="shared" si="47"/>
        <v>27.663602133749265</v>
      </c>
      <c r="I49" s="56">
        <f t="shared" si="47"/>
        <v>10.117827240286987</v>
      </c>
      <c r="J49" s="56">
        <f t="shared" si="47"/>
        <v>7.2138162487238455</v>
      </c>
      <c r="K49" s="56">
        <f t="shared" si="47"/>
        <v>28.046238873543174</v>
      </c>
      <c r="L49" s="56">
        <f t="shared" si="47"/>
        <v>2.8412117768228151E-4</v>
      </c>
      <c r="M49" s="56">
        <f t="shared" si="47"/>
        <v>6149.4827038301655</v>
      </c>
      <c r="N49" s="56">
        <f t="shared" ref="N49:N62" si="48">IFERROR(IF(AND(L49&lt;&gt;0,M49&lt;&gt;0),1/((1/L49)+(1/M49)),IF(AND(L49&lt;&gt;0,M49=0),1/((1/L49)),IF(AND(L49=0,M49&lt;&gt;0),1/((1/M49)),IF(AND(L49=0,M49=0),0)))),0)</f>
        <v>2.8412116455518716E-4</v>
      </c>
    </row>
    <row r="50" spans="1:14" x14ac:dyDescent="0.25">
      <c r="A50" s="55" t="s">
        <v>306</v>
      </c>
      <c r="B50" s="50">
        <v>1</v>
      </c>
      <c r="C50" s="56">
        <f>IFERROR(C25/$B50,0)</f>
        <v>0</v>
      </c>
      <c r="D50" s="56">
        <f>IFERROR(D25/$B50,0)</f>
        <v>4769629.7318646796</v>
      </c>
      <c r="E50" s="56">
        <f>IFERROR(E25/$B50,0)</f>
        <v>103.48095032652139</v>
      </c>
      <c r="F50" s="56">
        <f t="shared" si="31"/>
        <v>103.47870527284591</v>
      </c>
      <c r="G50" s="56">
        <f t="shared" ref="G50:M50" si="49">IFERROR(G25/$B50,0)</f>
        <v>103.48095032652139</v>
      </c>
      <c r="H50" s="56">
        <f t="shared" si="49"/>
        <v>490.99272897073286</v>
      </c>
      <c r="I50" s="56">
        <f t="shared" si="49"/>
        <v>173.98814700076068</v>
      </c>
      <c r="J50" s="56">
        <f t="shared" si="49"/>
        <v>113.67225604049698</v>
      </c>
      <c r="K50" s="56">
        <f t="shared" si="49"/>
        <v>500.15792657818673</v>
      </c>
      <c r="L50" s="56">
        <f t="shared" si="49"/>
        <v>3.5087719298245617</v>
      </c>
      <c r="M50" s="56">
        <f t="shared" si="49"/>
        <v>107947.75393773813</v>
      </c>
      <c r="N50" s="56">
        <f t="shared" si="48"/>
        <v>3.5086578831691866</v>
      </c>
    </row>
    <row r="51" spans="1:14" x14ac:dyDescent="0.25">
      <c r="A51" s="55" t="s">
        <v>307</v>
      </c>
      <c r="B51" s="50">
        <v>1</v>
      </c>
      <c r="C51" s="56">
        <f>IFERROR(C21/$B51,0)</f>
        <v>0</v>
      </c>
      <c r="D51" s="56">
        <f>IFERROR(D21/$B51,0)</f>
        <v>782356.53155765973</v>
      </c>
      <c r="E51" s="56">
        <f>IFERROR(E21/$B51,0)</f>
        <v>28450394.003309824</v>
      </c>
      <c r="F51" s="56">
        <f t="shared" si="31"/>
        <v>761418.31222243607</v>
      </c>
      <c r="G51" s="56">
        <f t="shared" ref="G51:M51" si="50">IFERROR(G21/$B51,0)</f>
        <v>28450394.003309824</v>
      </c>
      <c r="H51" s="56">
        <f t="shared" si="50"/>
        <v>61656549.134391837</v>
      </c>
      <c r="I51" s="56">
        <f t="shared" si="50"/>
        <v>32562365.011600692</v>
      </c>
      <c r="J51" s="56">
        <f t="shared" si="50"/>
        <v>28547826.859485544</v>
      </c>
      <c r="K51" s="56">
        <f t="shared" si="50"/>
        <v>36722314.726739116</v>
      </c>
      <c r="L51" s="56">
        <f t="shared" si="50"/>
        <v>0.57553956834532372</v>
      </c>
      <c r="M51" s="56">
        <f t="shared" si="50"/>
        <v>4439271537.6762133</v>
      </c>
      <c r="N51" s="56">
        <f t="shared" si="48"/>
        <v>0.57553956827070651</v>
      </c>
    </row>
    <row r="52" spans="1:14" x14ac:dyDescent="0.25">
      <c r="A52" s="55" t="s">
        <v>308</v>
      </c>
      <c r="B52" s="58">
        <v>0.99980000000000002</v>
      </c>
      <c r="C52" s="56">
        <f>IFERROR(C17/$B52,0)</f>
        <v>7257.029131202622</v>
      </c>
      <c r="D52" s="56">
        <f>IFERROR(D17/$B52,0)</f>
        <v>139986.24420703278</v>
      </c>
      <c r="E52" s="56">
        <f>IFERROR(E17/$B52,0)</f>
        <v>0.17635416386856217</v>
      </c>
      <c r="F52" s="56">
        <f t="shared" si="31"/>
        <v>0.17634965620420295</v>
      </c>
      <c r="G52" s="56">
        <f t="shared" ref="G52:M52" si="51">IFERROR(G17/$B52,0)</f>
        <v>0.17635416386856217</v>
      </c>
      <c r="H52" s="56">
        <f t="shared" si="51"/>
        <v>0.77519314799662409</v>
      </c>
      <c r="I52" s="56">
        <f t="shared" si="51"/>
        <v>0.27833344482964845</v>
      </c>
      <c r="J52" s="56">
        <f t="shared" si="51"/>
        <v>0.18830287760620629</v>
      </c>
      <c r="K52" s="56">
        <f t="shared" si="51"/>
        <v>0.78574551545626403</v>
      </c>
      <c r="L52" s="56">
        <f t="shared" si="51"/>
        <v>0.10298069909992295</v>
      </c>
      <c r="M52" s="56">
        <f t="shared" si="51"/>
        <v>171.90995813533382</v>
      </c>
      <c r="N52" s="56">
        <f t="shared" si="48"/>
        <v>0.10291904661924929</v>
      </c>
    </row>
    <row r="53" spans="1:14" x14ac:dyDescent="0.25">
      <c r="A53" s="55" t="s">
        <v>309</v>
      </c>
      <c r="B53" s="50">
        <v>2.0000000000000001E-4</v>
      </c>
      <c r="C53" s="56">
        <f>IFERROR(C5/$B53,0)</f>
        <v>0</v>
      </c>
      <c r="D53" s="56">
        <f>IFERROR(D5/$B53,0)</f>
        <v>0</v>
      </c>
      <c r="E53" s="56">
        <f>IFERROR(E5/$B53,0)</f>
        <v>35472193.374339476</v>
      </c>
      <c r="F53" s="56">
        <f t="shared" si="31"/>
        <v>35472193.374339476</v>
      </c>
      <c r="G53" s="56">
        <f t="shared" ref="G53:M53" si="52">IFERROR(G5/$B53,0)</f>
        <v>35472193.374339476</v>
      </c>
      <c r="H53" s="56">
        <f t="shared" si="52"/>
        <v>116035153.71617173</v>
      </c>
      <c r="I53" s="56">
        <f t="shared" si="52"/>
        <v>52792688.04920695</v>
      </c>
      <c r="J53" s="56">
        <f t="shared" si="52"/>
        <v>38063769.145980708</v>
      </c>
      <c r="K53" s="56">
        <f t="shared" si="52"/>
        <v>48748335.923799865</v>
      </c>
      <c r="L53" s="56">
        <f t="shared" si="52"/>
        <v>0</v>
      </c>
      <c r="M53" s="56">
        <f t="shared" si="52"/>
        <v>28418064010.124237</v>
      </c>
      <c r="N53" s="56">
        <f t="shared" si="48"/>
        <v>28418064010.124237</v>
      </c>
    </row>
    <row r="54" spans="1:14" x14ac:dyDescent="0.25">
      <c r="A54" s="55" t="s">
        <v>310</v>
      </c>
      <c r="B54" s="50">
        <v>0.99999979999999999</v>
      </c>
      <c r="C54" s="56">
        <f>IFERROR(C9/$B54,0)</f>
        <v>10865.138666304931</v>
      </c>
      <c r="D54" s="56">
        <f>IFERROR(D9/$B54,0)</f>
        <v>175966.95733985538</v>
      </c>
      <c r="E54" s="56">
        <f>IFERROR(E9/$B54,0)</f>
        <v>2.3854913828765908E-2</v>
      </c>
      <c r="F54" s="56">
        <f t="shared" si="31"/>
        <v>2.3854858220445255E-2</v>
      </c>
      <c r="G54" s="56">
        <f t="shared" ref="G54:M54" si="53">IFERROR(G9/$B54,0)</f>
        <v>2.3854913828765908E-2</v>
      </c>
      <c r="H54" s="56">
        <f t="shared" si="53"/>
        <v>0.13208398590047324</v>
      </c>
      <c r="I54" s="56">
        <f t="shared" si="53"/>
        <v>4.5970406857517646E-2</v>
      </c>
      <c r="J54" s="56">
        <f t="shared" si="53"/>
        <v>2.8526123190672551E-2</v>
      </c>
      <c r="K54" s="56">
        <f t="shared" si="53"/>
        <v>0.13640673452994326</v>
      </c>
      <c r="L54" s="56">
        <f t="shared" si="53"/>
        <v>0.12944986407767506</v>
      </c>
      <c r="M54" s="56">
        <f t="shared" si="53"/>
        <v>26.186284115695916</v>
      </c>
      <c r="N54" s="56">
        <f t="shared" si="48"/>
        <v>0.12881308657708898</v>
      </c>
    </row>
    <row r="55" spans="1:14" x14ac:dyDescent="0.25">
      <c r="A55" s="55" t="s">
        <v>311</v>
      </c>
      <c r="B55" s="50">
        <v>1.9999999999999999E-7</v>
      </c>
      <c r="C55" s="56">
        <f>IFERROR(C24/$B55,0)</f>
        <v>0</v>
      </c>
      <c r="D55" s="56">
        <f>IFERROR(D24/$B55,0)</f>
        <v>0</v>
      </c>
      <c r="E55" s="56">
        <f>IFERROR(E24/$B55,0)</f>
        <v>258702375.81630349</v>
      </c>
      <c r="F55" s="56">
        <f t="shared" si="31"/>
        <v>258702375.81630349</v>
      </c>
      <c r="G55" s="56">
        <f t="shared" ref="G55:M55" si="54">IFERROR(G24/$B55,0)</f>
        <v>258702375.81630349</v>
      </c>
      <c r="H55" s="56">
        <f t="shared" si="54"/>
        <v>1257099346.2923591</v>
      </c>
      <c r="I55" s="56">
        <f t="shared" si="54"/>
        <v>446569577.30195242</v>
      </c>
      <c r="J55" s="56">
        <f t="shared" si="54"/>
        <v>288552649.94895381</v>
      </c>
      <c r="K55" s="56">
        <f t="shared" si="54"/>
        <v>1286855728.7603428</v>
      </c>
      <c r="L55" s="56">
        <f t="shared" si="54"/>
        <v>0</v>
      </c>
      <c r="M55" s="56">
        <f t="shared" si="54"/>
        <v>274812047570.43219</v>
      </c>
      <c r="N55" s="56">
        <f t="shared" si="48"/>
        <v>274812047570.43219</v>
      </c>
    </row>
    <row r="56" spans="1:14" x14ac:dyDescent="0.25">
      <c r="A56" s="55" t="s">
        <v>312</v>
      </c>
      <c r="B56" s="50">
        <v>0.99979000004200003</v>
      </c>
      <c r="C56" s="56">
        <f>IFERROR(C20/$B56,0)</f>
        <v>0</v>
      </c>
      <c r="D56" s="56">
        <f>IFERROR(D20/$B56,0)</f>
        <v>0</v>
      </c>
      <c r="E56" s="56">
        <f>IFERROR(E20/$B56,0)</f>
        <v>454.78452889395464</v>
      </c>
      <c r="F56" s="56">
        <f t="shared" si="31"/>
        <v>454.78452889395464</v>
      </c>
      <c r="G56" s="56">
        <f t="shared" ref="G56:M56" si="55">IFERROR(G20/$B56,0)</f>
        <v>454.78452889395464</v>
      </c>
      <c r="H56" s="56">
        <f t="shared" si="55"/>
        <v>2299.002673636719</v>
      </c>
      <c r="I56" s="56">
        <f t="shared" si="55"/>
        <v>815.64616595111431</v>
      </c>
      <c r="J56" s="56">
        <f t="shared" si="55"/>
        <v>519.30413333911781</v>
      </c>
      <c r="K56" s="56">
        <f t="shared" si="55"/>
        <v>2359.7310461478778</v>
      </c>
      <c r="L56" s="56">
        <f t="shared" si="55"/>
        <v>0</v>
      </c>
      <c r="M56" s="56">
        <f t="shared" si="55"/>
        <v>490453.90370916674</v>
      </c>
      <c r="N56" s="56">
        <f t="shared" si="48"/>
        <v>490453.90370916674</v>
      </c>
    </row>
    <row r="57" spans="1:14" x14ac:dyDescent="0.25">
      <c r="A57" s="55" t="s">
        <v>313</v>
      </c>
      <c r="B57" s="50">
        <v>2.0999995799999999E-4</v>
      </c>
      <c r="C57" s="56">
        <f>IFERROR(C29/$B57,0)</f>
        <v>0</v>
      </c>
      <c r="D57" s="56">
        <f>IFERROR(D29/$B57,0)</f>
        <v>0</v>
      </c>
      <c r="E57" s="56">
        <f>IFERROR(E29/$B57,0)</f>
        <v>62.131431876992792</v>
      </c>
      <c r="F57" s="56">
        <f t="shared" si="31"/>
        <v>62.131431876992785</v>
      </c>
      <c r="G57" s="56">
        <f t="shared" ref="G57:M57" si="56">IFERROR(G29/$B57,0)</f>
        <v>62.131431876992792</v>
      </c>
      <c r="H57" s="56">
        <f t="shared" si="56"/>
        <v>335.7666666284855</v>
      </c>
      <c r="I57" s="56">
        <f t="shared" si="56"/>
        <v>117.20988625088866</v>
      </c>
      <c r="J57" s="56">
        <f t="shared" si="56"/>
        <v>73.433860902920571</v>
      </c>
      <c r="K57" s="56">
        <f t="shared" si="56"/>
        <v>346.85022649777534</v>
      </c>
      <c r="L57" s="56">
        <f t="shared" si="56"/>
        <v>0</v>
      </c>
      <c r="M57" s="56">
        <f t="shared" si="56"/>
        <v>67406.742130699728</v>
      </c>
      <c r="N57" s="56">
        <f t="shared" si="48"/>
        <v>67406.742130699728</v>
      </c>
    </row>
    <row r="58" spans="1:14" x14ac:dyDescent="0.25">
      <c r="A58" s="55" t="s">
        <v>314</v>
      </c>
      <c r="B58" s="50">
        <v>1</v>
      </c>
      <c r="C58" s="56">
        <f>IFERROR(C16/$B58,0)</f>
        <v>2.6693360026693358</v>
      </c>
      <c r="D58" s="56">
        <f>IFERROR(D16/$B58,0)</f>
        <v>685.11029979534248</v>
      </c>
      <c r="E58" s="56">
        <f>IFERROR(E16/$B58,0)</f>
        <v>118.14754171138269</v>
      </c>
      <c r="F58" s="56">
        <f t="shared" si="31"/>
        <v>2.6004514594177008</v>
      </c>
      <c r="G58" s="56">
        <f t="shared" ref="G58:M58" si="57">IFERROR(G16/$B58,0)</f>
        <v>118.14754171138269</v>
      </c>
      <c r="H58" s="56">
        <f t="shared" si="57"/>
        <v>183.88159065374509</v>
      </c>
      <c r="I58" s="56">
        <f t="shared" si="57"/>
        <v>119.46447290880255</v>
      </c>
      <c r="J58" s="56">
        <f t="shared" si="57"/>
        <v>118.14754171138269</v>
      </c>
      <c r="K58" s="56">
        <f t="shared" si="57"/>
        <v>102.07304624044625</v>
      </c>
      <c r="L58" s="56">
        <f t="shared" si="57"/>
        <v>5.0400050400050398E-4</v>
      </c>
      <c r="M58" s="56">
        <f t="shared" si="57"/>
        <v>44524.444502509206</v>
      </c>
      <c r="N58" s="56">
        <f t="shared" si="48"/>
        <v>5.0400049829540179E-4</v>
      </c>
    </row>
    <row r="59" spans="1:14" x14ac:dyDescent="0.25">
      <c r="A59" s="55" t="s">
        <v>315</v>
      </c>
      <c r="B59" s="50">
        <v>1</v>
      </c>
      <c r="C59" s="56">
        <f>IFERROR(C7/$B59,0)</f>
        <v>428.15092320042817</v>
      </c>
      <c r="D59" s="56">
        <f>IFERROR(D7/$B59,0)</f>
        <v>23895.31045627658</v>
      </c>
      <c r="E59" s="56">
        <f>IFERROR(E7/$B59,0)</f>
        <v>63.311129946605895</v>
      </c>
      <c r="F59" s="56">
        <f t="shared" si="31"/>
        <v>55.02824643174489</v>
      </c>
      <c r="G59" s="56">
        <f t="shared" ref="G59:M59" si="58">IFERROR(G7/$B59,0)</f>
        <v>63.311129946605895</v>
      </c>
      <c r="H59" s="56">
        <f t="shared" si="58"/>
        <v>183.5217440966928</v>
      </c>
      <c r="I59" s="56">
        <f t="shared" si="58"/>
        <v>85.254192030372721</v>
      </c>
      <c r="J59" s="56">
        <f t="shared" si="58"/>
        <v>65.237990423241754</v>
      </c>
      <c r="K59" s="56">
        <f t="shared" si="58"/>
        <v>36.331084255074089</v>
      </c>
      <c r="L59" s="56">
        <f t="shared" si="58"/>
        <v>1.757855416392002E-2</v>
      </c>
      <c r="M59" s="56">
        <f t="shared" si="58"/>
        <v>33123.04149524415</v>
      </c>
      <c r="N59" s="56">
        <f t="shared" si="48"/>
        <v>1.7578544834903464E-2</v>
      </c>
    </row>
    <row r="60" spans="1:14" x14ac:dyDescent="0.25">
      <c r="A60" s="55" t="s">
        <v>316</v>
      </c>
      <c r="B60" s="59">
        <v>1.9000000000000001E-8</v>
      </c>
      <c r="C60" s="56">
        <f>IFERROR(C12/$B60,0)</f>
        <v>0</v>
      </c>
      <c r="D60" s="56">
        <f>IFERROR(D12/$B60,0)</f>
        <v>0</v>
      </c>
      <c r="E60" s="56">
        <f>IFERROR(E12/$B60,0)</f>
        <v>19075435.79626951</v>
      </c>
      <c r="F60" s="56">
        <f t="shared" si="31"/>
        <v>19075435.79626951</v>
      </c>
      <c r="G60" s="56">
        <f t="shared" ref="G60:M60" si="59">IFERROR(G12/$B60,0)</f>
        <v>19075435.79626951</v>
      </c>
      <c r="H60" s="56">
        <f t="shared" si="59"/>
        <v>83941649.868788019</v>
      </c>
      <c r="I60" s="56">
        <f t="shared" si="59"/>
        <v>30096152.513931319</v>
      </c>
      <c r="J60" s="56">
        <f t="shared" si="59"/>
        <v>20406280.154148784</v>
      </c>
      <c r="K60" s="56">
        <f t="shared" si="59"/>
        <v>82520694.040288165</v>
      </c>
      <c r="L60" s="56">
        <f t="shared" si="59"/>
        <v>0</v>
      </c>
      <c r="M60" s="56">
        <f t="shared" si="59"/>
        <v>18581718634.483715</v>
      </c>
      <c r="N60" s="56">
        <f t="shared" si="48"/>
        <v>18581718634.483715</v>
      </c>
    </row>
    <row r="61" spans="1:14" x14ac:dyDescent="0.25">
      <c r="A61" s="55" t="s">
        <v>317</v>
      </c>
      <c r="B61" s="50">
        <v>1</v>
      </c>
      <c r="C61" s="56">
        <f>IFERROR(C18/$B61,0)</f>
        <v>1.114516578434104</v>
      </c>
      <c r="D61" s="56">
        <f>IFERROR(D18/$B61,0)</f>
        <v>749.77632299031086</v>
      </c>
      <c r="E61" s="56">
        <f>IFERROR(E18/$B61,0)</f>
        <v>3887.2377713330575</v>
      </c>
      <c r="F61" s="56">
        <f t="shared" si="31"/>
        <v>1.1125438411394455</v>
      </c>
      <c r="G61" s="56">
        <f t="shared" ref="G61:M61" si="60">IFERROR(G18/$B61,0)</f>
        <v>3887.2377713330575</v>
      </c>
      <c r="H61" s="56">
        <f t="shared" si="60"/>
        <v>19578.206938081421</v>
      </c>
      <c r="I61" s="56">
        <f t="shared" si="60"/>
        <v>6895.5596495154423</v>
      </c>
      <c r="J61" s="56">
        <f t="shared" si="60"/>
        <v>4426.1763413998824</v>
      </c>
      <c r="K61" s="56">
        <f t="shared" si="60"/>
        <v>20140.587647443761</v>
      </c>
      <c r="L61" s="56">
        <f t="shared" si="60"/>
        <v>5.5157198014340865E-4</v>
      </c>
      <c r="M61" s="56">
        <f t="shared" si="60"/>
        <v>4191267.5411579888</v>
      </c>
      <c r="N61" s="56">
        <f t="shared" si="48"/>
        <v>5.5157198007082164E-4</v>
      </c>
    </row>
    <row r="62" spans="1:14" x14ac:dyDescent="0.25">
      <c r="A62" s="55" t="s">
        <v>318</v>
      </c>
      <c r="B62" s="50">
        <v>1.339E-6</v>
      </c>
      <c r="C62" s="56">
        <f>IFERROR(C27/$B62,0)</f>
        <v>0</v>
      </c>
      <c r="D62" s="56">
        <f>IFERROR(D27/$B62,0)</f>
        <v>0</v>
      </c>
      <c r="E62" s="56">
        <f>IFERROR(E27/$B62,0)</f>
        <v>21426248.859192029</v>
      </c>
      <c r="F62" s="56">
        <f t="shared" ref="F62" si="61">IFERROR(SUM(C62:E62),0)</f>
        <v>21426248.859192029</v>
      </c>
      <c r="G62" s="56">
        <f t="shared" ref="G62:M62" si="62">IFERROR(G27/$B62,0)</f>
        <v>21426248.859192029</v>
      </c>
      <c r="H62" s="56">
        <f t="shared" si="62"/>
        <v>63096442.304940499</v>
      </c>
      <c r="I62" s="56">
        <f t="shared" si="62"/>
        <v>29676716.507832181</v>
      </c>
      <c r="J62" s="56">
        <f t="shared" si="62"/>
        <v>22322566.042544689</v>
      </c>
      <c r="K62" s="56">
        <f t="shared" si="62"/>
        <v>15266932.089042822</v>
      </c>
      <c r="L62" s="56">
        <f t="shared" si="62"/>
        <v>0</v>
      </c>
      <c r="M62" s="56">
        <f t="shared" si="62"/>
        <v>13920407643.922272</v>
      </c>
      <c r="N62" s="56">
        <f t="shared" si="48"/>
        <v>13920407643.922272</v>
      </c>
    </row>
    <row r="63" spans="1:14" x14ac:dyDescent="0.25">
      <c r="A63" s="52" t="s">
        <v>35</v>
      </c>
      <c r="B63" s="52" t="s">
        <v>289</v>
      </c>
      <c r="C63" s="53">
        <f>1/SUM(1/C66,1/C68,1/C72,1/C73,1/C75)</f>
        <v>0.78465807658479891</v>
      </c>
      <c r="D63" s="53">
        <f>1/SUM(1/D64,1/D65,1/D66,1/D68,1/D72,1/D73,1/D75)</f>
        <v>350.93708702434907</v>
      </c>
      <c r="E63" s="53">
        <f>1/SUM(1/E64,1/E65,1/E66,1/E67,1/E68,1/E69,1/E70,1/E71,1/E72,1/E73,1/E74,1/E75,1/E76)</f>
        <v>2.0989457377564594E-2</v>
      </c>
      <c r="F63" s="54">
        <f>1/SUM(1/F64,1/F65,1/F66,1/F67,1/F68,1/F69,1/F70,1/F71,1/F72,1/F73,1/F74,1/F75,1/F76)</f>
        <v>2.0441430327544589E-2</v>
      </c>
      <c r="G63" s="53">
        <f t="shared" ref="G63:N63" si="63">1/SUM(1/G64,1/G65,1/G66,1/G67,1/G68,1/G69,1/G70,1/G71,1/G72,1/G73,1/G74,1/G75,1/G76)</f>
        <v>2.0989457377564594E-2</v>
      </c>
      <c r="H63" s="53">
        <f t="shared" si="63"/>
        <v>0.11264648426753045</v>
      </c>
      <c r="I63" s="53">
        <f t="shared" si="63"/>
        <v>3.9398482117573956E-2</v>
      </c>
      <c r="J63" s="53">
        <f t="shared" si="63"/>
        <v>2.4743570209296833E-2</v>
      </c>
      <c r="K63" s="53">
        <f t="shared" si="63"/>
        <v>0.11565546375797897</v>
      </c>
      <c r="L63" s="53">
        <f>1/SUM(1/L64,1/L65,1/L66,1/L68,1/L72,1/L73,1/L75)</f>
        <v>2.581664131827771E-4</v>
      </c>
      <c r="M63" s="53">
        <f t="shared" si="63"/>
        <v>22.68398947821434</v>
      </c>
      <c r="N63" s="54">
        <f t="shared" si="63"/>
        <v>2.5816347502507668E-4</v>
      </c>
    </row>
    <row r="64" spans="1:14" x14ac:dyDescent="0.25">
      <c r="A64" s="55" t="s">
        <v>306</v>
      </c>
      <c r="B64" s="60">
        <v>1</v>
      </c>
      <c r="C64" s="56">
        <f>IFERROR(C25/$B50,0)</f>
        <v>0</v>
      </c>
      <c r="D64" s="56">
        <f>IFERROR(D25/$B50,0)</f>
        <v>4769629.7318646796</v>
      </c>
      <c r="E64" s="56">
        <f>IFERROR(E25/$B50,0)</f>
        <v>103.48095032652139</v>
      </c>
      <c r="F64" s="56">
        <f t="shared" ref="F64:F76" si="64">IF(AND(C64&lt;&gt;0,D64&lt;&gt;0,E64&lt;&gt;0),1/((1/C64)+(1/D64)+(1/E64)),IF(AND(C64&lt;&gt;0,D64&lt;&gt;0,E64=0), 1/((1/C64)+(1/D64)),IF(AND(C64&lt;&gt;0,D64=0,E64&lt;&gt;0),1/((1/C64)+(1/E64)),IF(AND(C64=0,D64&lt;&gt;0,E64&lt;&gt;0),1/((1/D64)+(1/E64)),IF(AND(C64&lt;&gt;0,D64=0,E64=0),1/((1/C64)),IF(AND(C64=0,D64&lt;&gt;0,E64=0),1/((1/D64)),IF(AND(C64=0,D64=0,E64&lt;&gt;0),1/((1/E64)),IF(AND(C64=0,D64=0,E64=0),0))))))))</f>
        <v>103.47870527284591</v>
      </c>
      <c r="G64" s="56">
        <f t="shared" ref="G64:M64" si="65">IFERROR(G25/$B50,0)</f>
        <v>103.48095032652139</v>
      </c>
      <c r="H64" s="56">
        <f t="shared" si="65"/>
        <v>490.99272897073286</v>
      </c>
      <c r="I64" s="56">
        <f t="shared" si="65"/>
        <v>173.98814700076068</v>
      </c>
      <c r="J64" s="56">
        <f t="shared" si="65"/>
        <v>113.67225604049698</v>
      </c>
      <c r="K64" s="56">
        <f t="shared" si="65"/>
        <v>500.15792657818673</v>
      </c>
      <c r="L64" s="56">
        <f t="shared" si="65"/>
        <v>3.5087719298245617</v>
      </c>
      <c r="M64" s="56">
        <f t="shared" si="65"/>
        <v>107947.75393773813</v>
      </c>
      <c r="N64" s="56">
        <f t="shared" ref="N64:N76" si="66">IFERROR(IF(AND(L64&lt;&gt;0,M64&lt;&gt;0),1/((1/L64)+(1/M64)),IF(AND(L64&lt;&gt;0,M64=0),1/((1/L64)),IF(AND(L64=0,M64&lt;&gt;0),1/((1/M64)),IF(AND(L64=0,M64=0),0)))),0)</f>
        <v>3.5086578831691866</v>
      </c>
    </row>
    <row r="65" spans="1:14" x14ac:dyDescent="0.25">
      <c r="A65" s="55" t="s">
        <v>307</v>
      </c>
      <c r="B65" s="60">
        <v>1</v>
      </c>
      <c r="C65" s="56">
        <f>IFERROR(C21/$B51,0)</f>
        <v>0</v>
      </c>
      <c r="D65" s="56">
        <f>IFERROR(D21/$B51,0)</f>
        <v>782356.53155765973</v>
      </c>
      <c r="E65" s="56">
        <f>IFERROR(E21/$B51,0)</f>
        <v>28450394.003309824</v>
      </c>
      <c r="F65" s="56">
        <f t="shared" si="64"/>
        <v>761418.31222243607</v>
      </c>
      <c r="G65" s="56">
        <f t="shared" ref="G65:M65" si="67">IFERROR(G21/$B51,0)</f>
        <v>28450394.003309824</v>
      </c>
      <c r="H65" s="56">
        <f t="shared" si="67"/>
        <v>61656549.134391837</v>
      </c>
      <c r="I65" s="56">
        <f t="shared" si="67"/>
        <v>32562365.011600692</v>
      </c>
      <c r="J65" s="56">
        <f t="shared" si="67"/>
        <v>28547826.859485544</v>
      </c>
      <c r="K65" s="56">
        <f t="shared" si="67"/>
        <v>36722314.726739116</v>
      </c>
      <c r="L65" s="56">
        <f t="shared" si="67"/>
        <v>0.57553956834532372</v>
      </c>
      <c r="M65" s="56">
        <f t="shared" si="67"/>
        <v>4439271537.6762133</v>
      </c>
      <c r="N65" s="56">
        <f t="shared" si="66"/>
        <v>0.57553956827070651</v>
      </c>
    </row>
    <row r="66" spans="1:14" x14ac:dyDescent="0.25">
      <c r="A66" s="55" t="s">
        <v>308</v>
      </c>
      <c r="B66" s="61">
        <v>0.99980000000000002</v>
      </c>
      <c r="C66" s="56">
        <f>IFERROR(C17/$B52,0)</f>
        <v>7257.029131202622</v>
      </c>
      <c r="D66" s="56">
        <f>IFERROR(D17/$B52,0)</f>
        <v>139986.24420703278</v>
      </c>
      <c r="E66" s="56">
        <f>IFERROR(E17/$B52,0)</f>
        <v>0.17635416386856217</v>
      </c>
      <c r="F66" s="56">
        <f t="shared" si="64"/>
        <v>0.17634965620420295</v>
      </c>
      <c r="G66" s="56">
        <f t="shared" ref="G66:M66" si="68">IFERROR(G17/$B52,0)</f>
        <v>0.17635416386856217</v>
      </c>
      <c r="H66" s="56">
        <f t="shared" si="68"/>
        <v>0.77519314799662409</v>
      </c>
      <c r="I66" s="56">
        <f t="shared" si="68"/>
        <v>0.27833344482964845</v>
      </c>
      <c r="J66" s="56">
        <f t="shared" si="68"/>
        <v>0.18830287760620629</v>
      </c>
      <c r="K66" s="56">
        <f t="shared" si="68"/>
        <v>0.78574551545626403</v>
      </c>
      <c r="L66" s="56">
        <f t="shared" si="68"/>
        <v>0.10298069909992295</v>
      </c>
      <c r="M66" s="56">
        <f t="shared" si="68"/>
        <v>171.90995813533382</v>
      </c>
      <c r="N66" s="56">
        <f t="shared" si="66"/>
        <v>0.10291904661924929</v>
      </c>
    </row>
    <row r="67" spans="1:14" x14ac:dyDescent="0.25">
      <c r="A67" s="55" t="s">
        <v>309</v>
      </c>
      <c r="B67" s="60">
        <v>2.0000000000000001E-4</v>
      </c>
      <c r="C67" s="56">
        <f>IFERROR(C5/$B53,0)</f>
        <v>0</v>
      </c>
      <c r="D67" s="56">
        <f>IFERROR(D5/$B53,0)</f>
        <v>0</v>
      </c>
      <c r="E67" s="56">
        <f>IFERROR(E5/$B53,0)</f>
        <v>35472193.374339476</v>
      </c>
      <c r="F67" s="56">
        <f t="shared" si="64"/>
        <v>35472193.374339476</v>
      </c>
      <c r="G67" s="56">
        <f t="shared" ref="G67:M67" si="69">IFERROR(G5/$B53,0)</f>
        <v>35472193.374339476</v>
      </c>
      <c r="H67" s="56">
        <f t="shared" si="69"/>
        <v>116035153.71617173</v>
      </c>
      <c r="I67" s="56">
        <f t="shared" si="69"/>
        <v>52792688.04920695</v>
      </c>
      <c r="J67" s="56">
        <f t="shared" si="69"/>
        <v>38063769.145980708</v>
      </c>
      <c r="K67" s="56">
        <f t="shared" si="69"/>
        <v>48748335.923799865</v>
      </c>
      <c r="L67" s="56">
        <f t="shared" si="69"/>
        <v>0</v>
      </c>
      <c r="M67" s="56">
        <f t="shared" si="69"/>
        <v>28418064010.124237</v>
      </c>
      <c r="N67" s="56">
        <f t="shared" si="66"/>
        <v>28418064010.124237</v>
      </c>
    </row>
    <row r="68" spans="1:14" x14ac:dyDescent="0.25">
      <c r="A68" s="55" t="s">
        <v>310</v>
      </c>
      <c r="B68" s="60">
        <v>0.99999979999999999</v>
      </c>
      <c r="C68" s="56">
        <f>IFERROR(C9/$B54,0)</f>
        <v>10865.138666304931</v>
      </c>
      <c r="D68" s="56">
        <f>IFERROR(D9/$B54,0)</f>
        <v>175966.95733985538</v>
      </c>
      <c r="E68" s="56">
        <f>IFERROR(E9/$B54,0)</f>
        <v>2.3854913828765908E-2</v>
      </c>
      <c r="F68" s="56">
        <f t="shared" si="64"/>
        <v>2.3854858220445255E-2</v>
      </c>
      <c r="G68" s="56">
        <f t="shared" ref="G68:M68" si="70">IFERROR(G9/$B54,0)</f>
        <v>2.3854913828765908E-2</v>
      </c>
      <c r="H68" s="56">
        <f t="shared" si="70"/>
        <v>0.13208398590047324</v>
      </c>
      <c r="I68" s="56">
        <f t="shared" si="70"/>
        <v>4.5970406857517646E-2</v>
      </c>
      <c r="J68" s="56">
        <f t="shared" si="70"/>
        <v>2.8526123190672551E-2</v>
      </c>
      <c r="K68" s="56">
        <f t="shared" si="70"/>
        <v>0.13640673452994326</v>
      </c>
      <c r="L68" s="56">
        <f t="shared" si="70"/>
        <v>0.12944986407767506</v>
      </c>
      <c r="M68" s="56">
        <f t="shared" si="70"/>
        <v>26.186284115695916</v>
      </c>
      <c r="N68" s="56">
        <f t="shared" si="66"/>
        <v>0.12881308657708898</v>
      </c>
    </row>
    <row r="69" spans="1:14" x14ac:dyDescent="0.25">
      <c r="A69" s="55" t="s">
        <v>311</v>
      </c>
      <c r="B69" s="60">
        <v>1.9999999999999999E-7</v>
      </c>
      <c r="C69" s="56">
        <f>IFERROR(C24/$B55,0)</f>
        <v>0</v>
      </c>
      <c r="D69" s="56">
        <f>IFERROR(D24/$B55,0)</f>
        <v>0</v>
      </c>
      <c r="E69" s="56">
        <f>IFERROR(E24/$B55,0)</f>
        <v>258702375.81630349</v>
      </c>
      <c r="F69" s="56">
        <f t="shared" si="64"/>
        <v>258702375.81630349</v>
      </c>
      <c r="G69" s="56">
        <f t="shared" ref="G69:M69" si="71">IFERROR(G24/$B55,0)</f>
        <v>258702375.81630349</v>
      </c>
      <c r="H69" s="56">
        <f t="shared" si="71"/>
        <v>1257099346.2923591</v>
      </c>
      <c r="I69" s="56">
        <f t="shared" si="71"/>
        <v>446569577.30195242</v>
      </c>
      <c r="J69" s="56">
        <f t="shared" si="71"/>
        <v>288552649.94895381</v>
      </c>
      <c r="K69" s="56">
        <f t="shared" si="71"/>
        <v>1286855728.7603428</v>
      </c>
      <c r="L69" s="56">
        <f t="shared" si="71"/>
        <v>0</v>
      </c>
      <c r="M69" s="56">
        <f t="shared" si="71"/>
        <v>274812047570.43219</v>
      </c>
      <c r="N69" s="56">
        <f t="shared" si="66"/>
        <v>274812047570.43219</v>
      </c>
    </row>
    <row r="70" spans="1:14" x14ac:dyDescent="0.25">
      <c r="A70" s="55" t="s">
        <v>312</v>
      </c>
      <c r="B70" s="60">
        <v>0.99979000004200003</v>
      </c>
      <c r="C70" s="56">
        <f>IFERROR(C20/$B56,0)</f>
        <v>0</v>
      </c>
      <c r="D70" s="56">
        <f>IFERROR(D20/$B56,0)</f>
        <v>0</v>
      </c>
      <c r="E70" s="56">
        <f>IFERROR(E20/$B56,0)</f>
        <v>454.78452889395464</v>
      </c>
      <c r="F70" s="56">
        <f t="shared" si="64"/>
        <v>454.78452889395464</v>
      </c>
      <c r="G70" s="56">
        <f t="shared" ref="G70:M70" si="72">IFERROR(G20/$B56,0)</f>
        <v>454.78452889395464</v>
      </c>
      <c r="H70" s="56">
        <f t="shared" si="72"/>
        <v>2299.002673636719</v>
      </c>
      <c r="I70" s="56">
        <f t="shared" si="72"/>
        <v>815.64616595111431</v>
      </c>
      <c r="J70" s="56">
        <f t="shared" si="72"/>
        <v>519.30413333911781</v>
      </c>
      <c r="K70" s="56">
        <f t="shared" si="72"/>
        <v>2359.7310461478778</v>
      </c>
      <c r="L70" s="56">
        <f t="shared" si="72"/>
        <v>0</v>
      </c>
      <c r="M70" s="56">
        <f t="shared" si="72"/>
        <v>490453.90370916674</v>
      </c>
      <c r="N70" s="56">
        <f t="shared" si="66"/>
        <v>490453.90370916674</v>
      </c>
    </row>
    <row r="71" spans="1:14" x14ac:dyDescent="0.25">
      <c r="A71" s="55" t="s">
        <v>313</v>
      </c>
      <c r="B71" s="60">
        <v>2.0999995799999999E-4</v>
      </c>
      <c r="C71" s="56">
        <f>IFERROR(C29/$B57,0)</f>
        <v>0</v>
      </c>
      <c r="D71" s="56">
        <f>IFERROR(D29/$B57,0)</f>
        <v>0</v>
      </c>
      <c r="E71" s="56">
        <f>IFERROR(E29/$B57,0)</f>
        <v>62.131431876992792</v>
      </c>
      <c r="F71" s="56">
        <f t="shared" si="64"/>
        <v>62.131431876992785</v>
      </c>
      <c r="G71" s="56">
        <f t="shared" ref="G71:M71" si="73">IFERROR(G29/$B57,0)</f>
        <v>62.131431876992792</v>
      </c>
      <c r="H71" s="56">
        <f t="shared" si="73"/>
        <v>335.7666666284855</v>
      </c>
      <c r="I71" s="56">
        <f t="shared" si="73"/>
        <v>117.20988625088866</v>
      </c>
      <c r="J71" s="56">
        <f t="shared" si="73"/>
        <v>73.433860902920571</v>
      </c>
      <c r="K71" s="56">
        <f t="shared" si="73"/>
        <v>346.85022649777534</v>
      </c>
      <c r="L71" s="56">
        <f t="shared" si="73"/>
        <v>0</v>
      </c>
      <c r="M71" s="56">
        <f t="shared" si="73"/>
        <v>67406.742130699728</v>
      </c>
      <c r="N71" s="56">
        <f t="shared" si="66"/>
        <v>67406.742130699728</v>
      </c>
    </row>
    <row r="72" spans="1:14" x14ac:dyDescent="0.25">
      <c r="A72" s="55" t="s">
        <v>314</v>
      </c>
      <c r="B72" s="60">
        <v>1</v>
      </c>
      <c r="C72" s="56">
        <f>IFERROR(C16/$B58,0)</f>
        <v>2.6693360026693358</v>
      </c>
      <c r="D72" s="56">
        <f>IFERROR(D16/$B58,0)</f>
        <v>685.11029979534248</v>
      </c>
      <c r="E72" s="56">
        <f>IFERROR(E16/$B58,0)</f>
        <v>118.14754171138269</v>
      </c>
      <c r="F72" s="56">
        <f t="shared" si="64"/>
        <v>2.6004514594177008</v>
      </c>
      <c r="G72" s="56">
        <f t="shared" ref="G72:M72" si="74">IFERROR(G16/$B58,0)</f>
        <v>118.14754171138269</v>
      </c>
      <c r="H72" s="56">
        <f t="shared" si="74"/>
        <v>183.88159065374509</v>
      </c>
      <c r="I72" s="56">
        <f t="shared" si="74"/>
        <v>119.46447290880255</v>
      </c>
      <c r="J72" s="56">
        <f t="shared" si="74"/>
        <v>118.14754171138269</v>
      </c>
      <c r="K72" s="56">
        <f t="shared" si="74"/>
        <v>102.07304624044625</v>
      </c>
      <c r="L72" s="56">
        <f t="shared" si="74"/>
        <v>5.0400050400050398E-4</v>
      </c>
      <c r="M72" s="56">
        <f t="shared" si="74"/>
        <v>44524.444502509206</v>
      </c>
      <c r="N72" s="56">
        <f t="shared" si="66"/>
        <v>5.0400049829540179E-4</v>
      </c>
    </row>
    <row r="73" spans="1:14" x14ac:dyDescent="0.25">
      <c r="A73" s="55" t="s">
        <v>315</v>
      </c>
      <c r="B73" s="60">
        <v>1</v>
      </c>
      <c r="C73" s="56">
        <f>IFERROR(C7/$B59,0)</f>
        <v>428.15092320042817</v>
      </c>
      <c r="D73" s="56">
        <f>IFERROR(D7/$B59,0)</f>
        <v>23895.31045627658</v>
      </c>
      <c r="E73" s="56">
        <f>IFERROR(E7/$B59,0)</f>
        <v>63.311129946605895</v>
      </c>
      <c r="F73" s="56">
        <f t="shared" si="64"/>
        <v>55.02824643174489</v>
      </c>
      <c r="G73" s="56">
        <f t="shared" ref="G73:M73" si="75">IFERROR(G7/$B59,0)</f>
        <v>63.311129946605895</v>
      </c>
      <c r="H73" s="56">
        <f t="shared" si="75"/>
        <v>183.5217440966928</v>
      </c>
      <c r="I73" s="56">
        <f t="shared" si="75"/>
        <v>85.254192030372721</v>
      </c>
      <c r="J73" s="56">
        <f t="shared" si="75"/>
        <v>65.237990423241754</v>
      </c>
      <c r="K73" s="56">
        <f t="shared" si="75"/>
        <v>36.331084255074089</v>
      </c>
      <c r="L73" s="56">
        <f t="shared" si="75"/>
        <v>1.757855416392002E-2</v>
      </c>
      <c r="M73" s="56">
        <f t="shared" si="75"/>
        <v>33123.04149524415</v>
      </c>
      <c r="N73" s="56">
        <f t="shared" si="66"/>
        <v>1.7578544834903464E-2</v>
      </c>
    </row>
    <row r="74" spans="1:14" x14ac:dyDescent="0.25">
      <c r="A74" s="55" t="s">
        <v>316</v>
      </c>
      <c r="B74" s="62">
        <v>1.9000000000000001E-8</v>
      </c>
      <c r="C74" s="56">
        <f>IFERROR(C12/$B60,0)</f>
        <v>0</v>
      </c>
      <c r="D74" s="56">
        <f>IFERROR(D12/$B60,0)</f>
        <v>0</v>
      </c>
      <c r="E74" s="56">
        <f>IFERROR(E12/$B60,0)</f>
        <v>19075435.79626951</v>
      </c>
      <c r="F74" s="56">
        <f t="shared" si="64"/>
        <v>19075435.79626951</v>
      </c>
      <c r="G74" s="56">
        <f t="shared" ref="G74:M74" si="76">IFERROR(G12/$B60,0)</f>
        <v>19075435.79626951</v>
      </c>
      <c r="H74" s="56">
        <f t="shared" si="76"/>
        <v>83941649.868788019</v>
      </c>
      <c r="I74" s="56">
        <f t="shared" si="76"/>
        <v>30096152.513931319</v>
      </c>
      <c r="J74" s="56">
        <f t="shared" si="76"/>
        <v>20406280.154148784</v>
      </c>
      <c r="K74" s="56">
        <f t="shared" si="76"/>
        <v>82520694.040288165</v>
      </c>
      <c r="L74" s="56">
        <f t="shared" si="76"/>
        <v>0</v>
      </c>
      <c r="M74" s="56">
        <f t="shared" si="76"/>
        <v>18581718634.483715</v>
      </c>
      <c r="N74" s="56">
        <f t="shared" si="66"/>
        <v>18581718634.483715</v>
      </c>
    </row>
    <row r="75" spans="1:14" x14ac:dyDescent="0.25">
      <c r="A75" s="55" t="s">
        <v>317</v>
      </c>
      <c r="B75" s="60">
        <v>1</v>
      </c>
      <c r="C75" s="56">
        <f>IFERROR(C18/$B61,0)</f>
        <v>1.114516578434104</v>
      </c>
      <c r="D75" s="56">
        <f>IFERROR(D18/$B61,0)</f>
        <v>749.77632299031086</v>
      </c>
      <c r="E75" s="56">
        <f>IFERROR(E18/$B61,0)</f>
        <v>3887.2377713330575</v>
      </c>
      <c r="F75" s="56">
        <f t="shared" si="64"/>
        <v>1.1125438411394455</v>
      </c>
      <c r="G75" s="56">
        <f t="shared" ref="G75:M75" si="77">IFERROR(G18/$B61,0)</f>
        <v>3887.2377713330575</v>
      </c>
      <c r="H75" s="56">
        <f t="shared" si="77"/>
        <v>19578.206938081421</v>
      </c>
      <c r="I75" s="56">
        <f t="shared" si="77"/>
        <v>6895.5596495154423</v>
      </c>
      <c r="J75" s="56">
        <f t="shared" si="77"/>
        <v>4426.1763413998824</v>
      </c>
      <c r="K75" s="56">
        <f t="shared" si="77"/>
        <v>20140.587647443761</v>
      </c>
      <c r="L75" s="56">
        <f t="shared" si="77"/>
        <v>5.5157198014340865E-4</v>
      </c>
      <c r="M75" s="56">
        <f t="shared" si="77"/>
        <v>4191267.5411579888</v>
      </c>
      <c r="N75" s="56">
        <f t="shared" si="66"/>
        <v>5.5157198007082164E-4</v>
      </c>
    </row>
    <row r="76" spans="1:14" x14ac:dyDescent="0.25">
      <c r="A76" s="55" t="s">
        <v>318</v>
      </c>
      <c r="B76" s="60">
        <v>1.339E-6</v>
      </c>
      <c r="C76" s="56">
        <f>IFERROR(C27/$B62,0)</f>
        <v>0</v>
      </c>
      <c r="D76" s="56">
        <f>IFERROR(D27/$B62,0)</f>
        <v>0</v>
      </c>
      <c r="E76" s="56">
        <f>IFERROR(E27/$B62,0)</f>
        <v>21426248.859192029</v>
      </c>
      <c r="F76" s="56">
        <f t="shared" si="64"/>
        <v>21426248.859192029</v>
      </c>
      <c r="G76" s="56">
        <f t="shared" ref="G76:M76" si="78">IFERROR(G27/$B62,0)</f>
        <v>21426248.859192029</v>
      </c>
      <c r="H76" s="56">
        <f t="shared" si="78"/>
        <v>63096442.304940499</v>
      </c>
      <c r="I76" s="56">
        <f t="shared" si="78"/>
        <v>29676716.507832181</v>
      </c>
      <c r="J76" s="56">
        <f t="shared" si="78"/>
        <v>22322566.042544689</v>
      </c>
      <c r="K76" s="56">
        <f t="shared" si="78"/>
        <v>15266932.089042822</v>
      </c>
      <c r="L76" s="56">
        <f t="shared" si="78"/>
        <v>0</v>
      </c>
      <c r="M76" s="56">
        <f t="shared" si="78"/>
        <v>13920407643.922272</v>
      </c>
      <c r="N76" s="56">
        <f t="shared" si="66"/>
        <v>13920407643.922272</v>
      </c>
    </row>
  </sheetData>
  <sheetProtection algorithmName="SHA-512" hashValue="sTI4clLwh5ixSDMF3UrwsOVLF088PPMAXzD6qZF3JAbmAUeLDbjnNFhohSP27xTy4csJ1yhXfYXFylM2Y0HHiA==" saltValue="qhrKAFpRoJ/1UGKexYhSZw==" spinCount="100000" sheet="1" objects="1" scenarios="1" formatColumns="0" formatRows="0" autoFilter="0"/>
  <autoFilter ref="A1:N76" xr:uid="{00000000-0009-0000-0000-00000B000000}"/>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7">
    <tabColor theme="9" tint="-0.499984740745262"/>
  </sheetPr>
  <dimension ref="A1:AU76"/>
  <sheetViews>
    <sheetView zoomScale="90" zoomScaleNormal="90" workbookViewId="0">
      <pane xSplit="2" ySplit="1" topLeftCell="C2" activePane="bottomRight" state="frozen"/>
      <selection activeCell="AA1390" sqref="AA1390"/>
      <selection pane="topRight" activeCell="AA1390" sqref="AA1390"/>
      <selection pane="bottomLeft" activeCell="AA1390" sqref="AA1390"/>
      <selection pane="bottomRight" activeCell="C2" sqref="C2"/>
    </sheetView>
  </sheetViews>
  <sheetFormatPr defaultColWidth="9.140625" defaultRowHeight="15" x14ac:dyDescent="0.25"/>
  <cols>
    <col min="1" max="1" width="15.42578125" style="3" customWidth="1"/>
    <col min="2" max="2" width="13.28515625" style="3" bestFit="1" customWidth="1"/>
    <col min="3" max="3" width="14.42578125" style="2" bestFit="1" customWidth="1"/>
    <col min="4" max="4" width="14.5703125" style="2" bestFit="1" customWidth="1"/>
    <col min="5" max="5" width="14.28515625" style="2" bestFit="1" customWidth="1"/>
    <col min="6" max="8" width="14.140625" style="2" bestFit="1" customWidth="1"/>
    <col min="9" max="9" width="14" style="2" bestFit="1" customWidth="1"/>
    <col min="10" max="11" width="14.5703125" style="2" bestFit="1" customWidth="1"/>
    <col min="12" max="12" width="14.42578125" style="2" bestFit="1" customWidth="1"/>
    <col min="13" max="13" width="14.28515625" style="2" bestFit="1" customWidth="1"/>
    <col min="14" max="14" width="18.28515625" style="2" bestFit="1" customWidth="1"/>
    <col min="15" max="15" width="18.42578125" style="2" bestFit="1" customWidth="1"/>
    <col min="16" max="16" width="18.140625" style="2" bestFit="1" customWidth="1"/>
    <col min="17" max="17" width="17.85546875" style="2" bestFit="1" customWidth="1"/>
    <col min="18" max="20" width="17.7109375" style="2" bestFit="1" customWidth="1"/>
    <col min="21" max="23" width="18.28515625" style="2" bestFit="1" customWidth="1"/>
    <col min="24" max="24" width="18.140625" style="2" bestFit="1" customWidth="1"/>
    <col min="25" max="25" width="13.5703125" style="2" bestFit="1" customWidth="1"/>
    <col min="26" max="27" width="15.42578125" style="2" bestFit="1" customWidth="1"/>
    <col min="28" max="28" width="16.42578125" style="2" bestFit="1" customWidth="1"/>
    <col min="29" max="29" width="13.85546875" style="2" bestFit="1" customWidth="1"/>
    <col min="30" max="30" width="13.140625" style="2" bestFit="1" customWidth="1"/>
    <col min="31" max="32" width="14.85546875" style="2" bestFit="1" customWidth="1"/>
    <col min="33" max="33" width="16" style="2" bestFit="1" customWidth="1"/>
    <col min="34" max="35" width="13.5703125" style="2" bestFit="1" customWidth="1"/>
    <col min="36" max="37" width="15.42578125" style="2" bestFit="1" customWidth="1"/>
    <col min="38" max="38" width="16.42578125" style="2" bestFit="1" customWidth="1"/>
    <col min="39" max="39" width="14.140625" style="2" bestFit="1" customWidth="1"/>
    <col min="40" max="40" width="13.85546875" style="2" bestFit="1" customWidth="1"/>
    <col min="41" max="41" width="14.140625" style="2" bestFit="1" customWidth="1"/>
    <col min="42" max="42" width="13.28515625" style="2" bestFit="1" customWidth="1"/>
    <col min="43" max="43" width="13.42578125" style="2" bestFit="1" customWidth="1"/>
    <col min="44" max="44" width="13.85546875" style="2" bestFit="1" customWidth="1"/>
    <col min="45" max="45" width="14" style="2" bestFit="1" customWidth="1"/>
    <col min="46" max="46" width="14.28515625" style="2" bestFit="1" customWidth="1"/>
    <col min="47" max="47" width="13.7109375" style="2" bestFit="1" customWidth="1"/>
    <col min="48" max="16384" width="9.140625" style="2"/>
  </cols>
  <sheetData>
    <row r="1" spans="1:47" x14ac:dyDescent="0.25">
      <c r="A1" s="47" t="s">
        <v>51</v>
      </c>
      <c r="B1" s="47" t="s">
        <v>274</v>
      </c>
      <c r="C1" s="48" t="s">
        <v>364</v>
      </c>
      <c r="D1" s="48" t="s">
        <v>365</v>
      </c>
      <c r="E1" s="48" t="s">
        <v>366</v>
      </c>
      <c r="F1" s="48" t="s">
        <v>367</v>
      </c>
      <c r="G1" s="65" t="s">
        <v>376</v>
      </c>
      <c r="H1" s="65" t="s">
        <v>377</v>
      </c>
      <c r="I1" s="65" t="s">
        <v>378</v>
      </c>
      <c r="J1" s="66" t="s">
        <v>379</v>
      </c>
      <c r="K1" s="66" t="s">
        <v>380</v>
      </c>
      <c r="L1" s="66" t="s">
        <v>381</v>
      </c>
      <c r="M1" s="66" t="s">
        <v>382</v>
      </c>
      <c r="N1" s="48" t="s">
        <v>383</v>
      </c>
      <c r="O1" s="48" t="s">
        <v>384</v>
      </c>
      <c r="P1" s="48" t="s">
        <v>385</v>
      </c>
      <c r="Q1" s="48" t="s">
        <v>386</v>
      </c>
      <c r="R1" s="65" t="s">
        <v>387</v>
      </c>
      <c r="S1" s="65" t="s">
        <v>388</v>
      </c>
      <c r="T1" s="65" t="s">
        <v>389</v>
      </c>
      <c r="U1" s="66" t="s">
        <v>390</v>
      </c>
      <c r="V1" s="66" t="s">
        <v>391</v>
      </c>
      <c r="W1" s="66" t="s">
        <v>392</v>
      </c>
      <c r="X1" s="66" t="s">
        <v>393</v>
      </c>
      <c r="Y1" s="48" t="s">
        <v>368</v>
      </c>
      <c r="Z1" s="50" t="s">
        <v>369</v>
      </c>
      <c r="AA1" s="50" t="s">
        <v>370</v>
      </c>
      <c r="AB1" s="50" t="s">
        <v>371</v>
      </c>
      <c r="AC1" s="50" t="s">
        <v>372</v>
      </c>
      <c r="AD1" s="67" t="s">
        <v>394</v>
      </c>
      <c r="AE1" s="67" t="s">
        <v>395</v>
      </c>
      <c r="AF1" s="67" t="s">
        <v>396</v>
      </c>
      <c r="AG1" s="67" t="s">
        <v>397</v>
      </c>
      <c r="AH1" s="67" t="s">
        <v>398</v>
      </c>
      <c r="AI1" s="68" t="s">
        <v>399</v>
      </c>
      <c r="AJ1" s="68" t="s">
        <v>400</v>
      </c>
      <c r="AK1" s="68" t="s">
        <v>401</v>
      </c>
      <c r="AL1" s="68" t="s">
        <v>402</v>
      </c>
      <c r="AM1" s="68" t="s">
        <v>403</v>
      </c>
      <c r="AN1" s="50" t="s">
        <v>373</v>
      </c>
      <c r="AO1" s="50" t="s">
        <v>374</v>
      </c>
      <c r="AP1" s="50" t="s">
        <v>375</v>
      </c>
      <c r="AQ1" s="67" t="s">
        <v>404</v>
      </c>
      <c r="AR1" s="67" t="s">
        <v>405</v>
      </c>
      <c r="AS1" s="68" t="s">
        <v>406</v>
      </c>
      <c r="AT1" s="68" t="s">
        <v>407</v>
      </c>
      <c r="AU1" s="68" t="s">
        <v>408</v>
      </c>
    </row>
    <row r="2" spans="1:47" x14ac:dyDescent="0.25">
      <c r="A2" s="49" t="s">
        <v>12</v>
      </c>
      <c r="B2" s="50" t="s">
        <v>289</v>
      </c>
      <c r="C2" s="48">
        <f>IFERROR((TR/(RadSpec!I2*EF_cw*ED_con*IRS_cw*(1/1000)))*1,".")</f>
        <v>134.26242934439654</v>
      </c>
      <c r="D2" s="48">
        <f>IFERROR(IF(A2="H-3",(TR/(RadSpec!G2*EF_cw*ED_con*ET_cw_o*(1/24)*IRA_cw*(1/17)*1000))*1,(TR/(RadSpec!G2*EF_cw*ED_con*ET_cw_o*(1/24)*IRA_cw*(1/PEFsc)*1000))*1),".")</f>
        <v>5.4343187775069373</v>
      </c>
      <c r="E2" s="48">
        <f>IFERROR((TR/(RadSpec!F2*EF_cw*(1/365)*ED_con*def_acf!D2*ET_cw_o*(1/24)*RadSpec!V2))*1,".")</f>
        <v>1141.9130743794221</v>
      </c>
      <c r="F2" s="48">
        <f t="shared" ref="F2" si="0">(IF(AND(ISNUMBER(C2),ISNUMBER(D2),ISNUMBER(E2)),1/((1/C2)+(1/D2)+(1/E2)),IF(AND(ISNUMBER(C2),ISNUMBER(D2),NOT(ISNUMBER(E2))), 1/((1/C2)+(1/D2)),IF(AND(ISNUMBER(C2),NOT(ISNUMBER(D2)),ISNUMBER(E2)),1/((1/C2)+(1/E2)),IF(AND(NOT(ISNUMBER(C2)),ISNUMBER(D2),ISNUMBER(E2)),1/((1/D2)+(1/E2)),IF(AND(ISNUMBER(C2),NOT(ISNUMBER(D2)),NOT(ISNUMBER(E2))),1/((1/C2)),IF(AND(NOT(ISNUMBER(C2)),NOT(ISNUMBER(D2)),ISNUMBER(E2)),1/((1/E2)),IF(AND(NOT(ISNUMBER(C2)),ISNUMBER(D2),NOT(ISNUMBER(E2))),1/((1/D2)),IF(AND(NOT(ISNUMBER(C2)),NOT(ISNUMBER(D2)),NOT(ISNUMBER(E2))),".")))))))))</f>
        <v>5.1991392997133383</v>
      </c>
      <c r="G2" s="69">
        <f t="shared" ref="G2:G30" si="1">C_*EF_cw*ED_con*IRS_cw*(1/1000)*1</f>
        <v>82.5</v>
      </c>
      <c r="H2" s="69">
        <f t="shared" ref="H2:H30" si="2">C_*EF_cw*ED_con*(ET_cw_i+ET_cw_o)*(1/24)*IRA_cw*(1/PEFsc)*1000*1</f>
        <v>6.4422246467249371</v>
      </c>
      <c r="I2" s="69">
        <f>C_*EF_cw*(1/365)*ED_con*(ET_cw_i+ET_cw_o)*(1/24)*RadSpec!U2*def_acf!D2*1</f>
        <v>2.1246458923512741E-2</v>
      </c>
      <c r="J2" s="11"/>
      <c r="K2" s="11"/>
      <c r="L2" s="11"/>
      <c r="M2" s="11"/>
      <c r="N2" s="48">
        <f>IFERROR((TR/(RadSpec!I2*EF_cw*ED_con*IRS_cw*(1/1000)))*1,".")</f>
        <v>134.26242934439654</v>
      </c>
      <c r="O2" s="48">
        <f>IFERROR(IF(A2="H-3",(TR/(RadSpec!G2*EF_cw*ED_con*ET_cw_o*(1/24)*IRA_cw*(1/17)*1000))*1,(TR/(RadSpec!G2*EF_cw*ED_con*ET_cw_o*(1/24)*IRA_cw*(1/PEF__sc)*1000))*1),".")</f>
        <v>831.01857365311923</v>
      </c>
      <c r="P2" s="48">
        <f>IFERROR((TR/(RadSpec!F2*EF_cw*(1/365)*ED_con*def_acf!D2*ET_cw_o*(1/24)*RadSpec!V2))*1,".")</f>
        <v>1141.9130743794221</v>
      </c>
      <c r="Q2" s="48">
        <f t="shared" ref="Q2" si="3">(IF(AND(ISNUMBER(N2),ISNUMBER(O2),ISNUMBER(P2)),1/((1/N2)+(1/O2)+(1/P2)),IF(AND(ISNUMBER(N2),ISNUMBER(O2),NOT(ISNUMBER(P2))), 1/((1/N2)+(1/O2)),IF(AND(ISNUMBER(N2),NOT(ISNUMBER(O2)),ISNUMBER(P2)),1/((1/N2)+(1/P2)),IF(AND(NOT(ISNUMBER(N2)),ISNUMBER(O2),ISNUMBER(P2)),1/((1/O2)+(1/P2)),IF(AND(ISNUMBER(N2),NOT(ISNUMBER(O2)),NOT(ISNUMBER(P2))),1/((1/N2)),IF(AND(NOT(ISNUMBER(N2)),NOT(ISNUMBER(O2)),ISNUMBER(P2)),1/((1/P2)),IF(AND(NOT(ISNUMBER(N2)),ISNUMBER(O2),NOT(ISNUMBER(P2))),1/((1/O2)),IF(AND(NOT(ISNUMBER(N2)),NOT(ISNUMBER(O2)),NOT(ISNUMBER(P2))),".")))))))))</f>
        <v>104.96300856416509</v>
      </c>
      <c r="R2" s="69">
        <f t="shared" ref="R2:R30" si="4">C_*EF_cw*ED_con*IRS_cw*(1/1000)*1</f>
        <v>82.5</v>
      </c>
      <c r="S2" s="69">
        <f t="shared" ref="S2:S30" si="5">C_*EF_cw*ED_con*(ET_cw_i+ET_cw_o)*(1/24)*IRA_cw*(1/PEF__sc)*1000*1</f>
        <v>4.2127942114117772E-2</v>
      </c>
      <c r="T2" s="69">
        <f>C_*EF_cw*(1/365)*ED_con*(ET_cw_i+ET_cw_o)*(1/24)*RadSpec!U2*def_acf!D2*1</f>
        <v>2.1246458923512741E-2</v>
      </c>
      <c r="U2" s="11"/>
      <c r="V2" s="11"/>
      <c r="W2" s="11"/>
      <c r="X2" s="11"/>
      <c r="Y2" s="48">
        <f>IFERROR((TR/(RadSpec!F2*EF_cw*(1/365)*ED_con*def_acf!D2*ET_cw_o*(1/24)*RadSpec!V2))*1,".")</f>
        <v>1141.9130743794221</v>
      </c>
      <c r="Z2" s="48">
        <f>IFERROR((TR/(RadSpec!M2*EF_cw*(1/365)*ED_con*def_acf!E2*ET_cw_o*(1/24)*RadSpec!R2))*1,".")</f>
        <v>3927.7933670951093</v>
      </c>
      <c r="AA2" s="48">
        <f>IFERROR((TR/(RadSpec!N2*EF_cw*(1/365)*ED_con*def_acf!F2*ET_cw_o*(1/24)*RadSpec!X2))*1,".")</f>
        <v>1615.4615009288823</v>
      </c>
      <c r="AB2" s="48">
        <f>IFERROR((TR/(RadSpec!O2*EF_cw*(1/365)*ED_con*def_acf!G2*ET_cw_o*(1/24)*RadSpec!Y2))*1,".")</f>
        <v>1131.1304547858037</v>
      </c>
      <c r="AC2" s="48">
        <f>IFERROR((TR/(RadSpec!K2*EF_cw*(1/365)*ED_con*def_acf!C2*ET_cw_o*(1/24)*RadSpec!U2))*1,".")</f>
        <v>3801.7086057343463</v>
      </c>
      <c r="AD2" s="69">
        <f>C_*EF_cw*(1/365)*ED_con*(ET_cw_i+ET_cw_o)*(1/24)*RadSpec!U2*def_acf!D2*1</f>
        <v>2.1246458923512741E-2</v>
      </c>
      <c r="AE2" s="69">
        <f>C_*EF_cw*(1/365)*ED_con*(ET_cw_i+ET_cw_o)*(1/24)*RadSpec!V2*def_acf!E2*1</f>
        <v>2.2051453391246253E-2</v>
      </c>
      <c r="AF2" s="69">
        <f>C_*EF_cw*(1/365)*ED_con*(ET_cw_i+ET_cw_o)*(1/24)*RadSpec!W2*def_acf!F2*1</f>
        <v>2.0708933380166255E-2</v>
      </c>
      <c r="AG2" s="69">
        <f>C_*EF_cw*(1/365)*ED_con*(ET_cw_i+ET_cw_o)*(1/24)*RadSpec!X2*def_acf!G2*1</f>
        <v>2.2010158534708332E-2</v>
      </c>
      <c r="AH2" s="69">
        <f>C_*EF_cw*(1/365)*ED_con*(ET_cw_i+ET_cw_o)*(1/24)*RadSpec!T2*def_acf!C2*1</f>
        <v>2.1871484349149633E-2</v>
      </c>
      <c r="AI2" s="11"/>
      <c r="AJ2" s="11"/>
      <c r="AK2" s="11"/>
      <c r="AL2" s="11"/>
      <c r="AM2" s="11"/>
      <c r="AN2" s="48">
        <f>IFERROR(TR/(RadSpec!G2*EF_cw*ED_con*ET_cw_o*(1/24)*IRA_cw),".")</f>
        <v>7.0018204733230645E-3</v>
      </c>
      <c r="AO2" s="48">
        <f>IFERROR(TR/(RadSpec!J2*EF_cw*(1/365)*ED_con*ET_cw_o*(1/24)*GSF_a),".")</f>
        <v>85060.871867038542</v>
      </c>
      <c r="AP2" s="48">
        <f t="shared" ref="AP2" si="6">IFERROR(IF(AND(ISNUMBER(AN2),ISNUMBER(AO2)),1/((1/AN2)+(1/AO2)),IF(AND(ISNUMBER(AN2),NOT(ISNUMBER(AO2))),1/((1/AN2)),IF(AND(NOT(ISNUMBER(AN2)),ISNUMBER(AO2)),1/((1/AO2)),IF(AND(NOT(ISNUMBER(AN2)),NOT(ISNUMBER(AO2))),".")))),".")</f>
        <v>7.0018198969653946E-3</v>
      </c>
      <c r="AQ2" s="69">
        <f t="shared" ref="AQ2:AQ30" si="7">C_*EF_cw*ED_con*(ET_cw_i+ET_cw_o)*(1/24)*IRA_cw*1</f>
        <v>5000</v>
      </c>
      <c r="AR2" s="69">
        <f t="shared" ref="AR2:AR30" si="8">C_*EF_cw*(1/365)*ED_con*(ET_cw_i+ET_cw_o)*(1/24)*GSF_a*1</f>
        <v>0.22831050228310501</v>
      </c>
      <c r="AS2" s="11"/>
      <c r="AT2" s="11"/>
      <c r="AU2" s="11"/>
    </row>
    <row r="3" spans="1:47" x14ac:dyDescent="0.25">
      <c r="A3" s="51" t="s">
        <v>13</v>
      </c>
      <c r="B3" s="50" t="s">
        <v>275</v>
      </c>
      <c r="C3" s="48">
        <f>IFERROR((TR/(RadSpec!I3*EF_cw*ED_con*IRS_cw*(1/1000)))*1,".")</f>
        <v>133.17086487818196</v>
      </c>
      <c r="D3" s="48">
        <f>IFERROR(IF(A3="H-3",(TR/(RadSpec!G3*EF_cw*ED_con*ET_cw_o*(1/24)*IRA_cw*(1/17)*1000))*1,(TR/(RadSpec!G3*EF_cw*ED_con*ET_cw_o*(1/24)*IRA_cw*(1/PEFsc)*1000))*1),".")</f>
        <v>4.1130334276817209</v>
      </c>
      <c r="E3" s="48">
        <f>IFERROR((TR/(RadSpec!F3*EF_cw*(1/365)*ED_con*def_acf!D3*ET_cw_o*(1/24)*RadSpec!V3))*1,".")</f>
        <v>1469.7226594747758</v>
      </c>
      <c r="F3" s="48">
        <f>(IF(AND(ISNUMBER(C3),ISNUMBER(D3),ISNUMBER(E3)),1/((1/C3)+(1/D3)+(1/E3)),IF(AND(ISNUMBER(C3),ISNUMBER(D3),NOT(ISNUMBER(E3))), 1/((1/C3)+(1/D3)),IF(AND(ISNUMBER(C3),NOT(ISNUMBER(D3)),ISNUMBER(E3)),1/((1/C3)+(1/E3)),IF(AND(NOT(ISNUMBER(C3)),ISNUMBER(D3),ISNUMBER(E3)),1/((1/D3)+(1/E3)),IF(AND(ISNUMBER(C3),NOT(ISNUMBER(D3)),NOT(ISNUMBER(E3))),1/((1/C3)),IF(AND(NOT(ISNUMBER(C3)),NOT(ISNUMBER(D3)),ISNUMBER(E3)),1/((1/E3)),IF(AND(NOT(ISNUMBER(C3)),ISNUMBER(D3),NOT(ISNUMBER(E3))),1/((1/D3)),IF(AND(NOT(ISNUMBER(C3)),NOT(ISNUMBER(D3)),NOT(ISNUMBER(E3))),".")))))))))</f>
        <v>3.9790050402058799</v>
      </c>
      <c r="G3" s="69">
        <f t="shared" si="1"/>
        <v>82.5</v>
      </c>
      <c r="H3" s="69">
        <f t="shared" si="2"/>
        <v>6.4422246467249371</v>
      </c>
      <c r="I3" s="69">
        <f>C_*EF_cw*(1/365)*ED_con*(ET_cw_i+ET_cw_o)*(1/24)*RadSpec!U3*def_acf!D3*1</f>
        <v>2.4587284861257535E-2</v>
      </c>
      <c r="J3" s="4"/>
      <c r="K3" s="4"/>
      <c r="L3" s="4"/>
      <c r="M3" s="4"/>
      <c r="N3" s="48">
        <f>IFERROR((TR/(RadSpec!I3*EF_cw*ED_con*IRS_cw*(1/1000)))*1,".")</f>
        <v>133.17086487818196</v>
      </c>
      <c r="O3" s="48">
        <f>IFERROR(IF(A3="H-3",(TR/(RadSpec!G3*EF_cw*ED_con*ET_cw_o*(1/24)*IRA_cw*(1/17)*1000))*1,(TR/(RadSpec!G3*EF_cw*ED_con*ET_cw_o*(1/24)*IRA_cw*(1/PEF__sc)*1000))*1),".")</f>
        <v>628.96699888255682</v>
      </c>
      <c r="P3" s="48">
        <f>IFERROR((TR/(RadSpec!F3*EF_cw*(1/365)*ED_con*def_acf!D3*ET_cw_o*(1/24)*RadSpec!V3))*1,".")</f>
        <v>1469.7226594747758</v>
      </c>
      <c r="Q3" s="48">
        <f>(IF(AND(ISNUMBER(N3),ISNUMBER(O3),ISNUMBER(P3)),1/((1/N3)+(1/O3)+(1/P3)),IF(AND(ISNUMBER(N3),ISNUMBER(O3),NOT(ISNUMBER(P3))), 1/((1/N3)+(1/O3)),IF(AND(ISNUMBER(N3),NOT(ISNUMBER(O3)),ISNUMBER(P3)),1/((1/N3)+(1/P3)),IF(AND(NOT(ISNUMBER(N3)),ISNUMBER(O3),ISNUMBER(P3)),1/((1/O3)+(1/P3)),IF(AND(ISNUMBER(N3),NOT(ISNUMBER(O3)),NOT(ISNUMBER(P3))),1/((1/N3)),IF(AND(NOT(ISNUMBER(N3)),NOT(ISNUMBER(O3)),ISNUMBER(P3)),1/((1/P3)),IF(AND(NOT(ISNUMBER(N3)),ISNUMBER(O3),NOT(ISNUMBER(P3))),1/((1/O3)),IF(AND(NOT(ISNUMBER(N3)),NOT(ISNUMBER(O3)),NOT(ISNUMBER(P3))),".")))))))))</f>
        <v>102.25514505797312</v>
      </c>
      <c r="R3" s="69">
        <f t="shared" si="4"/>
        <v>82.5</v>
      </c>
      <c r="S3" s="69">
        <f t="shared" si="5"/>
        <v>4.2127942114117772E-2</v>
      </c>
      <c r="T3" s="69">
        <f>C_*EF_cw*(1/365)*ED_con*(ET_cw_i+ET_cw_o)*(1/24)*RadSpec!U3*def_acf!D3*1</f>
        <v>2.4587284861257535E-2</v>
      </c>
      <c r="U3" s="11"/>
      <c r="V3" s="11"/>
      <c r="W3" s="11"/>
      <c r="X3" s="11"/>
      <c r="Y3" s="48">
        <f>IFERROR((TR/(RadSpec!F3*EF_cw*(1/365)*ED_con*def_acf!D3*ET_cw_o*(1/24)*RadSpec!V3))*1,".")</f>
        <v>1469.7226594747758</v>
      </c>
      <c r="Z3" s="48">
        <f>IFERROR((TR/(RadSpec!M3*EF_cw*(1/365)*ED_con*def_acf!E3*ET_cw_o*(1/24)*RadSpec!R3))*1,".")</f>
        <v>3367.5386638197328</v>
      </c>
      <c r="AA3" s="48">
        <f>IFERROR((TR/(RadSpec!N3*EF_cw*(1/365)*ED_con*def_acf!F3*ET_cw_o*(1/24)*RadSpec!X3))*1,".")</f>
        <v>1787.8539587521261</v>
      </c>
      <c r="AB3" s="48">
        <f>IFERROR((TR/(RadSpec!O3*EF_cw*(1/365)*ED_con*def_acf!G3*ET_cw_o*(1/24)*RadSpec!Y3))*1,".")</f>
        <v>1632.9956549095177</v>
      </c>
      <c r="AC3" s="48">
        <f>IFERROR((TR/(RadSpec!K3*EF_cw*(1/365)*ED_con*def_acf!C3*ET_cw_o*(1/24)*RadSpec!U3))*1,".")</f>
        <v>2777.9254588047911</v>
      </c>
      <c r="AD3" s="69">
        <f>C_*EF_cw*(1/365)*ED_con*(ET_cw_i+ET_cw_o)*(1/24)*RadSpec!U3*def_acf!D3*1</f>
        <v>2.4587284861257535E-2</v>
      </c>
      <c r="AE3" s="69">
        <f>C_*EF_cw*(1/365)*ED_con*(ET_cw_i+ET_cw_o)*(1/24)*RadSpec!V3*def_acf!E3*1</f>
        <v>2.1589193939741302E-2</v>
      </c>
      <c r="AF3" s="69">
        <f>C_*EF_cw*(1/365)*ED_con*(ET_cw_i+ET_cw_o)*(1/24)*RadSpec!W3*def_acf!F3*1</f>
        <v>2.1695177082623401E-2</v>
      </c>
      <c r="AG3" s="69">
        <f>C_*EF_cw*(1/365)*ED_con*(ET_cw_i+ET_cw_o)*(1/24)*RadSpec!X3*def_acf!G3*1</f>
        <v>2.2128956428578858E-2</v>
      </c>
      <c r="AH3" s="69">
        <f>C_*EF_cw*(1/365)*ED_con*(ET_cw_i+ET_cw_o)*(1/24)*RadSpec!T3*def_acf!C3*1</f>
        <v>1.9268758703325891E-2</v>
      </c>
      <c r="AI3" s="11"/>
      <c r="AJ3" s="11"/>
      <c r="AK3" s="11"/>
      <c r="AL3" s="11"/>
      <c r="AM3" s="11"/>
      <c r="AN3" s="48">
        <f>IFERROR(TR/(RadSpec!G3*EF_cw*ED_con*ET_cw_o*(1/24)*IRA_cw),".")</f>
        <v>5.2994170641229464E-3</v>
      </c>
      <c r="AO3" s="48">
        <f>IFERROR(TR/(RadSpec!J3*EF_cw*(1/365)*ED_con*ET_cw_o*(1/24)*GSF_a),".")</f>
        <v>75476.548276386311</v>
      </c>
      <c r="AP3" s="48">
        <f>IFERROR(IF(AND(ISNUMBER(AN3),ISNUMBER(AO3)),1/((1/AN3)+(1/AO3)),IF(AND(ISNUMBER(AN3),NOT(ISNUMBER(AO3))),1/((1/AN3)),IF(AND(NOT(ISNUMBER(AN3)),ISNUMBER(AO3)),1/((1/AO3)),IF(AND(NOT(ISNUMBER(AN3)),NOT(ISNUMBER(AO3))),".")))),".")</f>
        <v>5.2994166920362533E-3</v>
      </c>
      <c r="AQ3" s="69">
        <f t="shared" si="7"/>
        <v>5000</v>
      </c>
      <c r="AR3" s="69">
        <f t="shared" si="8"/>
        <v>0.22831050228310501</v>
      </c>
      <c r="AS3" s="10"/>
      <c r="AT3" s="10"/>
      <c r="AU3" s="10"/>
    </row>
    <row r="4" spans="1:47" x14ac:dyDescent="0.25">
      <c r="A4" s="49" t="s">
        <v>14</v>
      </c>
      <c r="B4" s="50" t="s">
        <v>289</v>
      </c>
      <c r="C4" s="48" t="str">
        <f>IFERROR((TR/(RadSpec!I4*EF_cw*ED_con*IRS_cw*(1/1000)))*1,".")</f>
        <v>.</v>
      </c>
      <c r="D4" s="48" t="str">
        <f>IFERROR(IF(A4="H-3",(TR/(RadSpec!G4*EF_cw*ED_con*ET_cw_o*(1/24)*IRA_cw*(1/17)*1000))*1,(TR/(RadSpec!G4*EF_cw*ED_con*ET_cw_o*(1/24)*IRA_cw*(1/PEFsc)*1000))*1),".")</f>
        <v>.</v>
      </c>
      <c r="E4" s="48">
        <f>IFERROR((TR/(RadSpec!F4*EF_cw*(1/365)*ED_con*def_acf!D4*ET_cw_o*(1/24)*RadSpec!V4))*1,".")</f>
        <v>61646.255780056425</v>
      </c>
      <c r="F4" s="48">
        <f t="shared" ref="F4:F5" si="9">(IF(AND(ISNUMBER(C4),ISNUMBER(D4),ISNUMBER(E4)),1/((1/C4)+(1/D4)+(1/E4)),IF(AND(ISNUMBER(C4),ISNUMBER(D4),NOT(ISNUMBER(E4))), 1/((1/C4)+(1/D4)),IF(AND(ISNUMBER(C4),NOT(ISNUMBER(D4)),ISNUMBER(E4)),1/((1/C4)+(1/E4)),IF(AND(NOT(ISNUMBER(C4)),ISNUMBER(D4),ISNUMBER(E4)),1/((1/D4)+(1/E4)),IF(AND(ISNUMBER(C4),NOT(ISNUMBER(D4)),NOT(ISNUMBER(E4))),1/((1/C4)),IF(AND(NOT(ISNUMBER(C4)),NOT(ISNUMBER(D4)),ISNUMBER(E4)),1/((1/E4)),IF(AND(NOT(ISNUMBER(C4)),ISNUMBER(D4),NOT(ISNUMBER(E4))),1/((1/D4)),IF(AND(NOT(ISNUMBER(C4)),NOT(ISNUMBER(D4)),NOT(ISNUMBER(E4))),".")))))))))</f>
        <v>61646.255780056425</v>
      </c>
      <c r="G4" s="69">
        <f t="shared" si="1"/>
        <v>82.5</v>
      </c>
      <c r="H4" s="69">
        <f t="shared" si="2"/>
        <v>6.4422246467249371</v>
      </c>
      <c r="I4" s="69">
        <f>C_*EF_cw*(1/365)*ED_con*(ET_cw_i+ET_cw_o)*(1/24)*RadSpec!U4*def_acf!D4*1</f>
        <v>1.732260636370226E-2</v>
      </c>
      <c r="J4" s="4"/>
      <c r="K4" s="4"/>
      <c r="L4" s="4"/>
      <c r="M4" s="4"/>
      <c r="N4" s="48" t="str">
        <f>IFERROR((TR/(RadSpec!I4*EF_cw*ED_con*IRS_cw*(1/1000)))*1,".")</f>
        <v>.</v>
      </c>
      <c r="O4" s="48" t="str">
        <f>IFERROR(IF(A4="H-3",(TR/(RadSpec!G4*EF_cw*ED_con*ET_cw_o*(1/24)*IRA_cw*(1/17)*1000))*1,(TR/(RadSpec!G4*EF_cw*ED_con*ET_cw_o*(1/24)*IRA_cw*(1/PEF__sc)*1000))*1),".")</f>
        <v>.</v>
      </c>
      <c r="P4" s="48">
        <f>IFERROR((TR/(RadSpec!F4*EF_cw*(1/365)*ED_con*def_acf!D4*ET_cw_o*(1/24)*RadSpec!V4))*1,".")</f>
        <v>61646.255780056425</v>
      </c>
      <c r="Q4" s="48">
        <f t="shared" ref="Q4:Q5" si="10">(IF(AND(ISNUMBER(N4),ISNUMBER(O4),ISNUMBER(P4)),1/((1/N4)+(1/O4)+(1/P4)),IF(AND(ISNUMBER(N4),ISNUMBER(O4),NOT(ISNUMBER(P4))), 1/((1/N4)+(1/O4)),IF(AND(ISNUMBER(N4),NOT(ISNUMBER(O4)),ISNUMBER(P4)),1/((1/N4)+(1/P4)),IF(AND(NOT(ISNUMBER(N4)),ISNUMBER(O4),ISNUMBER(P4)),1/((1/O4)+(1/P4)),IF(AND(ISNUMBER(N4),NOT(ISNUMBER(O4)),NOT(ISNUMBER(P4))),1/((1/N4)),IF(AND(NOT(ISNUMBER(N4)),NOT(ISNUMBER(O4)),ISNUMBER(P4)),1/((1/P4)),IF(AND(NOT(ISNUMBER(N4)),ISNUMBER(O4),NOT(ISNUMBER(P4))),1/((1/O4)),IF(AND(NOT(ISNUMBER(N4)),NOT(ISNUMBER(O4)),NOT(ISNUMBER(P4))),".")))))))))</f>
        <v>61646.255780056425</v>
      </c>
      <c r="R4" s="69">
        <f t="shared" si="4"/>
        <v>82.5</v>
      </c>
      <c r="S4" s="69">
        <f t="shared" si="5"/>
        <v>4.2127942114117772E-2</v>
      </c>
      <c r="T4" s="69">
        <f>C_*EF_cw*(1/365)*ED_con*(ET_cw_i+ET_cw_o)*(1/24)*RadSpec!U4*def_acf!D4*1</f>
        <v>1.732260636370226E-2</v>
      </c>
      <c r="U4" s="11"/>
      <c r="V4" s="11"/>
      <c r="W4" s="11"/>
      <c r="X4" s="11"/>
      <c r="Y4" s="48">
        <f>IFERROR((TR/(RadSpec!F4*EF_cw*(1/365)*ED_con*def_acf!D4*ET_cw_o*(1/24)*RadSpec!V4))*1,".")</f>
        <v>61646.255780056425</v>
      </c>
      <c r="Z4" s="48">
        <f>IFERROR((TR/(RadSpec!M4*EF_cw*(1/365)*ED_con*def_acf!E4*ET_cw_o*(1/24)*RadSpec!R4))*1,".")</f>
        <v>398502.33303071506</v>
      </c>
      <c r="AA4" s="48">
        <f>IFERROR((TR/(RadSpec!N4*EF_cw*(1/365)*ED_con*def_acf!F4*ET_cw_o*(1/24)*RadSpec!X4))*1,".")</f>
        <v>103029.35804451784</v>
      </c>
      <c r="AB4" s="48">
        <f>IFERROR((TR/(RadSpec!O4*EF_cw*(1/365)*ED_con*def_acf!G4*ET_cw_o*(1/24)*RadSpec!Y4))*1,".")</f>
        <v>59531.943705477453</v>
      </c>
      <c r="AC4" s="48">
        <f>IFERROR((TR/(RadSpec!K4*EF_cw*(1/365)*ED_con*def_acf!C4*ET_cw_o*(1/24)*RadSpec!U4))*1,".")</f>
        <v>490597.56379651144</v>
      </c>
      <c r="AD4" s="69">
        <f>C_*EF_cw*(1/365)*ED_con*(ET_cw_i+ET_cw_o)*(1/24)*RadSpec!U4*def_acf!D4*1</f>
        <v>1.732260636370226E-2</v>
      </c>
      <c r="AE4" s="69">
        <f>C_*EF_cw*(1/365)*ED_con*(ET_cw_i+ET_cw_o)*(1/24)*RadSpec!V4*def_acf!E4*1</f>
        <v>1.157938432632016E-2</v>
      </c>
      <c r="AF4" s="69">
        <f>C_*EF_cw*(1/365)*ED_con*(ET_cw_i+ET_cw_o)*(1/24)*RadSpec!W4*def_acf!F4*1</f>
        <v>1.6235413495687464E-2</v>
      </c>
      <c r="AG4" s="69">
        <f>C_*EF_cw*(1/365)*ED_con*(ET_cw_i+ET_cw_o)*(1/24)*RadSpec!X4*def_acf!G4*1</f>
        <v>1.9130503736891142E-2</v>
      </c>
      <c r="AH4" s="69">
        <f>C_*EF_cw*(1/365)*ED_con*(ET_cw_i+ET_cw_o)*(1/24)*RadSpec!T4*def_acf!C4*1</f>
        <v>9.5917429953257059E-3</v>
      </c>
      <c r="AI4" s="11"/>
      <c r="AJ4" s="11"/>
      <c r="AK4" s="11"/>
      <c r="AL4" s="11"/>
      <c r="AM4" s="11"/>
      <c r="AN4" s="48" t="str">
        <f>IFERROR(TR/(RadSpec!G4*EF_cw*ED_con*ET_cw_o*(1/24)*IRA_cw),".")</f>
        <v>.</v>
      </c>
      <c r="AO4" s="48">
        <f>IFERROR(TR/(RadSpec!J4*EF_cw*(1/365)*ED_con*ET_cw_o*(1/24)*GSF_a),".")</f>
        <v>4487062.7384406701</v>
      </c>
      <c r="AP4" s="48">
        <f t="shared" ref="AP4:AP5" si="11">IFERROR(IF(AND(ISNUMBER(AN4),ISNUMBER(AO4)),1/((1/AN4)+(1/AO4)),IF(AND(ISNUMBER(AN4),NOT(ISNUMBER(AO4))),1/((1/AN4)),IF(AND(NOT(ISNUMBER(AN4)),ISNUMBER(AO4)),1/((1/AO4)),IF(AND(NOT(ISNUMBER(AN4)),NOT(ISNUMBER(AO4))),".")))),".")</f>
        <v>4487062.7384406701</v>
      </c>
      <c r="AQ4" s="69">
        <f t="shared" si="7"/>
        <v>5000</v>
      </c>
      <c r="AR4" s="69">
        <f t="shared" si="8"/>
        <v>0.22831050228310501</v>
      </c>
      <c r="AS4" s="10"/>
      <c r="AT4" s="10"/>
      <c r="AU4" s="10"/>
    </row>
    <row r="5" spans="1:47" x14ac:dyDescent="0.25">
      <c r="A5" s="49" t="s">
        <v>15</v>
      </c>
      <c r="B5" s="50" t="s">
        <v>289</v>
      </c>
      <c r="C5" s="48" t="str">
        <f>IFERROR((TR/(RadSpec!I5*EF_cw*ED_con*IRS_cw*(1/1000)))*1,".")</f>
        <v>.</v>
      </c>
      <c r="D5" s="48" t="str">
        <f>IFERROR(IF(A5="H-3",(TR/(RadSpec!G5*EF_cw*ED_con*ET_cw_o*(1/24)*IRA_cw*(1/17)*1000))*1,(TR/(RadSpec!G5*EF_cw*ED_con*ET_cw_o*(1/24)*IRA_cw*(1/PEFsc)*1000))*1),".")</f>
        <v>.</v>
      </c>
      <c r="E5" s="48">
        <f>IFERROR((TR/(RadSpec!F5*EF_cw*(1/365)*ED_con*def_acf!D5*ET_cw_o*(1/24)*RadSpec!V5))*1,".")</f>
        <v>177360.96687169737</v>
      </c>
      <c r="F5" s="48">
        <f t="shared" si="9"/>
        <v>177360.96687169737</v>
      </c>
      <c r="G5" s="69">
        <f t="shared" si="1"/>
        <v>82.5</v>
      </c>
      <c r="H5" s="69">
        <f t="shared" si="2"/>
        <v>6.4422246467249371</v>
      </c>
      <c r="I5" s="69">
        <f>C_*EF_cw*(1/365)*ED_con*(ET_cw_i+ET_cw_o)*(1/24)*RadSpec!U5*def_acf!D5*1</f>
        <v>0.20547945205479451</v>
      </c>
      <c r="J5" s="4"/>
      <c r="K5" s="4"/>
      <c r="L5" s="4"/>
      <c r="M5" s="4"/>
      <c r="N5" s="48" t="str">
        <f>IFERROR((TR/(RadSpec!I5*EF_cw*ED_con*IRS_cw*(1/1000)))*1,".")</f>
        <v>.</v>
      </c>
      <c r="O5" s="48" t="str">
        <f>IFERROR(IF(A5="H-3",(TR/(RadSpec!G5*EF_cw*ED_con*ET_cw_o*(1/24)*IRA_cw*(1/17)*1000))*1,(TR/(RadSpec!G5*EF_cw*ED_con*ET_cw_o*(1/24)*IRA_cw*(1/PEF__sc)*1000))*1),".")</f>
        <v>.</v>
      </c>
      <c r="P5" s="48">
        <f>IFERROR((TR/(RadSpec!F5*EF_cw*(1/365)*ED_con*def_acf!D5*ET_cw_o*(1/24)*RadSpec!V5))*1,".")</f>
        <v>177360.96687169737</v>
      </c>
      <c r="Q5" s="48">
        <f t="shared" si="10"/>
        <v>177360.96687169737</v>
      </c>
      <c r="R5" s="69">
        <f t="shared" si="4"/>
        <v>82.5</v>
      </c>
      <c r="S5" s="69">
        <f t="shared" si="5"/>
        <v>4.2127942114117772E-2</v>
      </c>
      <c r="T5" s="69">
        <f>C_*EF_cw*(1/365)*ED_con*(ET_cw_i+ET_cw_o)*(1/24)*RadSpec!U5*def_acf!D5*1</f>
        <v>0.20547945205479451</v>
      </c>
      <c r="U5" s="11"/>
      <c r="V5" s="11"/>
      <c r="W5" s="11"/>
      <c r="X5" s="11"/>
      <c r="Y5" s="48">
        <f>IFERROR((TR/(RadSpec!F5*EF_cw*(1/365)*ED_con*def_acf!D5*ET_cw_o*(1/24)*RadSpec!V5))*1,".")</f>
        <v>177360.96687169737</v>
      </c>
      <c r="Z5" s="48">
        <f>IFERROR((TR/(RadSpec!M5*EF_cw*(1/365)*ED_con*def_acf!E5*ET_cw_o*(1/24)*RadSpec!R5))*1,".")</f>
        <v>644639.74286762078</v>
      </c>
      <c r="AA5" s="48">
        <f>IFERROR((TR/(RadSpec!N5*EF_cw*(1/365)*ED_con*def_acf!F5*ET_cw_o*(1/24)*RadSpec!X5))*1,".")</f>
        <v>263963.44024603476</v>
      </c>
      <c r="AB5" s="48">
        <f>IFERROR((TR/(RadSpec!O5*EF_cw*(1/365)*ED_con*def_acf!G5*ET_cw_o*(1/24)*RadSpec!Y5))*1,".")</f>
        <v>190318.84572990355</v>
      </c>
      <c r="AC5" s="48">
        <f>IFERROR((TR/(RadSpec!K5*EF_cw*(1/365)*ED_con*def_acf!C5*ET_cw_o*(1/24)*RadSpec!U5))*1,".")</f>
        <v>243741.67961899936</v>
      </c>
      <c r="AD5" s="69">
        <f>C_*EF_cw*(1/365)*ED_con*(ET_cw_i+ET_cw_o)*(1/24)*RadSpec!U5*def_acf!D5*1</f>
        <v>0.20547945205479451</v>
      </c>
      <c r="AE5" s="69">
        <f>C_*EF_cw*(1/365)*ED_con*(ET_cw_i+ET_cw_o)*(1/24)*RadSpec!V5*def_acf!E5*1</f>
        <v>0.20547945205479451</v>
      </c>
      <c r="AF5" s="69">
        <f>C_*EF_cw*(1/365)*ED_con*(ET_cw_i+ET_cw_o)*(1/24)*RadSpec!W5*def_acf!F5*1</f>
        <v>0.20547945205479451</v>
      </c>
      <c r="AG5" s="69">
        <f>C_*EF_cw*(1/365)*ED_con*(ET_cw_i+ET_cw_o)*(1/24)*RadSpec!X5*def_acf!G5*1</f>
        <v>0.20547945205479451</v>
      </c>
      <c r="AH5" s="69">
        <f>C_*EF_cw*(1/365)*ED_con*(ET_cw_i+ET_cw_o)*(1/24)*RadSpec!T5*def_acf!C5*1</f>
        <v>0.18493150684931506</v>
      </c>
      <c r="AI5" s="11"/>
      <c r="AJ5" s="11"/>
      <c r="AK5" s="11"/>
      <c r="AL5" s="11"/>
      <c r="AM5" s="11"/>
      <c r="AN5" s="48" t="str">
        <f>IFERROR(TR/(RadSpec!G5*EF_cw*ED_con*ET_cw_o*(1/24)*IRA_cw),".")</f>
        <v>.</v>
      </c>
      <c r="AO5" s="48">
        <f>IFERROR(TR/(RadSpec!J5*EF_cw*(1/365)*ED_con*ET_cw_o*(1/24)*GSF_a),".")</f>
        <v>142090320.05062121</v>
      </c>
      <c r="AP5" s="48">
        <f t="shared" si="11"/>
        <v>142090320.05062121</v>
      </c>
      <c r="AQ5" s="69">
        <f t="shared" si="7"/>
        <v>5000</v>
      </c>
      <c r="AR5" s="69">
        <f t="shared" si="8"/>
        <v>0.22831050228310501</v>
      </c>
      <c r="AS5" s="10"/>
      <c r="AT5" s="10"/>
      <c r="AU5" s="10"/>
    </row>
    <row r="6" spans="1:47" x14ac:dyDescent="0.25">
      <c r="A6" s="49" t="s">
        <v>16</v>
      </c>
      <c r="B6" s="50" t="s">
        <v>289</v>
      </c>
      <c r="C6" s="48" t="str">
        <f>IFERROR((TR/(RadSpec!I6*EF_cw*ED_con*IRS_cw*(1/1000)))*1,".")</f>
        <v>.</v>
      </c>
      <c r="D6" s="48" t="str">
        <f>IFERROR(IF(A6="H-3",(TR/(RadSpec!G6*EF_cw*ED_con*ET_cw_o*(1/24)*IRA_cw*(1/17)*1000))*1,(TR/(RadSpec!G6*EF_cw*ED_con*ET_cw_o*(1/24)*IRA_cw*(1/PEFsc)*1000))*1),".")</f>
        <v>.</v>
      </c>
      <c r="E6" s="48">
        <f>IFERROR((TR/(RadSpec!F6*EF_cw*(1/365)*ED_con*def_acf!D6*ET_cw_o*(1/24)*RadSpec!V6))*1,".")</f>
        <v>18.611241219533674</v>
      </c>
      <c r="F6" s="48">
        <f t="shared" ref="F6:F9" si="12">(IF(AND(ISNUMBER(C6),ISNUMBER(D6),ISNUMBER(E6)),1/((1/C6)+(1/D6)+(1/E6)),IF(AND(ISNUMBER(C6),ISNUMBER(D6),NOT(ISNUMBER(E6))), 1/((1/C6)+(1/D6)),IF(AND(ISNUMBER(C6),NOT(ISNUMBER(D6)),ISNUMBER(E6)),1/((1/C6)+(1/E6)),IF(AND(NOT(ISNUMBER(C6)),ISNUMBER(D6),ISNUMBER(E6)),1/((1/D6)+(1/E6)),IF(AND(ISNUMBER(C6),NOT(ISNUMBER(D6)),NOT(ISNUMBER(E6))),1/((1/C6)),IF(AND(NOT(ISNUMBER(C6)),NOT(ISNUMBER(D6)),ISNUMBER(E6)),1/((1/E6)),IF(AND(NOT(ISNUMBER(C6)),ISNUMBER(D6),NOT(ISNUMBER(E6))),1/((1/D6)),IF(AND(NOT(ISNUMBER(C6)),NOT(ISNUMBER(D6)),NOT(ISNUMBER(E6))),".")))))))))</f>
        <v>18.611241219533674</v>
      </c>
      <c r="G6" s="69">
        <f t="shared" si="1"/>
        <v>82.5</v>
      </c>
      <c r="H6" s="69">
        <f t="shared" si="2"/>
        <v>6.4422246467249371</v>
      </c>
      <c r="I6" s="69">
        <f>C_*EF_cw*(1/365)*ED_con*(ET_cw_i+ET_cw_o)*(1/24)*RadSpec!U6*def_acf!D6*1</f>
        <v>2.0007422108201438E-2</v>
      </c>
      <c r="J6" s="4"/>
      <c r="K6" s="4"/>
      <c r="L6" s="4"/>
      <c r="M6" s="4"/>
      <c r="N6" s="48" t="str">
        <f>IFERROR((TR/(RadSpec!I6*EF_cw*ED_con*IRS_cw*(1/1000)))*1,".")</f>
        <v>.</v>
      </c>
      <c r="O6" s="48" t="str">
        <f>IFERROR(IF(A6="H-3",(TR/(RadSpec!G6*EF_cw*ED_con*ET_cw_o*(1/24)*IRA_cw*(1/17)*1000))*1,(TR/(RadSpec!G6*EF_cw*ED_con*ET_cw_o*(1/24)*IRA_cw*(1/PEF__sc)*1000))*1),".")</f>
        <v>.</v>
      </c>
      <c r="P6" s="48">
        <f>IFERROR((TR/(RadSpec!F6*EF_cw*(1/365)*ED_con*def_acf!D6*ET_cw_o*(1/24)*RadSpec!V6))*1,".")</f>
        <v>18.611241219533674</v>
      </c>
      <c r="Q6" s="48">
        <f t="shared" ref="Q6:Q9" si="13">(IF(AND(ISNUMBER(N6),ISNUMBER(O6),ISNUMBER(P6)),1/((1/N6)+(1/O6)+(1/P6)),IF(AND(ISNUMBER(N6),ISNUMBER(O6),NOT(ISNUMBER(P6))), 1/((1/N6)+(1/O6)),IF(AND(ISNUMBER(N6),NOT(ISNUMBER(O6)),ISNUMBER(P6)),1/((1/N6)+(1/P6)),IF(AND(NOT(ISNUMBER(N6)),ISNUMBER(O6),ISNUMBER(P6)),1/((1/O6)+(1/P6)),IF(AND(ISNUMBER(N6),NOT(ISNUMBER(O6)),NOT(ISNUMBER(P6))),1/((1/N6)),IF(AND(NOT(ISNUMBER(N6)),NOT(ISNUMBER(O6)),ISNUMBER(P6)),1/((1/P6)),IF(AND(NOT(ISNUMBER(N6)),ISNUMBER(O6),NOT(ISNUMBER(P6))),1/((1/O6)),IF(AND(NOT(ISNUMBER(N6)),NOT(ISNUMBER(O6)),NOT(ISNUMBER(P6))),".")))))))))</f>
        <v>18.611241219533674</v>
      </c>
      <c r="R6" s="69">
        <f t="shared" si="4"/>
        <v>82.5</v>
      </c>
      <c r="S6" s="69">
        <f t="shared" si="5"/>
        <v>4.2127942114117772E-2</v>
      </c>
      <c r="T6" s="69">
        <f>C_*EF_cw*(1/365)*ED_con*(ET_cw_i+ET_cw_o)*(1/24)*RadSpec!U6*def_acf!D6*1</f>
        <v>2.0007422108201438E-2</v>
      </c>
      <c r="U6" s="11"/>
      <c r="V6" s="11"/>
      <c r="W6" s="11"/>
      <c r="X6" s="11"/>
      <c r="Y6" s="48">
        <f>IFERROR((TR/(RadSpec!F6*EF_cw*(1/365)*ED_con*def_acf!D6*ET_cw_o*(1/24)*RadSpec!V6))*1,".")</f>
        <v>18.611241219533674</v>
      </c>
      <c r="Z6" s="48">
        <f>IFERROR((TR/(RadSpec!M6*EF_cw*(1/365)*ED_con*def_acf!E6*ET_cw_o*(1/24)*RadSpec!R6))*1,".")</f>
        <v>171.56740978347298</v>
      </c>
      <c r="AA6" s="48">
        <f>IFERROR((TR/(RadSpec!N6*EF_cw*(1/365)*ED_con*def_acf!F6*ET_cw_o*(1/24)*RadSpec!X6))*1,".")</f>
        <v>41.914445685159876</v>
      </c>
      <c r="AB6" s="48">
        <f>IFERROR((TR/(RadSpec!O6*EF_cw*(1/365)*ED_con*def_acf!G6*ET_cw_o*(1/24)*RadSpec!Y6))*1,".")</f>
        <v>20.969768864013339</v>
      </c>
      <c r="AC6" s="48">
        <f>IFERROR((TR/(RadSpec!K6*EF_cw*(1/365)*ED_con*def_acf!C6*ET_cw_o*(1/24)*RadSpec!U6))*1,".")</f>
        <v>261.24108225831259</v>
      </c>
      <c r="AD6" s="69">
        <f>C_*EF_cw*(1/365)*ED_con*(ET_cw_i+ET_cw_o)*(1/24)*RadSpec!U6*def_acf!D6*1</f>
        <v>2.0007422108201438E-2</v>
      </c>
      <c r="AE6" s="69">
        <f>C_*EF_cw*(1/365)*ED_con*(ET_cw_i+ET_cw_o)*(1/24)*RadSpec!V6*def_acf!E6*1</f>
        <v>1.0648094854380114E-2</v>
      </c>
      <c r="AF6" s="69">
        <f>C_*EF_cw*(1/365)*ED_con*(ET_cw_i+ET_cw_o)*(1/24)*RadSpec!W6*def_acf!F6*1</f>
        <v>1.5456071804045249E-2</v>
      </c>
      <c r="AG6" s="69">
        <f>C_*EF_cw*(1/365)*ED_con*(ET_cw_i+ET_cw_o)*(1/24)*RadSpec!X6*def_acf!G6*1</f>
        <v>1.992263618648751E-2</v>
      </c>
      <c r="AH6" s="69">
        <f>C_*EF_cw*(1/365)*ED_con*(ET_cw_i+ET_cw_o)*(1/24)*RadSpec!T6*def_acf!C6*1</f>
        <v>7.1423338949527385E-3</v>
      </c>
      <c r="AI6" s="11"/>
      <c r="AJ6" s="11"/>
      <c r="AK6" s="11"/>
      <c r="AL6" s="11"/>
      <c r="AM6" s="11"/>
      <c r="AN6" s="48" t="str">
        <f>IFERROR(TR/(RadSpec!G6*EF_cw*ED_con*ET_cw_o*(1/24)*IRA_cw),".")</f>
        <v>.</v>
      </c>
      <c r="AO6" s="48">
        <f>IFERROR(TR/(RadSpec!J6*EF_cw*(1/365)*ED_con*ET_cw_o*(1/24)*GSF_a),".")</f>
        <v>1736.6594672853705</v>
      </c>
      <c r="AP6" s="48">
        <f t="shared" ref="AP6:AP9" si="14">IFERROR(IF(AND(ISNUMBER(AN6),ISNUMBER(AO6)),1/((1/AN6)+(1/AO6)),IF(AND(ISNUMBER(AN6),NOT(ISNUMBER(AO6))),1/((1/AN6)),IF(AND(NOT(ISNUMBER(AN6)),ISNUMBER(AO6)),1/((1/AO6)),IF(AND(NOT(ISNUMBER(AN6)),NOT(ISNUMBER(AO6))),".")))),".")</f>
        <v>1736.6594672853705</v>
      </c>
      <c r="AQ6" s="69">
        <f t="shared" si="7"/>
        <v>5000</v>
      </c>
      <c r="AR6" s="69">
        <f t="shared" si="8"/>
        <v>0.22831050228310501</v>
      </c>
      <c r="AS6" s="10"/>
      <c r="AT6" s="10"/>
      <c r="AU6" s="10"/>
    </row>
    <row r="7" spans="1:47" x14ac:dyDescent="0.25">
      <c r="A7" s="49" t="s">
        <v>17</v>
      </c>
      <c r="B7" s="50" t="s">
        <v>289</v>
      </c>
      <c r="C7" s="48">
        <f>IFERROR((TR/(RadSpec!I7*EF_cw*ED_con*IRS_cw*(1/1000)))*1,".")</f>
        <v>3243.5676000032436</v>
      </c>
      <c r="D7" s="48">
        <f>IFERROR(IF(A7="H-3",(TR/(RadSpec!G7*EF_cw*ED_con*ET_cw_o*(1/24)*IRA_cw*(1/17)*1000))*1,(TR/(RadSpec!G7*EF_cw*ED_con*ET_cw_o*(1/24)*IRA_cw*(1/PEFsc)*1000))*1),".")</f>
        <v>341.08082083214276</v>
      </c>
      <c r="E7" s="48">
        <f>IFERROR((TR/(RadSpec!F7*EF_cw*(1/365)*ED_con*def_acf!D7*ET_cw_o*(1/24)*RadSpec!V7))*1,".")</f>
        <v>21193.132482126541</v>
      </c>
      <c r="F7" s="48">
        <f t="shared" si="12"/>
        <v>304.19694133378039</v>
      </c>
      <c r="G7" s="69">
        <f t="shared" si="1"/>
        <v>82.5</v>
      </c>
      <c r="H7" s="69">
        <f t="shared" si="2"/>
        <v>6.4422246467249371</v>
      </c>
      <c r="I7" s="69">
        <f>C_*EF_cw*(1/365)*ED_con*(ET_cw_i+ET_cw_o)*(1/24)*RadSpec!U7*def_acf!D7*1</f>
        <v>1.7051037512282534E-2</v>
      </c>
      <c r="J7" s="4"/>
      <c r="K7" s="4"/>
      <c r="L7" s="4"/>
      <c r="M7" s="4"/>
      <c r="N7" s="48">
        <f>IFERROR((TR/(RadSpec!I7*EF_cw*ED_con*IRS_cw*(1/1000)))*1,".")</f>
        <v>3243.5676000032436</v>
      </c>
      <c r="O7" s="48">
        <f>IFERROR(IF(A7="H-3",(TR/(RadSpec!G7*EF_cw*ED_con*ET_cw_o*(1/24)*IRA_cw*(1/17)*1000))*1,(TR/(RadSpec!G7*EF_cw*ED_con*ET_cw_o*(1/24)*IRA_cw*(1/PEF__sc)*1000))*1),".")</f>
        <v>52158.238931724234</v>
      </c>
      <c r="P7" s="48">
        <f>IFERROR((TR/(RadSpec!F7*EF_cw*(1/365)*ED_con*def_acf!D7*ET_cw_o*(1/24)*RadSpec!V7))*1,".")</f>
        <v>21193.132482126541</v>
      </c>
      <c r="Q7" s="48">
        <f t="shared" si="13"/>
        <v>2669.0864754514046</v>
      </c>
      <c r="R7" s="69">
        <f t="shared" si="4"/>
        <v>82.5</v>
      </c>
      <c r="S7" s="69">
        <f t="shared" si="5"/>
        <v>4.2127942114117772E-2</v>
      </c>
      <c r="T7" s="69">
        <f>C_*EF_cw*(1/365)*ED_con*(ET_cw_i+ET_cw_o)*(1/24)*RadSpec!U7*def_acf!D7*1</f>
        <v>1.7051037512282534E-2</v>
      </c>
      <c r="U7" s="11"/>
      <c r="V7" s="11"/>
      <c r="W7" s="11"/>
      <c r="X7" s="11"/>
      <c r="Y7" s="48">
        <f>IFERROR((TR/(RadSpec!F7*EF_cw*(1/365)*ED_con*def_acf!D7*ET_cw_o*(1/24)*RadSpec!V7))*1,".")</f>
        <v>21193.132482126541</v>
      </c>
      <c r="Z7" s="48">
        <f>IFERROR((TR/(RadSpec!M7*EF_cw*(1/365)*ED_con*def_acf!E7*ET_cw_o*(1/24)*RadSpec!R7))*1,".")</f>
        <v>91760.872048346384</v>
      </c>
      <c r="AA7" s="48">
        <f>IFERROR((TR/(RadSpec!N7*EF_cw*(1/365)*ED_con*def_acf!F7*ET_cw_o*(1/24)*RadSpec!X7))*1,".")</f>
        <v>29612.628647717978</v>
      </c>
      <c r="AB7" s="48">
        <f>IFERROR((TR/(RadSpec!O7*EF_cw*(1/365)*ED_con*def_acf!G7*ET_cw_o*(1/24)*RadSpec!Y7))*1,".")</f>
        <v>19664.089806193639</v>
      </c>
      <c r="AC7" s="48">
        <f>IFERROR((TR/(RadSpec!K7*EF_cw*(1/365)*ED_con*def_acf!C7*ET_cw_o*(1/24)*RadSpec!U7))*1,".")</f>
        <v>23777.190491776219</v>
      </c>
      <c r="AD7" s="69">
        <f>C_*EF_cw*(1/365)*ED_con*(ET_cw_i+ET_cw_o)*(1/24)*RadSpec!U7*def_acf!D7*1</f>
        <v>1.7051037512282534E-2</v>
      </c>
      <c r="AE7" s="69">
        <f>C_*EF_cw*(1/365)*ED_con*(ET_cw_i+ET_cw_o)*(1/24)*RadSpec!V7*def_acf!E7*1</f>
        <v>1.1415525114155251E-2</v>
      </c>
      <c r="AF7" s="69">
        <f>C_*EF_cw*(1/365)*ED_con*(ET_cw_i+ET_cw_o)*(1/24)*RadSpec!W7*def_acf!F7*1</f>
        <v>1.6432539336299908E-2</v>
      </c>
      <c r="AG7" s="69">
        <f>C_*EF_cw*(1/365)*ED_con*(ET_cw_i+ET_cw_o)*(1/24)*RadSpec!X7*def_acf!G7*1</f>
        <v>1.8936190930102646E-2</v>
      </c>
      <c r="AH7" s="69">
        <f>C_*EF_cw*(1/365)*ED_con*(ET_cw_i+ET_cw_o)*(1/24)*RadSpec!T7*def_acf!C7*1</f>
        <v>8.7213500872134926E-3</v>
      </c>
      <c r="AI7" s="11"/>
      <c r="AJ7" s="11"/>
      <c r="AK7" s="11"/>
      <c r="AL7" s="11"/>
      <c r="AM7" s="11"/>
      <c r="AN7" s="48">
        <f>IFERROR(TR/(RadSpec!G7*EF_cw*ED_con*ET_cw_o*(1/24)*IRA_cw),".")</f>
        <v>0.43946385409800048</v>
      </c>
      <c r="AO7" s="48">
        <f>IFERROR(TR/(RadSpec!J7*EF_cw*(1/365)*ED_con*ET_cw_o*(1/24)*GSF_a),".")</f>
        <v>828076.03738110373</v>
      </c>
      <c r="AP7" s="48">
        <f t="shared" si="14"/>
        <v>0.43946362087258656</v>
      </c>
      <c r="AQ7" s="69">
        <f t="shared" si="7"/>
        <v>5000</v>
      </c>
      <c r="AR7" s="69">
        <f t="shared" si="8"/>
        <v>0.22831050228310501</v>
      </c>
      <c r="AS7" s="10"/>
      <c r="AT7" s="10"/>
      <c r="AU7" s="10"/>
    </row>
    <row r="8" spans="1:47" x14ac:dyDescent="0.25">
      <c r="A8" s="49" t="s">
        <v>18</v>
      </c>
      <c r="B8" s="50" t="s">
        <v>289</v>
      </c>
      <c r="C8" s="48">
        <f>IFERROR((TR/(RadSpec!I8*EF_cw*ED_con*IRS_cw*(1/1000)))*1,".")</f>
        <v>38226.409288252922</v>
      </c>
      <c r="D8" s="48">
        <f>IFERROR(IF(A8="H-3",(TR/(RadSpec!G8*EF_cw*ED_con*ET_cw_o*(1/24)*IRA_cw*(1/17)*1000))*1,(TR/(RadSpec!G8*EF_cw*ED_con*ET_cw_o*(1/24)*IRA_cw*(1/PEFsc)*1000))*1),".")</f>
        <v>2097.6470481176775</v>
      </c>
      <c r="E8" s="48">
        <f>IFERROR((TR/(RadSpec!F8*EF_cw*(1/365)*ED_con*def_acf!D8*ET_cw_o*(1/24)*RadSpec!V8))*1,".")</f>
        <v>91.492303642351217</v>
      </c>
      <c r="F8" s="48">
        <f t="shared" si="12"/>
        <v>87.467899812971012</v>
      </c>
      <c r="G8" s="69">
        <f t="shared" si="1"/>
        <v>82.5</v>
      </c>
      <c r="H8" s="69">
        <f t="shared" si="2"/>
        <v>6.4422246467249371</v>
      </c>
      <c r="I8" s="69">
        <f>C_*EF_cw*(1/365)*ED_con*(ET_cw_i+ET_cw_o)*(1/24)*RadSpec!U8*def_acf!D8*1</f>
        <v>2.0130603427112488E-2</v>
      </c>
      <c r="J8" s="4"/>
      <c r="K8" s="4"/>
      <c r="L8" s="4"/>
      <c r="M8" s="4"/>
      <c r="N8" s="48">
        <f>IFERROR((TR/(RadSpec!I8*EF_cw*ED_con*IRS_cw*(1/1000)))*1,".")</f>
        <v>38226.409288252922</v>
      </c>
      <c r="O8" s="48">
        <f>IFERROR(IF(A8="H-3",(TR/(RadSpec!G8*EF_cw*ED_con*ET_cw_o*(1/24)*IRA_cw*(1/17)*1000))*1,(TR/(RadSpec!G8*EF_cw*ED_con*ET_cw_o*(1/24)*IRA_cw*(1/PEF__sc)*1000))*1),".")</f>
        <v>320773.16943010403</v>
      </c>
      <c r="P8" s="48">
        <f>IFERROR((TR/(RadSpec!F8*EF_cw*(1/365)*ED_con*def_acf!D8*ET_cw_o*(1/24)*RadSpec!V8))*1,".")</f>
        <v>91.492303642351217</v>
      </c>
      <c r="Q8" s="48">
        <f t="shared" si="13"/>
        <v>91.247881946373923</v>
      </c>
      <c r="R8" s="69">
        <f t="shared" si="4"/>
        <v>82.5</v>
      </c>
      <c r="S8" s="69">
        <f t="shared" si="5"/>
        <v>4.2127942114117772E-2</v>
      </c>
      <c r="T8" s="69">
        <f>C_*EF_cw*(1/365)*ED_con*(ET_cw_i+ET_cw_o)*(1/24)*RadSpec!U8*def_acf!D8*1</f>
        <v>2.0130603427112488E-2</v>
      </c>
      <c r="U8" s="11"/>
      <c r="V8" s="11"/>
      <c r="W8" s="11"/>
      <c r="X8" s="11"/>
      <c r="Y8" s="48">
        <f>IFERROR((TR/(RadSpec!F8*EF_cw*(1/365)*ED_con*def_acf!D8*ET_cw_o*(1/24)*RadSpec!V8))*1,".")</f>
        <v>91.492303642351217</v>
      </c>
      <c r="Z8" s="48">
        <f>IFERROR((TR/(RadSpec!M8*EF_cw*(1/365)*ED_con*def_acf!E8*ET_cw_o*(1/24)*RadSpec!R8))*1,".")</f>
        <v>772.23000027511512</v>
      </c>
      <c r="AA8" s="48">
        <f>IFERROR((TR/(RadSpec!N8*EF_cw*(1/365)*ED_con*def_acf!F8*ET_cw_o*(1/24)*RadSpec!X8))*1,".")</f>
        <v>186.49354506644045</v>
      </c>
      <c r="AB8" s="48">
        <f>IFERROR((TR/(RadSpec!O8*EF_cw*(1/365)*ED_con*def_acf!G8*ET_cw_o*(1/24)*RadSpec!Y8))*1,".")</f>
        <v>103.16788914566558</v>
      </c>
      <c r="AC8" s="48">
        <f>IFERROR((TR/(RadSpec!K8*EF_cw*(1/365)*ED_con*def_acf!C8*ET_cw_o*(1/24)*RadSpec!U8))*1,".")</f>
        <v>1090.6304405941473</v>
      </c>
      <c r="AD8" s="69">
        <f>C_*EF_cw*(1/365)*ED_con*(ET_cw_i+ET_cw_o)*(1/24)*RadSpec!U8*def_acf!D8*1</f>
        <v>2.0130603427112488E-2</v>
      </c>
      <c r="AE8" s="69">
        <f>C_*EF_cw*(1/365)*ED_con*(ET_cw_i+ET_cw_o)*(1/24)*RadSpec!V8*def_acf!E8*1</f>
        <v>1.1002391824309635E-2</v>
      </c>
      <c r="AF8" s="69">
        <f>C_*EF_cw*(1/365)*ED_con*(ET_cw_i+ET_cw_o)*(1/24)*RadSpec!W8*def_acf!F8*1</f>
        <v>1.630789302022178E-2</v>
      </c>
      <c r="AG8" s="69">
        <f>C_*EF_cw*(1/365)*ED_con*(ET_cw_i+ET_cw_o)*(1/24)*RadSpec!X8*def_acf!G8*1</f>
        <v>1.9486783715994587E-2</v>
      </c>
      <c r="AH8" s="69">
        <f>C_*EF_cw*(1/365)*ED_con*(ET_cw_i+ET_cw_o)*(1/24)*RadSpec!T8*def_acf!C8*1</f>
        <v>7.6239399869536748E-3</v>
      </c>
      <c r="AI8" s="11"/>
      <c r="AJ8" s="11"/>
      <c r="AK8" s="11"/>
      <c r="AL8" s="11"/>
      <c r="AM8" s="11"/>
      <c r="AN8" s="48">
        <f>IFERROR(TR/(RadSpec!G8*EF_cw*ED_con*ET_cw_o*(1/24)*IRA_cw),".")</f>
        <v>2.7027027027027026</v>
      </c>
      <c r="AO8" s="48">
        <f>IFERROR(TR/(RadSpec!J8*EF_cw*(1/365)*ED_con*ET_cw_o*(1/24)*GSF_a),".")</f>
        <v>8226.2816871412288</v>
      </c>
      <c r="AP8" s="48">
        <f t="shared" si="14"/>
        <v>2.7018150352150587</v>
      </c>
      <c r="AQ8" s="69">
        <f t="shared" si="7"/>
        <v>5000</v>
      </c>
      <c r="AR8" s="69">
        <f t="shared" si="8"/>
        <v>0.22831050228310501</v>
      </c>
      <c r="AS8" s="10"/>
      <c r="AT8" s="10"/>
      <c r="AU8" s="10"/>
    </row>
    <row r="9" spans="1:47" x14ac:dyDescent="0.25">
      <c r="A9" s="49" t="s">
        <v>19</v>
      </c>
      <c r="B9" s="50" t="s">
        <v>289</v>
      </c>
      <c r="C9" s="48">
        <f>IFERROR((TR/(RadSpec!I9*EF_cw*ED_con*IRS_cw*(1/1000)))*1,".")</f>
        <v>82311.640100584831</v>
      </c>
      <c r="D9" s="48">
        <f>IFERROR(IF(A9="H-3",(TR/(RadSpec!G9*EF_cw*ED_con*ET_cw_o*(1/24)*IRA_cw*(1/17)*1000))*1,(TR/(RadSpec!G9*EF_cw*ED_con*ET_cw_o*(1/24)*IRA_cw*(1/PEFsc)*1000))*1),".")</f>
        <v>2511.7456563221385</v>
      </c>
      <c r="E9" s="48">
        <f>IFERROR((TR/(RadSpec!F9*EF_cw*(1/365)*ED_con*def_acf!D9*ET_cw_o*(1/24)*RadSpec!V9))*1,".")</f>
        <v>6.3674257254236544</v>
      </c>
      <c r="F9" s="48">
        <f t="shared" si="12"/>
        <v>6.3508346940472542</v>
      </c>
      <c r="G9" s="69">
        <f t="shared" si="1"/>
        <v>82.5</v>
      </c>
      <c r="H9" s="69">
        <f t="shared" si="2"/>
        <v>6.4422246467249371</v>
      </c>
      <c r="I9" s="69">
        <f>C_*EF_cw*(1/365)*ED_con*(ET_cw_i+ET_cw_o)*(1/24)*RadSpec!U9*def_acf!D9*1</f>
        <v>2.1383548484728856E-2</v>
      </c>
      <c r="J9" s="4"/>
      <c r="K9" s="4"/>
      <c r="L9" s="4"/>
      <c r="M9" s="4"/>
      <c r="N9" s="48">
        <f>IFERROR((TR/(RadSpec!I9*EF_cw*ED_con*IRS_cw*(1/1000)))*1,".")</f>
        <v>82311.640100584831</v>
      </c>
      <c r="O9" s="48">
        <f>IFERROR(IF(A9="H-3",(TR/(RadSpec!G9*EF_cw*ED_con*ET_cw_o*(1/24)*IRA_cw*(1/17)*1000))*1,(TR/(RadSpec!G9*EF_cw*ED_con*ET_cw_o*(1/24)*IRA_cw*(1/PEF__sc)*1000))*1),".")</f>
        <v>384097.32261857117</v>
      </c>
      <c r="P9" s="48">
        <f>IFERROR((TR/(RadSpec!F9*EF_cw*(1/365)*ED_con*def_acf!D9*ET_cw_o*(1/24)*RadSpec!V9))*1,".")</f>
        <v>6.3674257254236544</v>
      </c>
      <c r="Q9" s="48">
        <f t="shared" si="13"/>
        <v>6.3668276563657473</v>
      </c>
      <c r="R9" s="69">
        <f t="shared" si="4"/>
        <v>82.5</v>
      </c>
      <c r="S9" s="69">
        <f t="shared" si="5"/>
        <v>4.2127942114117772E-2</v>
      </c>
      <c r="T9" s="69">
        <f>C_*EF_cw*(1/365)*ED_con*(ET_cw_i+ET_cw_o)*(1/24)*RadSpec!U9*def_acf!D9*1</f>
        <v>2.1383548484728856E-2</v>
      </c>
      <c r="U9" s="11"/>
      <c r="V9" s="11"/>
      <c r="W9" s="11"/>
      <c r="X9" s="11"/>
      <c r="Y9" s="48">
        <f>IFERROR((TR/(RadSpec!F9*EF_cw*(1/365)*ED_con*def_acf!D9*ET_cw_o*(1/24)*RadSpec!V9))*1,".")</f>
        <v>6.3674257254236544</v>
      </c>
      <c r="Z9" s="48">
        <f>IFERROR((TR/(RadSpec!M9*EF_cw*(1/365)*ED_con*def_acf!E9*ET_cw_o*(1/24)*RadSpec!R9))*1,".")</f>
        <v>76.809693830181146</v>
      </c>
      <c r="AA9" s="48">
        <f>IFERROR((TR/(RadSpec!N9*EF_cw*(1/365)*ED_con*def_acf!F9*ET_cw_o*(1/24)*RadSpec!X9))*1,".")</f>
        <v>17.716620002120049</v>
      </c>
      <c r="AB9" s="48">
        <f>IFERROR((TR/(RadSpec!O9*EF_cw*(1/365)*ED_con*def_acf!G9*ET_cw_o*(1/24)*RadSpec!Y9))*1,".")</f>
        <v>8.4658155118103497</v>
      </c>
      <c r="AC9" s="48">
        <f>IFERROR((TR/(RadSpec!K9*EF_cw*(1/365)*ED_con*def_acf!C9*ET_cw_o*(1/24)*RadSpec!U9))*1,".")</f>
        <v>117.74052625668334</v>
      </c>
      <c r="AD9" s="69">
        <f>C_*EF_cw*(1/365)*ED_con*(ET_cw_i+ET_cw_o)*(1/24)*RadSpec!U9*def_acf!D9*1</f>
        <v>2.1383548484728856E-2</v>
      </c>
      <c r="AE9" s="69">
        <f>C_*EF_cw*(1/365)*ED_con*(ET_cw_i+ET_cw_o)*(1/24)*RadSpec!V9*def_acf!E9*1</f>
        <v>9.8152178551615295E-3</v>
      </c>
      <c r="AF9" s="69">
        <f>C_*EF_cw*(1/365)*ED_con*(ET_cw_i+ET_cw_o)*(1/24)*RadSpec!W9*def_acf!F9*1</f>
        <v>1.4810280656577373E-2</v>
      </c>
      <c r="AG9" s="69">
        <f>C_*EF_cw*(1/365)*ED_con*(ET_cw_i+ET_cw_o)*(1/24)*RadSpec!X9*def_acf!G9*1</f>
        <v>1.9232678181457213E-2</v>
      </c>
      <c r="AH9" s="69">
        <f>C_*EF_cw*(1/365)*ED_con*(ET_cw_i+ET_cw_o)*(1/24)*RadSpec!T9*def_acf!C9*1</f>
        <v>6.6126517429557765E-3</v>
      </c>
      <c r="AI9" s="11"/>
      <c r="AJ9" s="11"/>
      <c r="AK9" s="11"/>
      <c r="AL9" s="11"/>
      <c r="AM9" s="11"/>
      <c r="AN9" s="48">
        <f>IFERROR(TR/(RadSpec!G9*EF_cw*ED_con*ET_cw_o*(1/24)*IRA_cw),".")</f>
        <v>3.2362459546925568</v>
      </c>
      <c r="AO9" s="48">
        <f>IFERROR(TR/(RadSpec!J9*EF_cw*(1/365)*ED_con*ET_cw_o*(1/24)*GSF_a),".")</f>
        <v>654.65697196097733</v>
      </c>
      <c r="AP9" s="48">
        <f t="shared" si="14"/>
        <v>3.2203265203617919</v>
      </c>
      <c r="AQ9" s="69">
        <f t="shared" si="7"/>
        <v>5000</v>
      </c>
      <c r="AR9" s="69">
        <f t="shared" si="8"/>
        <v>0.22831050228310501</v>
      </c>
      <c r="AS9" s="10"/>
      <c r="AT9" s="10"/>
      <c r="AU9" s="10"/>
    </row>
    <row r="10" spans="1:47" x14ac:dyDescent="0.25">
      <c r="A10" s="51" t="s">
        <v>20</v>
      </c>
      <c r="B10" s="50" t="s">
        <v>275</v>
      </c>
      <c r="C10" s="48">
        <f>IFERROR((TR/(RadSpec!I10*EF_cw*ED_con*IRS_cw*(1/1000)))*1,".")</f>
        <v>381.37407171167354</v>
      </c>
      <c r="D10" s="48">
        <f>IFERROR(IF(A10="H-3",(TR/(RadSpec!G10*EF_cw*ED_con*ET_cw_o*(1/24)*IRA_cw*(1/17)*1000))*1,(TR/(RadSpec!G10*EF_cw*ED_con*ET_cw_o*(1/24)*IRA_cw*(1/PEFsc)*1000))*1),".")</f>
        <v>1380.0309527089985</v>
      </c>
      <c r="E10" s="48">
        <f>IFERROR((TR/(RadSpec!F10*EF_cw*(1/365)*ED_con*def_acf!D10*ET_cw_o*(1/24)*RadSpec!V10))*1,".")</f>
        <v>107701.35622940498</v>
      </c>
      <c r="F10" s="48">
        <f t="shared" ref="F10" si="15">(IF(AND(ISNUMBER(C10),ISNUMBER(D10),ISNUMBER(E10)),1/((1/C10)+(1/D10)+(1/E10)),IF(AND(ISNUMBER(C10),ISNUMBER(D10),NOT(ISNUMBER(E10))), 1/((1/C10)+(1/D10)),IF(AND(ISNUMBER(C10),NOT(ISNUMBER(D10)),ISNUMBER(E10)),1/((1/C10)+(1/E10)),IF(AND(NOT(ISNUMBER(C10)),ISNUMBER(D10),ISNUMBER(E10)),1/((1/D10)+(1/E10)),IF(AND(ISNUMBER(C10),NOT(ISNUMBER(D10)),NOT(ISNUMBER(E10))),1/((1/C10)),IF(AND(NOT(ISNUMBER(C10)),NOT(ISNUMBER(D10)),ISNUMBER(E10)),1/((1/E10)),IF(AND(NOT(ISNUMBER(C10)),ISNUMBER(D10),NOT(ISNUMBER(E10))),1/((1/D10)),IF(AND(NOT(ISNUMBER(C10)),NOT(ISNUMBER(D10)),NOT(ISNUMBER(E10))),".")))))))))</f>
        <v>297.97343537085982</v>
      </c>
      <c r="G10" s="69">
        <f t="shared" si="1"/>
        <v>82.5</v>
      </c>
      <c r="H10" s="69">
        <f t="shared" si="2"/>
        <v>6.4422246467249371</v>
      </c>
      <c r="I10" s="69">
        <f>C_*EF_cw*(1/365)*ED_con*(ET_cw_i+ET_cw_o)*(1/24)*RadSpec!U10*def_acf!D10*1</f>
        <v>1.6811714105399361E-2</v>
      </c>
      <c r="J10" s="4"/>
      <c r="K10" s="4"/>
      <c r="L10" s="4"/>
      <c r="M10" s="4"/>
      <c r="N10" s="48">
        <f>IFERROR((TR/(RadSpec!I10*EF_cw*ED_con*IRS_cw*(1/1000)))*1,".")</f>
        <v>381.37407171167354</v>
      </c>
      <c r="O10" s="48">
        <f>IFERROR(IF(A10="H-3",(TR/(RadSpec!G10*EF_cw*ED_con*ET_cw_o*(1/24)*IRA_cw*(1/17)*1000))*1,(TR/(RadSpec!G10*EF_cw*ED_con*ET_cw_o*(1/24)*IRA_cw*(1/PEF__sc)*1000))*1),".")</f>
        <v>211034.97988822628</v>
      </c>
      <c r="P10" s="48">
        <f>IFERROR((TR/(RadSpec!F10*EF_cw*(1/365)*ED_con*def_acf!D10*ET_cw_o*(1/24)*RadSpec!V10))*1,".")</f>
        <v>107701.35622940498</v>
      </c>
      <c r="Q10" s="48">
        <f t="shared" ref="Q10" si="16">(IF(AND(ISNUMBER(N10),ISNUMBER(O10),ISNUMBER(P10)),1/((1/N10)+(1/O10)+(1/P10)),IF(AND(ISNUMBER(N10),ISNUMBER(O10),NOT(ISNUMBER(P10))), 1/((1/N10)+(1/O10)),IF(AND(ISNUMBER(N10),NOT(ISNUMBER(O10)),ISNUMBER(P10)),1/((1/N10)+(1/P10)),IF(AND(NOT(ISNUMBER(N10)),ISNUMBER(O10),ISNUMBER(P10)),1/((1/O10)+(1/P10)),IF(AND(ISNUMBER(N10),NOT(ISNUMBER(O10)),NOT(ISNUMBER(P10))),1/((1/N10)),IF(AND(NOT(ISNUMBER(N10)),NOT(ISNUMBER(O10)),ISNUMBER(P10)),1/((1/P10)),IF(AND(NOT(ISNUMBER(N10)),ISNUMBER(O10),NOT(ISNUMBER(P10))),1/((1/O10)),IF(AND(NOT(ISNUMBER(N10)),NOT(ISNUMBER(O10)),NOT(ISNUMBER(P10))),".")))))))))</f>
        <v>379.34525981994659</v>
      </c>
      <c r="R10" s="69">
        <f t="shared" si="4"/>
        <v>82.5</v>
      </c>
      <c r="S10" s="69">
        <f t="shared" si="5"/>
        <v>4.2127942114117772E-2</v>
      </c>
      <c r="T10" s="69">
        <f>C_*EF_cw*(1/365)*ED_con*(ET_cw_i+ET_cw_o)*(1/24)*RadSpec!U10*def_acf!D10*1</f>
        <v>1.6811714105399361E-2</v>
      </c>
      <c r="U10" s="11"/>
      <c r="V10" s="11"/>
      <c r="W10" s="11"/>
      <c r="X10" s="11"/>
      <c r="Y10" s="48">
        <f>IFERROR((TR/(RadSpec!F10*EF_cw*(1/365)*ED_con*def_acf!D10*ET_cw_o*(1/24)*RadSpec!V10))*1,".")</f>
        <v>107701.35622940498</v>
      </c>
      <c r="Z10" s="48">
        <f>IFERROR((TR/(RadSpec!M10*EF_cw*(1/365)*ED_con*def_acf!E10*ET_cw_o*(1/24)*RadSpec!R10))*1,".")</f>
        <v>462615.86678762984</v>
      </c>
      <c r="AA10" s="48">
        <f>IFERROR((TR/(RadSpec!N10*EF_cw*(1/365)*ED_con*def_acf!F10*ET_cw_o*(1/24)*RadSpec!X10))*1,".")</f>
        <v>144109.71184378301</v>
      </c>
      <c r="AB10" s="48">
        <f>IFERROR((TR/(RadSpec!O10*EF_cw*(1/365)*ED_con*def_acf!G10*ET_cw_o*(1/24)*RadSpec!Y10))*1,".")</f>
        <v>97464.806878762844</v>
      </c>
      <c r="AC10" s="48">
        <f>IFERROR((TR/(RadSpec!K10*EF_cw*(1/365)*ED_con*def_acf!C10*ET_cw_o*(1/24)*RadSpec!U10))*1,".")</f>
        <v>236855.46841726691</v>
      </c>
      <c r="AD10" s="69">
        <f>C_*EF_cw*(1/365)*ED_con*(ET_cw_i+ET_cw_o)*(1/24)*RadSpec!U10*def_acf!D10*1</f>
        <v>1.6811714105399361E-2</v>
      </c>
      <c r="AE10" s="69">
        <f>C_*EF_cw*(1/365)*ED_con*(ET_cw_i+ET_cw_o)*(1/24)*RadSpec!V10*def_acf!E10*1</f>
        <v>1.1233538481900594E-2</v>
      </c>
      <c r="AF10" s="69">
        <f>C_*EF_cw*(1/365)*ED_con*(ET_cw_i+ET_cw_o)*(1/24)*RadSpec!W10*def_acf!F10*1</f>
        <v>1.6362709467348583E-2</v>
      </c>
      <c r="AG10" s="69">
        <f>C_*EF_cw*(1/365)*ED_con*(ET_cw_i+ET_cw_o)*(1/24)*RadSpec!X10*def_acf!G10*1</f>
        <v>1.8937755347272284E-2</v>
      </c>
      <c r="AH10" s="69">
        <f>C_*EF_cw*(1/365)*ED_con*(ET_cw_i+ET_cw_o)*(1/24)*RadSpec!T10*def_acf!C10*1</f>
        <v>7.6283840810231736E-3</v>
      </c>
      <c r="AI10" s="11"/>
      <c r="AJ10" s="11"/>
      <c r="AK10" s="11"/>
      <c r="AL10" s="11"/>
      <c r="AM10" s="11"/>
      <c r="AN10" s="48">
        <f>IFERROR(TR/(RadSpec!G10*EF_cw*ED_con*ET_cw_o*(1/24)*IRA_cw),".")</f>
        <v>1.7780938833570412</v>
      </c>
      <c r="AO10" s="48">
        <f>IFERROR(TR/(RadSpec!J10*EF_cw*(1/365)*ED_con*ET_cw_o*(1/24)*GSF_a),".")</f>
        <v>2698693.8484434532</v>
      </c>
      <c r="AP10" s="48">
        <f t="shared" ref="AP10" si="17">IFERROR(IF(AND(ISNUMBER(AN10),ISNUMBER(AO10)),1/((1/AN10)+(1/AO10)),IF(AND(ISNUMBER(AN10),NOT(ISNUMBER(AO10))),1/((1/AN10)),IF(AND(NOT(ISNUMBER(AN10)),ISNUMBER(AO10)),1/((1/AO10)),IF(AND(NOT(ISNUMBER(AN10)),NOT(ISNUMBER(AO10))),".")))),".")</f>
        <v>1.7780927118214938</v>
      </c>
      <c r="AQ10" s="69">
        <f t="shared" si="7"/>
        <v>5000</v>
      </c>
      <c r="AR10" s="69">
        <f t="shared" si="8"/>
        <v>0.22831050228310501</v>
      </c>
      <c r="AS10" s="10"/>
      <c r="AT10" s="10"/>
      <c r="AU10" s="10"/>
    </row>
    <row r="11" spans="1:47" x14ac:dyDescent="0.25">
      <c r="A11" s="49" t="s">
        <v>21</v>
      </c>
      <c r="B11" s="50" t="s">
        <v>289</v>
      </c>
      <c r="C11" s="48" t="str">
        <f>IFERROR((TR/(RadSpec!I11*EF_cw*ED_con*IRS_cw*(1/1000)))*1,".")</f>
        <v>.</v>
      </c>
      <c r="D11" s="48" t="str">
        <f>IFERROR(IF(A11="H-3",(TR/(RadSpec!G11*EF_cw*ED_con*ET_cw_o*(1/24)*IRA_cw*(1/17)*1000))*1,(TR/(RadSpec!G11*EF_cw*ED_con*ET_cw_o*(1/24)*IRA_cw*(1/PEFsc)*1000))*1),".")</f>
        <v>.</v>
      </c>
      <c r="E11" s="48">
        <f>IFERROR((TR/(RadSpec!F11*EF_cw*(1/365)*ED_con*def_acf!D11*ET_cw_o*(1/24)*RadSpec!V11))*1,".")</f>
        <v>565.59435988378232</v>
      </c>
      <c r="F11" s="48">
        <f t="shared" ref="F11" si="18">(IF(AND(ISNUMBER(C11),ISNUMBER(D11),ISNUMBER(E11)),1/((1/C11)+(1/D11)+(1/E11)),IF(AND(ISNUMBER(C11),ISNUMBER(D11),NOT(ISNUMBER(E11))), 1/((1/C11)+(1/D11)),IF(AND(ISNUMBER(C11),NOT(ISNUMBER(D11)),ISNUMBER(E11)),1/((1/C11)+(1/E11)),IF(AND(NOT(ISNUMBER(C11)),ISNUMBER(D11),ISNUMBER(E11)),1/((1/D11)+(1/E11)),IF(AND(ISNUMBER(C11),NOT(ISNUMBER(D11)),NOT(ISNUMBER(E11))),1/((1/C11)),IF(AND(NOT(ISNUMBER(C11)),NOT(ISNUMBER(D11)),ISNUMBER(E11)),1/((1/E11)),IF(AND(NOT(ISNUMBER(C11)),ISNUMBER(D11),NOT(ISNUMBER(E11))),1/((1/D11)),IF(AND(NOT(ISNUMBER(C11)),NOT(ISNUMBER(D11)),NOT(ISNUMBER(E11))),".")))))))))</f>
        <v>565.59435988378232</v>
      </c>
      <c r="G11" s="69">
        <f t="shared" si="1"/>
        <v>82.5</v>
      </c>
      <c r="H11" s="69">
        <f t="shared" si="2"/>
        <v>6.4422246467249371</v>
      </c>
      <c r="I11" s="69">
        <f>C_*EF_cw*(1/365)*ED_con*(ET_cw_i+ET_cw_o)*(1/24)*RadSpec!U11*def_acf!D11*1</f>
        <v>1.6862148207837168E-2</v>
      </c>
      <c r="J11" s="4"/>
      <c r="K11" s="4"/>
      <c r="L11" s="4"/>
      <c r="M11" s="4"/>
      <c r="N11" s="48" t="str">
        <f>IFERROR((TR/(RadSpec!I11*EF_cw*ED_con*IRS_cw*(1/1000)))*1,".")</f>
        <v>.</v>
      </c>
      <c r="O11" s="48" t="str">
        <f>IFERROR(IF(A11="H-3",(TR/(RadSpec!G11*EF_cw*ED_con*ET_cw_o*(1/24)*IRA_cw*(1/17)*1000))*1,(TR/(RadSpec!G11*EF_cw*ED_con*ET_cw_o*(1/24)*IRA_cw*(1/PEF__sc)*1000))*1),".")</f>
        <v>.</v>
      </c>
      <c r="P11" s="48">
        <f>IFERROR((TR/(RadSpec!F11*EF_cw*(1/365)*ED_con*def_acf!D11*ET_cw_o*(1/24)*RadSpec!V11))*1,".")</f>
        <v>565.59435988378232</v>
      </c>
      <c r="Q11" s="48">
        <f t="shared" ref="Q11" si="19">(IF(AND(ISNUMBER(N11),ISNUMBER(O11),ISNUMBER(P11)),1/((1/N11)+(1/O11)+(1/P11)),IF(AND(ISNUMBER(N11),ISNUMBER(O11),NOT(ISNUMBER(P11))), 1/((1/N11)+(1/O11)),IF(AND(ISNUMBER(N11),NOT(ISNUMBER(O11)),ISNUMBER(P11)),1/((1/N11)+(1/P11)),IF(AND(NOT(ISNUMBER(N11)),ISNUMBER(O11),ISNUMBER(P11)),1/((1/O11)+(1/P11)),IF(AND(ISNUMBER(N11),NOT(ISNUMBER(O11)),NOT(ISNUMBER(P11))),1/((1/N11)),IF(AND(NOT(ISNUMBER(N11)),NOT(ISNUMBER(O11)),ISNUMBER(P11)),1/((1/P11)),IF(AND(NOT(ISNUMBER(N11)),ISNUMBER(O11),NOT(ISNUMBER(P11))),1/((1/O11)),IF(AND(NOT(ISNUMBER(N11)),NOT(ISNUMBER(O11)),NOT(ISNUMBER(P11))),".")))))))))</f>
        <v>565.59435988378232</v>
      </c>
      <c r="R11" s="69">
        <f t="shared" si="4"/>
        <v>82.5</v>
      </c>
      <c r="S11" s="69">
        <f t="shared" si="5"/>
        <v>4.2127942114117772E-2</v>
      </c>
      <c r="T11" s="69">
        <f>C_*EF_cw*(1/365)*ED_con*(ET_cw_i+ET_cw_o)*(1/24)*RadSpec!U11*def_acf!D11*1</f>
        <v>1.6862148207837168E-2</v>
      </c>
      <c r="U11" s="11"/>
      <c r="V11" s="11"/>
      <c r="W11" s="11"/>
      <c r="X11" s="11"/>
      <c r="Y11" s="48">
        <f>IFERROR((TR/(RadSpec!F11*EF_cw*(1/365)*ED_con*def_acf!D11*ET_cw_o*(1/24)*RadSpec!V11))*1,".")</f>
        <v>565.59435988378232</v>
      </c>
      <c r="Z11" s="48">
        <f>IFERROR((TR/(RadSpec!M11*EF_cw*(1/365)*ED_con*def_acf!E11*ET_cw_o*(1/24)*RadSpec!R11))*1,".")</f>
        <v>3245.1446979931011</v>
      </c>
      <c r="AA11" s="48">
        <f>IFERROR((TR/(RadSpec!N11*EF_cw*(1/365)*ED_con*def_acf!F11*ET_cw_o*(1/24)*RadSpec!X11))*1,".")</f>
        <v>862.69122887877165</v>
      </c>
      <c r="AB11" s="48">
        <f>IFERROR((TR/(RadSpec!O11*EF_cw*(1/365)*ED_con*def_acf!G11*ET_cw_o*(1/24)*RadSpec!Y11))*1,".")</f>
        <v>514.97474376728019</v>
      </c>
      <c r="AC11" s="48">
        <f>IFERROR((TR/(RadSpec!K11*EF_cw*(1/365)*ED_con*def_acf!C11*ET_cw_o*(1/24)*RadSpec!U11))*1,".")</f>
        <v>3865.4678465384013</v>
      </c>
      <c r="AD11" s="69">
        <f>C_*EF_cw*(1/365)*ED_con*(ET_cw_i+ET_cw_o)*(1/24)*RadSpec!U11*def_acf!D11*1</f>
        <v>1.6862148207837168E-2</v>
      </c>
      <c r="AE11" s="69">
        <f>C_*EF_cw*(1/365)*ED_con*(ET_cw_i+ET_cw_o)*(1/24)*RadSpec!V11*def_acf!E11*1</f>
        <v>1.2039811643835616E-2</v>
      </c>
      <c r="AF11" s="69">
        <f>C_*EF_cw*(1/365)*ED_con*(ET_cw_i+ET_cw_o)*(1/24)*RadSpec!W11*def_acf!F11*1</f>
        <v>1.6414480556301667E-2</v>
      </c>
      <c r="AG11" s="69">
        <f>C_*EF_cw*(1/365)*ED_con*(ET_cw_i+ET_cw_o)*(1/24)*RadSpec!X11*def_acf!G11*1</f>
        <v>1.9226147560682534E-2</v>
      </c>
      <c r="AH11" s="69">
        <f>C_*EF_cw*(1/365)*ED_con*(ET_cw_i+ET_cw_o)*(1/24)*RadSpec!T11*def_acf!C11*1</f>
        <v>1.0257428363443857E-2</v>
      </c>
      <c r="AI11" s="11"/>
      <c r="AJ11" s="11"/>
      <c r="AK11" s="11"/>
      <c r="AL11" s="11"/>
      <c r="AM11" s="11"/>
      <c r="AN11" s="48" t="str">
        <f>IFERROR(TR/(RadSpec!G11*EF_cw*ED_con*ET_cw_o*(1/24)*IRA_cw),".")</f>
        <v>.</v>
      </c>
      <c r="AO11" s="48">
        <f>IFERROR(TR/(RadSpec!J11*EF_cw*(1/365)*ED_con*ET_cw_o*(1/24)*GSF_a),".")</f>
        <v>38005.921472506583</v>
      </c>
      <c r="AP11" s="48">
        <f t="shared" ref="AP11" si="20">IFERROR(IF(AND(ISNUMBER(AN11),ISNUMBER(AO11)),1/((1/AN11)+(1/AO11)),IF(AND(ISNUMBER(AN11),NOT(ISNUMBER(AO11))),1/((1/AN11)),IF(AND(NOT(ISNUMBER(AN11)),ISNUMBER(AO11)),1/((1/AO11)),IF(AND(NOT(ISNUMBER(AN11)),NOT(ISNUMBER(AO11))),".")))),".")</f>
        <v>38005.921472506583</v>
      </c>
      <c r="AQ11" s="69">
        <f t="shared" si="7"/>
        <v>5000</v>
      </c>
      <c r="AR11" s="69">
        <f t="shared" si="8"/>
        <v>0.22831050228310501</v>
      </c>
      <c r="AS11" s="10"/>
      <c r="AT11" s="10"/>
      <c r="AU11" s="10"/>
    </row>
    <row r="12" spans="1:47" x14ac:dyDescent="0.25">
      <c r="A12" s="49" t="s">
        <v>22</v>
      </c>
      <c r="B12" s="50" t="s">
        <v>289</v>
      </c>
      <c r="C12" s="48" t="str">
        <f>IFERROR((TR/(RadSpec!I12*EF_cw*ED_con*IRS_cw*(1/1000)))*1,".")</f>
        <v>.</v>
      </c>
      <c r="D12" s="48" t="str">
        <f>IFERROR(IF(A12="H-3",(TR/(RadSpec!G12*EF_cw*ED_con*ET_cw_o*(1/24)*IRA_cw*(1/17)*1000))*1,(TR/(RadSpec!G12*EF_cw*ED_con*ET_cw_o*(1/24)*IRA_cw*(1/PEFsc)*1000))*1),".")</f>
        <v>.</v>
      </c>
      <c r="E12" s="48">
        <f>IFERROR((TR/(RadSpec!F12*EF_cw*(1/365)*ED_con*def_acf!D12*ET_cw_o*(1/24)*RadSpec!V12))*1,".")</f>
        <v>114.8092602118423</v>
      </c>
      <c r="F12" s="48">
        <f t="shared" ref="F12" si="21">(IF(AND(ISNUMBER(C12),ISNUMBER(D12),ISNUMBER(E12)),1/((1/C12)+(1/D12)+(1/E12)),IF(AND(ISNUMBER(C12),ISNUMBER(D12),NOT(ISNUMBER(E12))), 1/((1/C12)+(1/D12)),IF(AND(ISNUMBER(C12),NOT(ISNUMBER(D12)),ISNUMBER(E12)),1/((1/C12)+(1/E12)),IF(AND(NOT(ISNUMBER(C12)),ISNUMBER(D12),ISNUMBER(E12)),1/((1/D12)+(1/E12)),IF(AND(ISNUMBER(C12),NOT(ISNUMBER(D12)),NOT(ISNUMBER(E12))),1/((1/C12)),IF(AND(NOT(ISNUMBER(C12)),NOT(ISNUMBER(D12)),ISNUMBER(E12)),1/((1/E12)),IF(AND(NOT(ISNUMBER(C12)),ISNUMBER(D12),NOT(ISNUMBER(E12))),1/((1/D12)),IF(AND(NOT(ISNUMBER(C12)),NOT(ISNUMBER(D12)),NOT(ISNUMBER(E12))),".")))))))))</f>
        <v>114.8092602118423</v>
      </c>
      <c r="G12" s="69">
        <f t="shared" si="1"/>
        <v>82.5</v>
      </c>
      <c r="H12" s="69">
        <f t="shared" si="2"/>
        <v>6.4422246467249371</v>
      </c>
      <c r="I12" s="69">
        <f>C_*EF_cw*(1/365)*ED_con*(ET_cw_i+ET_cw_o)*(1/24)*RadSpec!U12*def_acf!D12*1</f>
        <v>1.8018434244265275E-2</v>
      </c>
      <c r="J12" s="4"/>
      <c r="K12" s="4"/>
      <c r="L12" s="4"/>
      <c r="M12" s="4"/>
      <c r="N12" s="48" t="str">
        <f>IFERROR((TR/(RadSpec!I12*EF_cw*ED_con*IRS_cw*(1/1000)))*1,".")</f>
        <v>.</v>
      </c>
      <c r="O12" s="48" t="str">
        <f>IFERROR(IF(A12="H-3",(TR/(RadSpec!G12*EF_cw*ED_con*ET_cw_o*(1/24)*IRA_cw*(1/17)*1000))*1,(TR/(RadSpec!G12*EF_cw*ED_con*ET_cw_o*(1/24)*IRA_cw*(1/PEF__sc)*1000))*1),".")</f>
        <v>.</v>
      </c>
      <c r="P12" s="48">
        <f>IFERROR((TR/(RadSpec!F12*EF_cw*(1/365)*ED_con*def_acf!D12*ET_cw_o*(1/24)*RadSpec!V12))*1,".")</f>
        <v>114.8092602118423</v>
      </c>
      <c r="Q12" s="48">
        <f t="shared" ref="Q12" si="22">(IF(AND(ISNUMBER(N12),ISNUMBER(O12),ISNUMBER(P12)),1/((1/N12)+(1/O12)+(1/P12)),IF(AND(ISNUMBER(N12),ISNUMBER(O12),NOT(ISNUMBER(P12))), 1/((1/N12)+(1/O12)),IF(AND(ISNUMBER(N12),NOT(ISNUMBER(O12)),ISNUMBER(P12)),1/((1/N12)+(1/P12)),IF(AND(NOT(ISNUMBER(N12)),ISNUMBER(O12),ISNUMBER(P12)),1/((1/O12)+(1/P12)),IF(AND(ISNUMBER(N12),NOT(ISNUMBER(O12)),NOT(ISNUMBER(P12))),1/((1/N12)),IF(AND(NOT(ISNUMBER(N12)),NOT(ISNUMBER(O12)),ISNUMBER(P12)),1/((1/P12)),IF(AND(NOT(ISNUMBER(N12)),ISNUMBER(O12),NOT(ISNUMBER(P12))),1/((1/O12)),IF(AND(NOT(ISNUMBER(N12)),NOT(ISNUMBER(O12)),NOT(ISNUMBER(P12))),".")))))))))</f>
        <v>114.8092602118423</v>
      </c>
      <c r="R12" s="69">
        <f t="shared" si="4"/>
        <v>82.5</v>
      </c>
      <c r="S12" s="69">
        <f t="shared" si="5"/>
        <v>4.2127942114117772E-2</v>
      </c>
      <c r="T12" s="69">
        <f>C_*EF_cw*(1/365)*ED_con*(ET_cw_i+ET_cw_o)*(1/24)*RadSpec!U12*def_acf!D12*1</f>
        <v>1.8018434244265275E-2</v>
      </c>
      <c r="U12" s="11"/>
      <c r="V12" s="11"/>
      <c r="W12" s="11"/>
      <c r="X12" s="11"/>
      <c r="Y12" s="48">
        <f>IFERROR((TR/(RadSpec!F12*EF_cw*(1/365)*ED_con*def_acf!D12*ET_cw_o*(1/24)*RadSpec!V12))*1,".")</f>
        <v>114.8092602118423</v>
      </c>
      <c r="Z12" s="48">
        <f>IFERROR((TR/(RadSpec!M12*EF_cw*(1/365)*ED_con*def_acf!E12*ET_cw_o*(1/24)*RadSpec!R12))*1,".")</f>
        <v>800.58522365015449</v>
      </c>
      <c r="AA12" s="48">
        <f>IFERROR((TR/(RadSpec!N12*EF_cw*(1/365)*ED_con*def_acf!F12*ET_cw_o*(1/24)*RadSpec!X12))*1,".")</f>
        <v>199.36141843837169</v>
      </c>
      <c r="AB12" s="48">
        <f>IFERROR((TR/(RadSpec!O12*EF_cw*(1/365)*ED_con*def_acf!G12*ET_cw_o*(1/24)*RadSpec!Y12))*1,".")</f>
        <v>115.31307449176309</v>
      </c>
      <c r="AC12" s="48">
        <f>IFERROR((TR/(RadSpec!K12*EF_cw*(1/365)*ED_con*def_acf!C12*ET_cw_o*(1/24)*RadSpec!U12))*1,".")</f>
        <v>1035.5210269156105</v>
      </c>
      <c r="AD12" s="69">
        <f>C_*EF_cw*(1/365)*ED_con*(ET_cw_i+ET_cw_o)*(1/24)*RadSpec!U12*def_acf!D12*1</f>
        <v>1.8018434244265275E-2</v>
      </c>
      <c r="AE12" s="69">
        <f>C_*EF_cw*(1/365)*ED_con*(ET_cw_i+ET_cw_o)*(1/24)*RadSpec!V12*def_acf!E12*1</f>
        <v>1.137075834900169E-2</v>
      </c>
      <c r="AF12" s="69">
        <f>C_*EF_cw*(1/365)*ED_con*(ET_cw_i+ET_cw_o)*(1/24)*RadSpec!W12*def_acf!F12*1</f>
        <v>1.6371533578349473E-2</v>
      </c>
      <c r="AG12" s="69">
        <f>C_*EF_cw*(1/365)*ED_con*(ET_cw_i+ET_cw_o)*(1/24)*RadSpec!X12*def_acf!G12*1</f>
        <v>1.9191317583217533E-2</v>
      </c>
      <c r="AH12" s="69">
        <f>C_*EF_cw*(1/365)*ED_con*(ET_cw_i+ET_cw_o)*(1/24)*RadSpec!T12*def_acf!C12*1</f>
        <v>8.6421828164831727E-3</v>
      </c>
      <c r="AI12" s="11"/>
      <c r="AJ12" s="11"/>
      <c r="AK12" s="11"/>
      <c r="AL12" s="11"/>
      <c r="AM12" s="11"/>
      <c r="AN12" s="48" t="str">
        <f>IFERROR(TR/(RadSpec!G12*EF_cw*ED_con*ET_cw_o*(1/24)*IRA_cw),".")</f>
        <v>.</v>
      </c>
      <c r="AO12" s="48">
        <f>IFERROR(TR/(RadSpec!J12*EF_cw*(1/365)*ED_con*ET_cw_o*(1/24)*GSF_a),".")</f>
        <v>8826.3163513797645</v>
      </c>
      <c r="AP12" s="48">
        <f t="shared" ref="AP12" si="23">IFERROR(IF(AND(ISNUMBER(AN12),ISNUMBER(AO12)),1/((1/AN12)+(1/AO12)),IF(AND(ISNUMBER(AN12),NOT(ISNUMBER(AO12))),1/((1/AN12)),IF(AND(NOT(ISNUMBER(AN12)),ISNUMBER(AO12)),1/((1/AO12)),IF(AND(NOT(ISNUMBER(AN12)),NOT(ISNUMBER(AO12))),".")))),".")</f>
        <v>8826.3163513797645</v>
      </c>
      <c r="AQ12" s="69">
        <f t="shared" si="7"/>
        <v>5000</v>
      </c>
      <c r="AR12" s="69">
        <f t="shared" si="8"/>
        <v>0.22831050228310501</v>
      </c>
      <c r="AS12" s="10"/>
      <c r="AT12" s="10"/>
      <c r="AU12" s="10"/>
    </row>
    <row r="13" spans="1:47" x14ac:dyDescent="0.25">
      <c r="A13" s="49" t="s">
        <v>23</v>
      </c>
      <c r="B13" s="50" t="s">
        <v>289</v>
      </c>
      <c r="C13" s="48">
        <f>IFERROR((TR/(RadSpec!I13*EF_cw*ED_con*IRS_cw*(1/1000)))*1,".")</f>
        <v>257.95301385852571</v>
      </c>
      <c r="D13" s="48">
        <f>IFERROR(IF(A13="H-3",(TR/(RadSpec!G13*EF_cw*ED_con*ET_cw_o*(1/24)*IRA_cw*(1/17)*1000))*1,(TR/(RadSpec!G13*EF_cw*ED_con*ET_cw_o*(1/24)*IRA_cw*(1/PEFsc)*1000))*1),".")</f>
        <v>5.413282704819812</v>
      </c>
      <c r="E13" s="48">
        <f>IFERROR((TR/(RadSpec!F13*EF_cw*(1/365)*ED_con*def_acf!D13*ET_cw_o*(1/24)*RadSpec!V13))*1,".")</f>
        <v>811.23975052342564</v>
      </c>
      <c r="F13" s="48">
        <f t="shared" ref="F13:F14" si="24">(IF(AND(ISNUMBER(C13),ISNUMBER(D13),ISNUMBER(E13)),1/((1/C13)+(1/D13)+(1/E13)),IF(AND(ISNUMBER(C13),ISNUMBER(D13),NOT(ISNUMBER(E13))), 1/((1/C13)+(1/D13)),IF(AND(ISNUMBER(C13),NOT(ISNUMBER(D13)),ISNUMBER(E13)),1/((1/C13)+(1/E13)),IF(AND(NOT(ISNUMBER(C13)),ISNUMBER(D13),ISNUMBER(E13)),1/((1/D13)+(1/E13)),IF(AND(ISNUMBER(C13),NOT(ISNUMBER(D13)),NOT(ISNUMBER(E13))),1/((1/C13)),IF(AND(NOT(ISNUMBER(C13)),NOT(ISNUMBER(D13)),ISNUMBER(E13)),1/((1/E13)),IF(AND(NOT(ISNUMBER(C13)),ISNUMBER(D13),NOT(ISNUMBER(E13))),1/((1/D13)),IF(AND(NOT(ISNUMBER(C13)),NOT(ISNUMBER(D13)),NOT(ISNUMBER(E13))),".")))))))))</f>
        <v>5.2675896576956145</v>
      </c>
      <c r="G13" s="69">
        <f t="shared" si="1"/>
        <v>82.5</v>
      </c>
      <c r="H13" s="69">
        <f t="shared" si="2"/>
        <v>6.4422246467249371</v>
      </c>
      <c r="I13" s="69">
        <f>C_*EF_cw*(1/365)*ED_con*(ET_cw_i+ET_cw_o)*(1/24)*RadSpec!U13*def_acf!D13*1</f>
        <v>2.3830950238309587E-2</v>
      </c>
      <c r="J13" s="4"/>
      <c r="K13" s="4"/>
      <c r="L13" s="4"/>
      <c r="M13" s="4"/>
      <c r="N13" s="48">
        <f>IFERROR((TR/(RadSpec!I13*EF_cw*ED_con*IRS_cw*(1/1000)))*1,".")</f>
        <v>257.95301385852571</v>
      </c>
      <c r="O13" s="48">
        <f>IFERROR(IF(A13="H-3",(TR/(RadSpec!G13*EF_cw*ED_con*ET_cw_o*(1/24)*IRA_cw*(1/17)*1000))*1,(TR/(RadSpec!G13*EF_cw*ED_con*ET_cw_o*(1/24)*IRA_cw*(1/PEF__sc)*1000))*1),".")</f>
        <v>827.80172756155866</v>
      </c>
      <c r="P13" s="48">
        <f>IFERROR((TR/(RadSpec!F13*EF_cw*(1/365)*ED_con*def_acf!D13*ET_cw_o*(1/24)*RadSpec!V13))*1,".")</f>
        <v>811.23975052342564</v>
      </c>
      <c r="Q13" s="48">
        <f t="shared" ref="Q13:Q14" si="25">(IF(AND(ISNUMBER(N13),ISNUMBER(O13),ISNUMBER(P13)),1/((1/N13)+(1/O13)+(1/P13)),IF(AND(ISNUMBER(N13),ISNUMBER(O13),NOT(ISNUMBER(P13))), 1/((1/N13)+(1/O13)),IF(AND(ISNUMBER(N13),NOT(ISNUMBER(O13)),ISNUMBER(P13)),1/((1/N13)+(1/P13)),IF(AND(NOT(ISNUMBER(N13)),ISNUMBER(O13),ISNUMBER(P13)),1/((1/O13)+(1/P13)),IF(AND(ISNUMBER(N13),NOT(ISNUMBER(O13)),NOT(ISNUMBER(P13))),1/((1/N13)),IF(AND(NOT(ISNUMBER(N13)),NOT(ISNUMBER(O13)),ISNUMBER(P13)),1/((1/P13)),IF(AND(NOT(ISNUMBER(N13)),ISNUMBER(O13),NOT(ISNUMBER(P13))),1/((1/O13)),IF(AND(NOT(ISNUMBER(N13)),NOT(ISNUMBER(O13)),NOT(ISNUMBER(P13))),".")))))))))</f>
        <v>158.29359621103077</v>
      </c>
      <c r="R13" s="69">
        <f t="shared" si="4"/>
        <v>82.5</v>
      </c>
      <c r="S13" s="69">
        <f t="shared" si="5"/>
        <v>4.2127942114117772E-2</v>
      </c>
      <c r="T13" s="69">
        <f>C_*EF_cw*(1/365)*ED_con*(ET_cw_i+ET_cw_o)*(1/24)*RadSpec!U13*def_acf!D13*1</f>
        <v>2.3830950238309587E-2</v>
      </c>
      <c r="U13" s="11"/>
      <c r="V13" s="11"/>
      <c r="W13" s="11"/>
      <c r="X13" s="11"/>
      <c r="Y13" s="48">
        <f>IFERROR((TR/(RadSpec!F13*EF_cw*(1/365)*ED_con*def_acf!D13*ET_cw_o*(1/24)*RadSpec!V13))*1,".")</f>
        <v>811.23975052342564</v>
      </c>
      <c r="Z13" s="48">
        <f>IFERROR((TR/(RadSpec!M13*EF_cw*(1/365)*ED_con*def_acf!E13*ET_cw_o*(1/24)*RadSpec!R13))*1,".")</f>
        <v>2357.1747228277782</v>
      </c>
      <c r="AA13" s="48">
        <f>IFERROR((TR/(RadSpec!N13*EF_cw*(1/365)*ED_con*def_acf!F13*ET_cw_o*(1/24)*RadSpec!X13))*1,".")</f>
        <v>1009.2207792006988</v>
      </c>
      <c r="AB13" s="48">
        <f>IFERROR((TR/(RadSpec!O13*EF_cw*(1/365)*ED_con*def_acf!G13*ET_cw_o*(1/24)*RadSpec!Y13))*1,".")</f>
        <v>802.027743045389</v>
      </c>
      <c r="AC13" s="48">
        <f>IFERROR((TR/(RadSpec!K13*EF_cw*(1/365)*ED_con*def_acf!C13*ET_cw_o*(1/24)*RadSpec!U13))*1,".")</f>
        <v>2310.2532799087667</v>
      </c>
      <c r="AD13" s="69">
        <f>C_*EF_cw*(1/365)*ED_con*(ET_cw_i+ET_cw_o)*(1/24)*RadSpec!U13*def_acf!D13*1</f>
        <v>2.3830950238309587E-2</v>
      </c>
      <c r="AE13" s="69">
        <f>C_*EF_cw*(1/365)*ED_con*(ET_cw_i+ET_cw_o)*(1/24)*RadSpec!V13*def_acf!E13*1</f>
        <v>2.445027364875799E-2</v>
      </c>
      <c r="AF13" s="69">
        <f>C_*EF_cw*(1/365)*ED_con*(ET_cw_i+ET_cw_o)*(1/24)*RadSpec!W13*def_acf!F13*1</f>
        <v>2.3999150472549542E-2</v>
      </c>
      <c r="AG13" s="69">
        <f>C_*EF_cw*(1/365)*ED_con*(ET_cw_i+ET_cw_o)*(1/24)*RadSpec!X13*def_acf!G13*1</f>
        <v>2.4213988292800682E-2</v>
      </c>
      <c r="AH13" s="69">
        <f>C_*EF_cw*(1/365)*ED_con*(ET_cw_i+ET_cw_o)*(1/24)*RadSpec!T13*def_acf!C13*1</f>
        <v>2.0595019535847098E-2</v>
      </c>
      <c r="AI13" s="11"/>
      <c r="AJ13" s="11"/>
      <c r="AK13" s="11"/>
      <c r="AL13" s="11"/>
      <c r="AM13" s="11"/>
      <c r="AN13" s="48">
        <f>IFERROR(TR/(RadSpec!G13*EF_cw*ED_con*ET_cw_o*(1/24)*IRA_cw),".")</f>
        <v>6.9747166521360064E-3</v>
      </c>
      <c r="AO13" s="48">
        <f>IFERROR(TR/(RadSpec!J13*EF_cw*(1/365)*ED_con*ET_cw_o*(1/24)*GSF_a),".")</f>
        <v>57095.65371897108</v>
      </c>
      <c r="AP13" s="48">
        <f t="shared" ref="AP13:AP14" si="26">IFERROR(IF(AND(ISNUMBER(AN13),ISNUMBER(AO13)),1/((1/AN13)+(1/AO13)),IF(AND(ISNUMBER(AN13),NOT(ISNUMBER(AO13))),1/((1/AN13)),IF(AND(NOT(ISNUMBER(AN13)),ISNUMBER(AO13)),1/((1/AO13)),IF(AND(NOT(ISNUMBER(AN13)),NOT(ISNUMBER(AO13))),".")))),".")</f>
        <v>6.9747158001155244E-3</v>
      </c>
      <c r="AQ13" s="69">
        <f t="shared" si="7"/>
        <v>5000</v>
      </c>
      <c r="AR13" s="69">
        <f t="shared" si="8"/>
        <v>0.22831050228310501</v>
      </c>
      <c r="AS13" s="10"/>
      <c r="AT13" s="10"/>
      <c r="AU13" s="10"/>
    </row>
    <row r="14" spans="1:47" x14ac:dyDescent="0.25">
      <c r="A14" s="49" t="s">
        <v>24</v>
      </c>
      <c r="B14" s="50" t="s">
        <v>289</v>
      </c>
      <c r="C14" s="48">
        <f>IFERROR((TR/(RadSpec!I14*EF_cw*ED_con*IRS_cw*(1/1000)))*1,".")</f>
        <v>4693.4144355347798</v>
      </c>
      <c r="D14" s="48">
        <f>IFERROR(IF(A14="H-3",(TR/(RadSpec!G14*EF_cw*ED_con*ET_cw_o*(1/24)*IRA_cw*(1/17)*1000))*1,(TR/(RadSpec!G14*EF_cw*ED_con*ET_cw_o*(1/24)*IRA_cw*(1/PEFsc)*1000))*1),".")</f>
        <v>10158.097085315629</v>
      </c>
      <c r="E14" s="48">
        <f>IFERROR((TR/(RadSpec!F14*EF_cw*(1/365)*ED_con*def_acf!D14*ET_cw_o*(1/24)*RadSpec!V14))*1,".")</f>
        <v>67.344359831758794</v>
      </c>
      <c r="F14" s="48">
        <f t="shared" si="24"/>
        <v>65.96061716641303</v>
      </c>
      <c r="G14" s="69">
        <f t="shared" si="1"/>
        <v>82.5</v>
      </c>
      <c r="H14" s="69">
        <f t="shared" si="2"/>
        <v>6.4422246467249371</v>
      </c>
      <c r="I14" s="69">
        <f>C_*EF_cw*(1/365)*ED_con*(ET_cw_i+ET_cw_o)*(1/24)*RadSpec!U14*def_acf!D14*1</f>
        <v>1.8484369511766779E-2</v>
      </c>
      <c r="J14" s="4"/>
      <c r="K14" s="4"/>
      <c r="L14" s="4"/>
      <c r="M14" s="4"/>
      <c r="N14" s="48">
        <f>IFERROR((TR/(RadSpec!I14*EF_cw*ED_con*IRS_cw*(1/1000)))*1,".")</f>
        <v>4693.4144355347798</v>
      </c>
      <c r="O14" s="48">
        <f>IFERROR(IF(A14="H-3",(TR/(RadSpec!G14*EF_cw*ED_con*ET_cw_o*(1/24)*IRA_cw*(1/17)*1000))*1,(TR/(RadSpec!G14*EF_cw*ED_con*ET_cw_o*(1/24)*IRA_cw*(1/PEF__sc)*1000))*1),".")</f>
        <v>1553380.9657632154</v>
      </c>
      <c r="P14" s="48">
        <f>IFERROR((TR/(RadSpec!F14*EF_cw*(1/365)*ED_con*def_acf!D14*ET_cw_o*(1/24)*RadSpec!V14))*1,".")</f>
        <v>67.344359831758794</v>
      </c>
      <c r="Q14" s="48">
        <f t="shared" si="25"/>
        <v>66.388887918610052</v>
      </c>
      <c r="R14" s="69">
        <f t="shared" si="4"/>
        <v>82.5</v>
      </c>
      <c r="S14" s="69">
        <f t="shared" si="5"/>
        <v>4.2127942114117772E-2</v>
      </c>
      <c r="T14" s="69">
        <f>C_*EF_cw*(1/365)*ED_con*(ET_cw_i+ET_cw_o)*(1/24)*RadSpec!U14*def_acf!D14*1</f>
        <v>1.8484369511766779E-2</v>
      </c>
      <c r="U14" s="11"/>
      <c r="V14" s="11"/>
      <c r="W14" s="11"/>
      <c r="X14" s="11"/>
      <c r="Y14" s="48">
        <f>IFERROR((TR/(RadSpec!F14*EF_cw*(1/365)*ED_con*def_acf!D14*ET_cw_o*(1/24)*RadSpec!V14))*1,".")</f>
        <v>67.344359831758794</v>
      </c>
      <c r="Z14" s="48">
        <f>IFERROR((TR/(RadSpec!M14*EF_cw*(1/365)*ED_con*def_acf!E14*ET_cw_o*(1/24)*RadSpec!R14))*1,".")</f>
        <v>372.83078419952261</v>
      </c>
      <c r="AA14" s="48">
        <f>IFERROR((TR/(RadSpec!N14*EF_cw*(1/365)*ED_con*def_acf!F14*ET_cw_o*(1/24)*RadSpec!X14))*1,".")</f>
        <v>108.80402836806047</v>
      </c>
      <c r="AB14" s="48">
        <f>IFERROR((TR/(RadSpec!O14*EF_cw*(1/365)*ED_con*def_acf!G14*ET_cw_o*(1/24)*RadSpec!Y14))*1,".")</f>
        <v>67.064572791186464</v>
      </c>
      <c r="AC14" s="48">
        <f>IFERROR((TR/(RadSpec!K14*EF_cw*(1/365)*ED_con*def_acf!C14*ET_cw_o*(1/24)*RadSpec!U14))*1,".")</f>
        <v>406.75018242093785</v>
      </c>
      <c r="AD14" s="69">
        <f>C_*EF_cw*(1/365)*ED_con*(ET_cw_i+ET_cw_o)*(1/24)*RadSpec!U14*def_acf!D14*1</f>
        <v>1.8484369511766779E-2</v>
      </c>
      <c r="AE14" s="69">
        <f>C_*EF_cw*(1/365)*ED_con*(ET_cw_i+ET_cw_o)*(1/24)*RadSpec!V14*def_acf!E14*1</f>
        <v>1.4075453296094336E-2</v>
      </c>
      <c r="AF14" s="69">
        <f>C_*EF_cw*(1/365)*ED_con*(ET_cw_i+ET_cw_o)*(1/24)*RadSpec!W14*def_acf!F14*1</f>
        <v>1.7569982132221551E-2</v>
      </c>
      <c r="AG14" s="69">
        <f>C_*EF_cw*(1/365)*ED_con*(ET_cw_i+ET_cw_o)*(1/24)*RadSpec!X14*def_acf!G14*1</f>
        <v>1.9616438356164383E-2</v>
      </c>
      <c r="AH14" s="69">
        <f>C_*EF_cw*(1/365)*ED_con*(ET_cw_i+ET_cw_o)*(1/24)*RadSpec!T14*def_acf!C14*1</f>
        <v>1.3077980227867192E-2</v>
      </c>
      <c r="AI14" s="11"/>
      <c r="AJ14" s="11"/>
      <c r="AK14" s="11"/>
      <c r="AL14" s="11"/>
      <c r="AM14" s="11"/>
      <c r="AN14" s="48">
        <f>IFERROR(TR/(RadSpec!G14*EF_cw*ED_con*ET_cw_o*(1/24)*IRA_cw),".")</f>
        <v>13.08814868136902</v>
      </c>
      <c r="AO14" s="48">
        <f>IFERROR(TR/(RadSpec!J14*EF_cw*(1/365)*ED_con*ET_cw_o*(1/24)*GSF_a),".")</f>
        <v>5131.5792740580027</v>
      </c>
      <c r="AP14" s="48">
        <f t="shared" si="26"/>
        <v>13.054852139176909</v>
      </c>
      <c r="AQ14" s="69">
        <f t="shared" si="7"/>
        <v>5000</v>
      </c>
      <c r="AR14" s="69">
        <f t="shared" si="8"/>
        <v>0.22831050228310501</v>
      </c>
      <c r="AS14" s="10"/>
      <c r="AT14" s="10"/>
      <c r="AU14" s="10"/>
    </row>
    <row r="15" spans="1:47" x14ac:dyDescent="0.25">
      <c r="A15" s="49" t="s">
        <v>25</v>
      </c>
      <c r="B15" s="50" t="s">
        <v>289</v>
      </c>
      <c r="C15" s="48">
        <f>IFERROR((TR/(RadSpec!I15*EF_cw*ED_con*IRS_cw*(1/1000)))*1,".")</f>
        <v>99272.826545553806</v>
      </c>
      <c r="D15" s="48">
        <f>IFERROR(IF(A15="H-3",(TR/(RadSpec!G15*EF_cw*ED_con*ET_cw_o*(1/24)*IRA_cw*(1/17)*1000))*1,(TR/(RadSpec!G15*EF_cw*ED_con*ET_cw_o*(1/24)*IRA_cw*(1/PEFsc)*1000))*1),".")</f>
        <v>746493.61142977839</v>
      </c>
      <c r="E15" s="48">
        <f>IFERROR((TR/(RadSpec!F15*EF_cw*(1/365)*ED_con*def_acf!D15*ET_cw_o*(1/24)*RadSpec!V15))*1,".")</f>
        <v>9060.8320032280208</v>
      </c>
      <c r="F15" s="48">
        <f t="shared" ref="F15:F17" si="27">(IF(AND(ISNUMBER(C15),ISNUMBER(D15),ISNUMBER(E15)),1/((1/C15)+(1/D15)+(1/E15)),IF(AND(ISNUMBER(C15),ISNUMBER(D15),NOT(ISNUMBER(E15))), 1/((1/C15)+(1/D15)),IF(AND(ISNUMBER(C15),NOT(ISNUMBER(D15)),ISNUMBER(E15)),1/((1/C15)+(1/E15)),IF(AND(NOT(ISNUMBER(C15)),ISNUMBER(D15),ISNUMBER(E15)),1/((1/D15)+(1/E15)),IF(AND(ISNUMBER(C15),NOT(ISNUMBER(D15)),NOT(ISNUMBER(E15))),1/((1/C15)),IF(AND(NOT(ISNUMBER(C15)),NOT(ISNUMBER(D15)),ISNUMBER(E15)),1/((1/E15)),IF(AND(NOT(ISNUMBER(C15)),ISNUMBER(D15),NOT(ISNUMBER(E15))),1/((1/D15)),IF(AND(NOT(ISNUMBER(C15)),NOT(ISNUMBER(D15)),NOT(ISNUMBER(E15))),".")))))))))</f>
        <v>8211.6647229287155</v>
      </c>
      <c r="G15" s="69">
        <f t="shared" si="1"/>
        <v>82.5</v>
      </c>
      <c r="H15" s="69">
        <f t="shared" si="2"/>
        <v>6.4422246467249371</v>
      </c>
      <c r="I15" s="69">
        <f>C_*EF_cw*(1/365)*ED_con*(ET_cw_i+ET_cw_o)*(1/24)*RadSpec!U15*def_acf!D15*1</f>
        <v>0.20547945205479451</v>
      </c>
      <c r="J15" s="4"/>
      <c r="K15" s="4"/>
      <c r="L15" s="4"/>
      <c r="M15" s="4"/>
      <c r="N15" s="48">
        <f>IFERROR((TR/(RadSpec!I15*EF_cw*ED_con*IRS_cw*(1/1000)))*1,".")</f>
        <v>99272.826545553806</v>
      </c>
      <c r="O15" s="48">
        <f>IFERROR(IF(A15="H-3",(TR/(RadSpec!G15*EF_cw*ED_con*ET_cw_o*(1/24)*IRA_cw*(1/17)*1000))*1,(TR/(RadSpec!G15*EF_cw*ED_con*ET_cw_o*(1/24)*IRA_cw*(1/PEF__sc)*1000))*1),".")</f>
        <v>114154152.82210104</v>
      </c>
      <c r="P15" s="48">
        <f>IFERROR((TR/(RadSpec!F15*EF_cw*(1/365)*ED_con*def_acf!D15*ET_cw_o*(1/24)*RadSpec!V15))*1,".")</f>
        <v>9060.8320032280208</v>
      </c>
      <c r="Q15" s="48">
        <f t="shared" ref="Q15:Q17" si="28">(IF(AND(ISNUMBER(N15),ISNUMBER(O15),ISNUMBER(P15)),1/((1/N15)+(1/O15)+(1/P15)),IF(AND(ISNUMBER(N15),ISNUMBER(O15),NOT(ISNUMBER(P15))), 1/((1/N15)+(1/O15)),IF(AND(ISNUMBER(N15),NOT(ISNUMBER(O15)),ISNUMBER(P15)),1/((1/N15)+(1/P15)),IF(AND(NOT(ISNUMBER(N15)),ISNUMBER(O15),ISNUMBER(P15)),1/((1/O15)+(1/P15)),IF(AND(ISNUMBER(N15),NOT(ISNUMBER(O15)),NOT(ISNUMBER(P15))),1/((1/N15)),IF(AND(NOT(ISNUMBER(N15)),NOT(ISNUMBER(O15)),ISNUMBER(P15)),1/((1/P15)),IF(AND(NOT(ISNUMBER(N15)),ISNUMBER(O15),NOT(ISNUMBER(P15))),1/((1/O15)),IF(AND(NOT(ISNUMBER(N15)),NOT(ISNUMBER(O15)),NOT(ISNUMBER(P15))),".")))))))))</f>
        <v>8302.3964658056248</v>
      </c>
      <c r="R15" s="69">
        <f t="shared" si="4"/>
        <v>82.5</v>
      </c>
      <c r="S15" s="69">
        <f t="shared" si="5"/>
        <v>4.2127942114117772E-2</v>
      </c>
      <c r="T15" s="69">
        <f>C_*EF_cw*(1/365)*ED_con*(ET_cw_i+ET_cw_o)*(1/24)*RadSpec!U15*def_acf!D15*1</f>
        <v>0.20547945205479451</v>
      </c>
      <c r="U15" s="11"/>
      <c r="V15" s="11"/>
      <c r="W15" s="11"/>
      <c r="X15" s="11"/>
      <c r="Y15" s="48">
        <f>IFERROR((TR/(RadSpec!F15*EF_cw*(1/365)*ED_con*def_acf!D15*ET_cw_o*(1/24)*RadSpec!V15))*1,".")</f>
        <v>9060.8320032280208</v>
      </c>
      <c r="Z15" s="48">
        <f>IFERROR((TR/(RadSpec!M15*EF_cw*(1/365)*ED_con*def_acf!E15*ET_cw_o*(1/24)*RadSpec!R15))*1,".")</f>
        <v>29347.857495316781</v>
      </c>
      <c r="AA15" s="48">
        <f>IFERROR((TR/(RadSpec!N15*EF_cw*(1/365)*ED_con*def_acf!F15*ET_cw_o*(1/24)*RadSpec!X15))*1,".")</f>
        <v>11681.565923444196</v>
      </c>
      <c r="AB15" s="48">
        <f>IFERROR((TR/(RadSpec!O15*EF_cw*(1/365)*ED_con*def_acf!G15*ET_cw_o*(1/24)*RadSpec!Y15))*1,".")</f>
        <v>9200.8448597900388</v>
      </c>
      <c r="AC15" s="48">
        <f>IFERROR((TR/(RadSpec!K15*EF_cw*(1/365)*ED_con*def_acf!C15*ET_cw_o*(1/24)*RadSpec!U15))*1,".")</f>
        <v>8611.5345485224971</v>
      </c>
      <c r="AD15" s="69">
        <f>C_*EF_cw*(1/365)*ED_con*(ET_cw_i+ET_cw_o)*(1/24)*RadSpec!U15*def_acf!D15*1</f>
        <v>0.20547945205479451</v>
      </c>
      <c r="AE15" s="69">
        <f>C_*EF_cw*(1/365)*ED_con*(ET_cw_i+ET_cw_o)*(1/24)*RadSpec!V15*def_acf!E15*1</f>
        <v>0.20547945205479451</v>
      </c>
      <c r="AF15" s="69">
        <f>C_*EF_cw*(1/365)*ED_con*(ET_cw_i+ET_cw_o)*(1/24)*RadSpec!W15*def_acf!F15*1</f>
        <v>0.20547945205479451</v>
      </c>
      <c r="AG15" s="69">
        <f>C_*EF_cw*(1/365)*ED_con*(ET_cw_i+ET_cw_o)*(1/24)*RadSpec!X15*def_acf!G15*1</f>
        <v>0.20547945205479451</v>
      </c>
      <c r="AH15" s="69">
        <f>C_*EF_cw*(1/365)*ED_con*(ET_cw_i+ET_cw_o)*(1/24)*RadSpec!T15*def_acf!C15*1</f>
        <v>0.18493150684931506</v>
      </c>
      <c r="AI15" s="11"/>
      <c r="AJ15" s="11"/>
      <c r="AK15" s="11"/>
      <c r="AL15" s="11"/>
      <c r="AM15" s="11"/>
      <c r="AN15" s="48">
        <f>IFERROR(TR/(RadSpec!G15*EF_cw*ED_con*ET_cw_o*(1/24)*IRA_cw),".")</f>
        <v>961.81590843512549</v>
      </c>
      <c r="AO15" s="48">
        <f>IFERROR(TR/(RadSpec!J15*EF_cw*(1/365)*ED_con*ET_cw_o*(1/24)*GSF_a),".")</f>
        <v>2569304.4173536985</v>
      </c>
      <c r="AP15" s="48">
        <f t="shared" ref="AP15:AP17" si="29">IFERROR(IF(AND(ISNUMBER(AN15),ISNUMBER(AO15)),1/((1/AN15)+(1/AO15)),IF(AND(ISNUMBER(AN15),NOT(ISNUMBER(AO15))),1/((1/AN15)),IF(AND(NOT(ISNUMBER(AN15)),ISNUMBER(AO15)),1/((1/AO15)),IF(AND(NOT(ISNUMBER(AN15)),NOT(ISNUMBER(AO15))),".")))),".")</f>
        <v>961.45598858334233</v>
      </c>
      <c r="AQ15" s="69">
        <f t="shared" si="7"/>
        <v>5000</v>
      </c>
      <c r="AR15" s="69">
        <f t="shared" si="8"/>
        <v>0.22831050228310501</v>
      </c>
      <c r="AS15" s="10"/>
      <c r="AT15" s="10"/>
      <c r="AU15" s="10"/>
    </row>
    <row r="16" spans="1:47" x14ac:dyDescent="0.25">
      <c r="A16" s="49" t="s">
        <v>26</v>
      </c>
      <c r="B16" s="50" t="s">
        <v>289</v>
      </c>
      <c r="C16" s="48">
        <f>IFERROR((TR/(RadSpec!I16*EF_cw*ED_con*IRS_cw*(1/1000)))*1,".")</f>
        <v>20.222242444464666</v>
      </c>
      <c r="D16" s="48">
        <f>IFERROR(IF(A16="H-3",(TR/(RadSpec!G16*EF_cw*ED_con*ET_cw_o*(1/24)*IRA_cw*(1/17)*1000))*1,(TR/(RadSpec!G16*EF_cw*ED_con*ET_cw_o*(1/24)*IRA_cw*(1/PEFsc)*1000))*1),".")</f>
        <v>9.7792403175649323</v>
      </c>
      <c r="E16" s="48">
        <f>IFERROR((TR/(RadSpec!F16*EF_cw*(1/365)*ED_con*def_acf!D16*ET_cw_o*(1/24)*RadSpec!V16))*1,".")</f>
        <v>22453.378967774097</v>
      </c>
      <c r="F16" s="48">
        <f t="shared" si="27"/>
        <v>6.5896786364943001</v>
      </c>
      <c r="G16" s="69">
        <f t="shared" si="1"/>
        <v>82.5</v>
      </c>
      <c r="H16" s="69">
        <f t="shared" si="2"/>
        <v>6.4422246467249371</v>
      </c>
      <c r="I16" s="69">
        <f>C_*EF_cw*(1/365)*ED_con*(ET_cw_i+ET_cw_o)*(1/24)*RadSpec!U16*def_acf!D16*1</f>
        <v>3.0033702978908446E-2</v>
      </c>
      <c r="J16" s="4"/>
      <c r="K16" s="4"/>
      <c r="L16" s="4"/>
      <c r="M16" s="4"/>
      <c r="N16" s="48">
        <f>IFERROR((TR/(RadSpec!I16*EF_cw*ED_con*IRS_cw*(1/1000)))*1,".")</f>
        <v>20.222242444464666</v>
      </c>
      <c r="O16" s="48">
        <f>IFERROR(IF(A16="H-3",(TR/(RadSpec!G16*EF_cw*ED_con*ET_cw_o*(1/24)*IRA_cw*(1/17)*1000))*1,(TR/(RadSpec!G16*EF_cw*ED_con*ET_cw_o*(1/24)*IRA_cw*(1/PEF__sc)*1000))*1),".")</f>
        <v>1495.4460113291564</v>
      </c>
      <c r="P16" s="48">
        <f>IFERROR((TR/(RadSpec!F16*EF_cw*(1/365)*ED_con*def_acf!D16*ET_cw_o*(1/24)*RadSpec!V16))*1,".")</f>
        <v>22453.378967774097</v>
      </c>
      <c r="Q16" s="48">
        <f t="shared" si="28"/>
        <v>19.934720348678365</v>
      </c>
      <c r="R16" s="69">
        <f t="shared" si="4"/>
        <v>82.5</v>
      </c>
      <c r="S16" s="69">
        <f t="shared" si="5"/>
        <v>4.2127942114117772E-2</v>
      </c>
      <c r="T16" s="69">
        <f>C_*EF_cw*(1/365)*ED_con*(ET_cw_i+ET_cw_o)*(1/24)*RadSpec!U16*def_acf!D16*1</f>
        <v>3.0033702978908446E-2</v>
      </c>
      <c r="U16" s="11"/>
      <c r="V16" s="11"/>
      <c r="W16" s="11"/>
      <c r="X16" s="11"/>
      <c r="Y16" s="48">
        <f>IFERROR((TR/(RadSpec!F16*EF_cw*(1/365)*ED_con*def_acf!D16*ET_cw_o*(1/24)*RadSpec!V16))*1,".")</f>
        <v>22453.378967774097</v>
      </c>
      <c r="Z16" s="48">
        <f>IFERROR((TR/(RadSpec!M16*EF_cw*(1/365)*ED_con*def_acf!E16*ET_cw_o*(1/24)*RadSpec!R16))*1,".")</f>
        <v>30546.11950004657</v>
      </c>
      <c r="AA16" s="48">
        <f>IFERROR((TR/(RadSpec!N16*EF_cw*(1/365)*ED_con*def_acf!F16*ET_cw_o*(1/24)*RadSpec!X16))*1,".")</f>
        <v>21667.575968753372</v>
      </c>
      <c r="AB16" s="48">
        <f>IFERROR((TR/(RadSpec!O16*EF_cw*(1/365)*ED_con*def_acf!G16*ET_cw_o*(1/24)*RadSpec!Y16))*1,".")</f>
        <v>20318.367045906627</v>
      </c>
      <c r="AC16" s="48">
        <f>IFERROR((TR/(RadSpec!K16*EF_cw*(1/365)*ED_con*def_acf!C16*ET_cw_o*(1/24)*RadSpec!U16))*1,".")</f>
        <v>20175.686643105069</v>
      </c>
      <c r="AD16" s="69">
        <f>C_*EF_cw*(1/365)*ED_con*(ET_cw_i+ET_cw_o)*(1/24)*RadSpec!U16*def_acf!D16*1</f>
        <v>3.0033702978908446E-2</v>
      </c>
      <c r="AE16" s="69">
        <f>C_*EF_cw*(1/365)*ED_con*(ET_cw_i+ET_cw_o)*(1/24)*RadSpec!V16*def_acf!E16*1</f>
        <v>3.4359600343595885E-2</v>
      </c>
      <c r="AF16" s="69">
        <f>C_*EF_cw*(1/365)*ED_con*(ET_cw_i+ET_cw_o)*(1/24)*RadSpec!W16*def_acf!F16*1</f>
        <v>3.146982599037397E-2</v>
      </c>
      <c r="AG16" s="69">
        <f>C_*EF_cw*(1/365)*ED_con*(ET_cw_i+ET_cw_o)*(1/24)*RadSpec!X16*def_acf!G16*1</f>
        <v>3.3189582276340182E-2</v>
      </c>
      <c r="AH16" s="69">
        <f>C_*EF_cw*(1/365)*ED_con*(ET_cw_i+ET_cw_o)*(1/24)*RadSpec!T16*def_acf!C16*1</f>
        <v>2.8876772410478313E-2</v>
      </c>
      <c r="AI16" s="11"/>
      <c r="AJ16" s="11"/>
      <c r="AK16" s="11"/>
      <c r="AL16" s="11"/>
      <c r="AM16" s="11"/>
      <c r="AN16" s="48">
        <f>IFERROR(TR/(RadSpec!G16*EF_cw*ED_con*ET_cw_o*(1/24)*IRA_cw),".")</f>
        <v>1.2600012600012603E-2</v>
      </c>
      <c r="AO16" s="48">
        <f>IFERROR(TR/(RadSpec!J16*EF_cw*(1/365)*ED_con*ET_cw_o*(1/24)*GSF_a),".")</f>
        <v>1113111.11256273</v>
      </c>
      <c r="AP16" s="48">
        <f t="shared" si="29"/>
        <v>1.2600012457385049E-2</v>
      </c>
      <c r="AQ16" s="69">
        <f t="shared" si="7"/>
        <v>5000</v>
      </c>
      <c r="AR16" s="69">
        <f t="shared" si="8"/>
        <v>0.22831050228310501</v>
      </c>
      <c r="AS16" s="10"/>
      <c r="AT16" s="10"/>
      <c r="AU16" s="10"/>
    </row>
    <row r="17" spans="1:47" x14ac:dyDescent="0.25">
      <c r="A17" s="49" t="s">
        <v>27</v>
      </c>
      <c r="B17" s="50" t="s">
        <v>289</v>
      </c>
      <c r="C17" s="48">
        <f>IFERROR((TR/(RadSpec!I17*EF_cw*ED_con*IRS_cw*(1/1000)))*1,".")</f>
        <v>54966.497919518049</v>
      </c>
      <c r="D17" s="48">
        <f>IFERROR(IF(A17="H-3",(TR/(RadSpec!G17*EF_cw*ED_con*ET_cw_o*(1/24)*IRA_cw*(1/17)*1000))*1,(TR/(RadSpec!G17*EF_cw*ED_con*ET_cw_o*(1/24)*IRA_cw*(1/PEFsc)*1000))*1),".")</f>
        <v>1997.759093445407</v>
      </c>
      <c r="E17" s="48">
        <f>IFERROR((TR/(RadSpec!F17*EF_cw*(1/365)*ED_con*def_acf!D17*ET_cw_o*(1/24)*RadSpec!V17))*1,".")</f>
        <v>54.244954165612263</v>
      </c>
      <c r="F17" s="48">
        <f t="shared" si="27"/>
        <v>52.760291504136056</v>
      </c>
      <c r="G17" s="69">
        <f t="shared" si="1"/>
        <v>82.5</v>
      </c>
      <c r="H17" s="69">
        <f t="shared" si="2"/>
        <v>6.4422246467249371</v>
      </c>
      <c r="I17" s="69">
        <f>C_*EF_cw*(1/365)*ED_con*(ET_cw_i+ET_cw_o)*(1/24)*RadSpec!U17*def_acf!D17*1</f>
        <v>1.8552626530064086E-2</v>
      </c>
      <c r="J17" s="4"/>
      <c r="K17" s="4"/>
      <c r="L17" s="4"/>
      <c r="M17" s="4"/>
      <c r="N17" s="48">
        <f>IFERROR((TR/(RadSpec!I17*EF_cw*ED_con*IRS_cw*(1/1000)))*1,".")</f>
        <v>54966.497919518049</v>
      </c>
      <c r="O17" s="48">
        <f>IFERROR(IF(A17="H-3",(TR/(RadSpec!G17*EF_cw*ED_con*ET_cw_o*(1/24)*IRA_cw*(1/17)*1000))*1,(TR/(RadSpec!G17*EF_cw*ED_con*ET_cw_o*(1/24)*IRA_cw*(1/PEF__sc)*1000))*1),".")</f>
        <v>305498.25660009898</v>
      </c>
      <c r="P17" s="48">
        <f>IFERROR((TR/(RadSpec!F17*EF_cw*(1/365)*ED_con*def_acf!D17*ET_cw_o*(1/24)*RadSpec!V17))*1,".")</f>
        <v>54.244954165612263</v>
      </c>
      <c r="Q17" s="48">
        <f t="shared" si="28"/>
        <v>54.181862893751614</v>
      </c>
      <c r="R17" s="69">
        <f t="shared" si="4"/>
        <v>82.5</v>
      </c>
      <c r="S17" s="69">
        <f t="shared" si="5"/>
        <v>4.2127942114117772E-2</v>
      </c>
      <c r="T17" s="69">
        <f>C_*EF_cw*(1/365)*ED_con*(ET_cw_i+ET_cw_o)*(1/24)*RadSpec!U17*def_acf!D17*1</f>
        <v>1.8552626530064086E-2</v>
      </c>
      <c r="U17" s="11"/>
      <c r="V17" s="11"/>
      <c r="W17" s="11"/>
      <c r="X17" s="11"/>
      <c r="Y17" s="48">
        <f>IFERROR((TR/(RadSpec!F17*EF_cw*(1/365)*ED_con*def_acf!D17*ET_cw_o*(1/24)*RadSpec!V17))*1,".")</f>
        <v>54.244954165612263</v>
      </c>
      <c r="Z17" s="48">
        <f>IFERROR((TR/(RadSpec!M17*EF_cw*(1/365)*ED_con*def_acf!E17*ET_cw_o*(1/24)*RadSpec!R17))*1,".")</f>
        <v>382.186223655758</v>
      </c>
      <c r="AA17" s="48">
        <f>IFERROR((TR/(RadSpec!N17*EF_cw*(1/365)*ED_con*def_acf!F17*ET_cw_o*(1/24)*RadSpec!X17))*1,".")</f>
        <v>95.751493553783206</v>
      </c>
      <c r="AB17" s="48">
        <f>IFERROR((TR/(RadSpec!O17*EF_cw*(1/365)*ED_con*def_acf!G17*ET_cw_o*(1/24)*RadSpec!Y17))*1,".")</f>
        <v>56.012791843840176</v>
      </c>
      <c r="AC17" s="48">
        <f>IFERROR((TR/(RadSpec!K17*EF_cw*(1/365)*ED_con*def_acf!C17*ET_cw_o*(1/24)*RadSpec!U17))*1,".")</f>
        <v>478.8860589413174</v>
      </c>
      <c r="AD17" s="69">
        <f>C_*EF_cw*(1/365)*ED_con*(ET_cw_i+ET_cw_o)*(1/24)*RadSpec!U17*def_acf!D17*1</f>
        <v>1.8552626530064086E-2</v>
      </c>
      <c r="AE17" s="69">
        <f>C_*EF_cw*(1/365)*ED_con*(ET_cw_i+ET_cw_o)*(1/24)*RadSpec!V17*def_acf!E17*1</f>
        <v>1.157481151109694E-2</v>
      </c>
      <c r="AF17" s="69">
        <f>C_*EF_cw*(1/365)*ED_con*(ET_cw_i+ET_cw_o)*(1/24)*RadSpec!W17*def_acf!F17*1</f>
        <v>1.658818493150685E-2</v>
      </c>
      <c r="AG17" s="69">
        <f>C_*EF_cw*(1/365)*ED_con*(ET_cw_i+ET_cw_o)*(1/24)*RadSpec!X17*def_acf!G17*1</f>
        <v>1.9184424150177577E-2</v>
      </c>
      <c r="AH17" s="69">
        <f>C_*EF_cw*(1/365)*ED_con*(ET_cw_i+ET_cw_o)*(1/24)*RadSpec!T17*def_acf!C17*1</f>
        <v>9.3632958801498165E-3</v>
      </c>
      <c r="AI17" s="11"/>
      <c r="AJ17" s="11"/>
      <c r="AK17" s="11"/>
      <c r="AL17" s="11"/>
      <c r="AM17" s="11"/>
      <c r="AN17" s="48">
        <f>IFERROR(TR/(RadSpec!G17*EF_cw*ED_con*ET_cw_o*(1/24)*IRA_cw),".")</f>
        <v>2.5740025740025736</v>
      </c>
      <c r="AO17" s="48">
        <f>IFERROR(TR/(RadSpec!J17*EF_cw*(1/365)*ED_con*ET_cw_o*(1/24)*GSF_a),".")</f>
        <v>4296.8894035926687</v>
      </c>
      <c r="AP17" s="48">
        <f t="shared" si="29"/>
        <v>2.5724615702481355</v>
      </c>
      <c r="AQ17" s="69">
        <f t="shared" si="7"/>
        <v>5000</v>
      </c>
      <c r="AR17" s="69">
        <f t="shared" si="8"/>
        <v>0.22831050228310501</v>
      </c>
      <c r="AS17" s="10"/>
      <c r="AT17" s="10"/>
      <c r="AU17" s="10"/>
    </row>
    <row r="18" spans="1:47" x14ac:dyDescent="0.25">
      <c r="A18" s="49" t="s">
        <v>28</v>
      </c>
      <c r="B18" s="50" t="s">
        <v>289</v>
      </c>
      <c r="C18" s="48">
        <f>IFERROR((TR/(RadSpec!I18*EF_cw*ED_con*IRS_cw*(1/1000)))*1,".")</f>
        <v>8.4433074123795766</v>
      </c>
      <c r="D18" s="48">
        <f>IFERROR(IF(A18="H-3",(TR/(RadSpec!G18*EF_cw*ED_con*ET_cw_o*(1/24)*IRA_cw*(1/17)*1000))*1,(TR/(RadSpec!G18*EF_cw*ED_con*ET_cw_o*(1/24)*IRA_cw*(1/PEFsc)*1000))*1),".")</f>
        <v>10.702280857743254</v>
      </c>
      <c r="E18" s="48">
        <f>IFERROR((TR/(RadSpec!F18*EF_cw*(1/365)*ED_con*def_acf!D18*ET_cw_o*(1/24)*RadSpec!V18))*1,".")</f>
        <v>1033258.7518648753</v>
      </c>
      <c r="F18" s="48">
        <f t="shared" ref="F18:F21" si="30">(IF(AND(ISNUMBER(C18),ISNUMBER(D18),ISNUMBER(E18)),1/((1/C18)+(1/D18)+(1/E18)),IF(AND(ISNUMBER(C18),ISNUMBER(D18),NOT(ISNUMBER(E18))), 1/((1/C18)+(1/D18)),IF(AND(ISNUMBER(C18),NOT(ISNUMBER(D18)),ISNUMBER(E18)),1/((1/C18)+(1/E18)),IF(AND(NOT(ISNUMBER(C18)),ISNUMBER(D18),ISNUMBER(E18)),1/((1/D18)+(1/E18)),IF(AND(ISNUMBER(C18),NOT(ISNUMBER(D18)),NOT(ISNUMBER(E18))),1/((1/C18)),IF(AND(NOT(ISNUMBER(C18)),NOT(ISNUMBER(D18)),ISNUMBER(E18)),1/((1/E18)),IF(AND(NOT(ISNUMBER(C18)),ISNUMBER(D18),NOT(ISNUMBER(E18))),1/((1/D18)),IF(AND(NOT(ISNUMBER(C18)),NOT(ISNUMBER(D18)),NOT(ISNUMBER(E18))),".")))))))))</f>
        <v>4.7197418674302423</v>
      </c>
      <c r="G18" s="69">
        <f t="shared" si="1"/>
        <v>82.5</v>
      </c>
      <c r="H18" s="69">
        <f t="shared" si="2"/>
        <v>6.4422246467249371</v>
      </c>
      <c r="I18" s="69">
        <f>C_*EF_cw*(1/365)*ED_con*(ET_cw_i+ET_cw_o)*(1/24)*RadSpec!U18*def_acf!D18*1</f>
        <v>2.1473256492265617E-2</v>
      </c>
      <c r="J18" s="4"/>
      <c r="K18" s="4"/>
      <c r="L18" s="4"/>
      <c r="M18" s="4"/>
      <c r="N18" s="48">
        <f>IFERROR((TR/(RadSpec!I18*EF_cw*ED_con*IRS_cw*(1/1000)))*1,".")</f>
        <v>8.4433074123795766</v>
      </c>
      <c r="O18" s="48">
        <f>IFERROR(IF(A18="H-3",(TR/(RadSpec!G18*EF_cw*ED_con*ET_cw_o*(1/24)*IRA_cw*(1/17)*1000))*1,(TR/(RadSpec!G18*EF_cw*ED_con*ET_cw_o*(1/24)*IRA_cw*(1/PEF__sc)*1000))*1),".")</f>
        <v>1636.5978032148166</v>
      </c>
      <c r="P18" s="48">
        <f>IFERROR((TR/(RadSpec!F18*EF_cw*(1/365)*ED_con*def_acf!D18*ET_cw_o*(1/24)*RadSpec!V18))*1,".")</f>
        <v>1033258.7518648753</v>
      </c>
      <c r="Q18" s="48">
        <f t="shared" ref="Q18:Q21" si="31">(IF(AND(ISNUMBER(N18),ISNUMBER(O18),ISNUMBER(P18)),1/((1/N18)+(1/O18)+(1/P18)),IF(AND(ISNUMBER(N18),ISNUMBER(O18),NOT(ISNUMBER(P18))), 1/((1/N18)+(1/O18)),IF(AND(ISNUMBER(N18),NOT(ISNUMBER(O18)),ISNUMBER(P18)),1/((1/N18)+(1/P18)),IF(AND(NOT(ISNUMBER(N18)),ISNUMBER(O18),ISNUMBER(P18)),1/((1/O18)+(1/P18)),IF(AND(ISNUMBER(N18),NOT(ISNUMBER(O18)),NOT(ISNUMBER(P18))),1/((1/N18)),IF(AND(NOT(ISNUMBER(N18)),NOT(ISNUMBER(O18)),ISNUMBER(P18)),1/((1/P18)),IF(AND(NOT(ISNUMBER(N18)),ISNUMBER(O18),NOT(ISNUMBER(P18))),1/((1/O18)),IF(AND(NOT(ISNUMBER(N18)),NOT(ISNUMBER(O18)),NOT(ISNUMBER(P18))),".")))))))))</f>
        <v>8.3999031619904603</v>
      </c>
      <c r="R18" s="69">
        <f t="shared" si="4"/>
        <v>82.5</v>
      </c>
      <c r="S18" s="69">
        <f t="shared" si="5"/>
        <v>4.2127942114117772E-2</v>
      </c>
      <c r="T18" s="69">
        <f>C_*EF_cw*(1/365)*ED_con*(ET_cw_i+ET_cw_o)*(1/24)*RadSpec!U18*def_acf!D18*1</f>
        <v>2.1473256492265617E-2</v>
      </c>
      <c r="U18" s="11"/>
      <c r="V18" s="11"/>
      <c r="W18" s="11"/>
      <c r="X18" s="11"/>
      <c r="Y18" s="48">
        <f>IFERROR((TR/(RadSpec!F18*EF_cw*(1/365)*ED_con*def_acf!D18*ET_cw_o*(1/24)*RadSpec!V18))*1,".")</f>
        <v>1033258.7518648753</v>
      </c>
      <c r="Z18" s="48">
        <f>IFERROR((TR/(RadSpec!M18*EF_cw*(1/365)*ED_con*def_acf!E18*ET_cw_o*(1/24)*RadSpec!R18))*1,".")</f>
        <v>10822557.207707774</v>
      </c>
      <c r="AA18" s="48">
        <f>IFERROR((TR/(RadSpec!N18*EF_cw*(1/365)*ED_con*def_acf!F18*ET_cw_o*(1/24)*RadSpec!X18))*1,".")</f>
        <v>2546908.3221597336</v>
      </c>
      <c r="AB18" s="48">
        <f>IFERROR((TR/(RadSpec!O18*EF_cw*(1/365)*ED_con*def_acf!G18*ET_cw_o*(1/24)*RadSpec!Y18))*1,".")</f>
        <v>1266767.6633191966</v>
      </c>
      <c r="AC18" s="48">
        <f>IFERROR((TR/(RadSpec!K18*EF_cw*(1/365)*ED_con*def_acf!C18*ET_cw_o*(1/24)*RadSpec!U18))*1,".")</f>
        <v>16831369.280441687</v>
      </c>
      <c r="AD18" s="69">
        <f>C_*EF_cw*(1/365)*ED_con*(ET_cw_i+ET_cw_o)*(1/24)*RadSpec!U18*def_acf!D18*1</f>
        <v>2.1473256492265617E-2</v>
      </c>
      <c r="AE18" s="69">
        <f>C_*EF_cw*(1/365)*ED_con*(ET_cw_i+ET_cw_o)*(1/24)*RadSpec!V18*def_acf!E18*1</f>
        <v>1.0325448445429541E-2</v>
      </c>
      <c r="AF18" s="69">
        <f>C_*EF_cw*(1/365)*ED_con*(ET_cw_i+ET_cw_o)*(1/24)*RadSpec!W18*def_acf!F18*1</f>
        <v>1.545333094055952E-2</v>
      </c>
      <c r="AG18" s="69">
        <f>C_*EF_cw*(1/365)*ED_con*(ET_cw_i+ET_cw_o)*(1/24)*RadSpec!X18*def_acf!G18*1</f>
        <v>1.9943328460302855E-2</v>
      </c>
      <c r="AH18" s="69">
        <f>C_*EF_cw*(1/365)*ED_con*(ET_cw_i+ET_cw_o)*(1/24)*RadSpec!T18*def_acf!C18*1</f>
        <v>6.8299667208420317E-3</v>
      </c>
      <c r="AI18" s="11"/>
      <c r="AJ18" s="11"/>
      <c r="AK18" s="11"/>
      <c r="AL18" s="11"/>
      <c r="AM18" s="11"/>
      <c r="AN18" s="48">
        <f>IFERROR(TR/(RadSpec!G18*EF_cw*ED_con*ET_cw_o*(1/24)*IRA_cw),".")</f>
        <v>1.3789299503585218E-2</v>
      </c>
      <c r="AO18" s="48">
        <f>IFERROR(TR/(RadSpec!J18*EF_cw*(1/365)*ED_con*ET_cw_o*(1/24)*GSF_a),".")</f>
        <v>104781688.52894972</v>
      </c>
      <c r="AP18" s="48">
        <f t="shared" ref="AP18:AP21" si="32">IFERROR(IF(AND(ISNUMBER(AN18),ISNUMBER(AO18)),1/((1/AN18)+(1/AO18)),IF(AND(ISNUMBER(AN18),NOT(ISNUMBER(AO18))),1/((1/AN18)),IF(AND(NOT(ISNUMBER(AN18)),ISNUMBER(AO18)),1/((1/AO18)),IF(AND(NOT(ISNUMBER(AN18)),NOT(ISNUMBER(AO18))),".")))),".")</f>
        <v>1.3789299501770543E-2</v>
      </c>
      <c r="AQ18" s="69">
        <f t="shared" si="7"/>
        <v>5000</v>
      </c>
      <c r="AR18" s="69">
        <f t="shared" si="8"/>
        <v>0.22831050228310501</v>
      </c>
      <c r="AS18" s="10"/>
      <c r="AT18" s="10"/>
      <c r="AU18" s="10"/>
    </row>
    <row r="19" spans="1:47" x14ac:dyDescent="0.25">
      <c r="A19" s="49" t="s">
        <v>29</v>
      </c>
      <c r="B19" s="50" t="s">
        <v>289</v>
      </c>
      <c r="C19" s="48" t="str">
        <f>IFERROR((TR/(RadSpec!I19*EF_cw*ED_con*IRS_cw*(1/1000)))*1,".")</f>
        <v>.</v>
      </c>
      <c r="D19" s="48" t="str">
        <f>IFERROR(IF(A19="H-3",(TR/(RadSpec!G19*EF_cw*ED_con*ET_cw_o*(1/24)*IRA_cw*(1/17)*1000))*1,(TR/(RadSpec!G19*EF_cw*ED_con*ET_cw_o*(1/24)*IRA_cw*(1/PEFsc)*1000))*1),".")</f>
        <v>.</v>
      </c>
      <c r="E19" s="48">
        <f>IFERROR((TR/(RadSpec!F19*EF_cw*(1/365)*ED_con*def_acf!D19*ET_cw_o*(1/24)*RadSpec!V19))*1,".")</f>
        <v>272117.92349273356</v>
      </c>
      <c r="F19" s="48">
        <f t="shared" si="30"/>
        <v>272117.92349273356</v>
      </c>
      <c r="G19" s="69">
        <f t="shared" si="1"/>
        <v>82.5</v>
      </c>
      <c r="H19" s="69">
        <f t="shared" si="2"/>
        <v>6.4422246467249371</v>
      </c>
      <c r="I19" s="69">
        <f>C_*EF_cw*(1/365)*ED_con*(ET_cw_i+ET_cw_o)*(1/24)*RadSpec!U19*def_acf!D19*1</f>
        <v>2.12654924983692E-2</v>
      </c>
      <c r="J19" s="4"/>
      <c r="K19" s="4"/>
      <c r="L19" s="4"/>
      <c r="M19" s="4"/>
      <c r="N19" s="48" t="str">
        <f>IFERROR((TR/(RadSpec!I19*EF_cw*ED_con*IRS_cw*(1/1000)))*1,".")</f>
        <v>.</v>
      </c>
      <c r="O19" s="48" t="str">
        <f>IFERROR(IF(A19="H-3",(TR/(RadSpec!G19*EF_cw*ED_con*ET_cw_o*(1/24)*IRA_cw*(1/17)*1000))*1,(TR/(RadSpec!G19*EF_cw*ED_con*ET_cw_o*(1/24)*IRA_cw*(1/PEF__sc)*1000))*1),".")</f>
        <v>.</v>
      </c>
      <c r="P19" s="48">
        <f>IFERROR((TR/(RadSpec!F19*EF_cw*(1/365)*ED_con*def_acf!D19*ET_cw_o*(1/24)*RadSpec!V19))*1,".")</f>
        <v>272117.92349273356</v>
      </c>
      <c r="Q19" s="48">
        <f t="shared" si="31"/>
        <v>272117.92349273356</v>
      </c>
      <c r="R19" s="69">
        <f t="shared" si="4"/>
        <v>82.5</v>
      </c>
      <c r="S19" s="69">
        <f t="shared" si="5"/>
        <v>4.2127942114117772E-2</v>
      </c>
      <c r="T19" s="69">
        <f>C_*EF_cw*(1/365)*ED_con*(ET_cw_i+ET_cw_o)*(1/24)*RadSpec!U19*def_acf!D19*1</f>
        <v>2.12654924983692E-2</v>
      </c>
      <c r="U19" s="11"/>
      <c r="V19" s="11"/>
      <c r="W19" s="11"/>
      <c r="X19" s="11"/>
      <c r="Y19" s="48">
        <f>IFERROR((TR/(RadSpec!F19*EF_cw*(1/365)*ED_con*def_acf!D19*ET_cw_o*(1/24)*RadSpec!V19))*1,".")</f>
        <v>272117.92349273356</v>
      </c>
      <c r="Z19" s="48">
        <f>IFERROR((TR/(RadSpec!M19*EF_cw*(1/365)*ED_con*def_acf!E19*ET_cw_o*(1/24)*RadSpec!R19))*1,".")</f>
        <v>2782325.3891643658</v>
      </c>
      <c r="AA19" s="48">
        <f>IFERROR((TR/(RadSpec!N19*EF_cw*(1/365)*ED_con*def_acf!F19*ET_cw_o*(1/24)*RadSpec!X19))*1,".")</f>
        <v>663747.24841305078</v>
      </c>
      <c r="AB19" s="48">
        <f>IFERROR((TR/(RadSpec!O19*EF_cw*(1/365)*ED_con*def_acf!G19*ET_cw_o*(1/24)*RadSpec!Y19))*1,".")</f>
        <v>329822.78276697535</v>
      </c>
      <c r="AC19" s="48">
        <f>IFERROR((TR/(RadSpec!K19*EF_cw*(1/365)*ED_con*def_acf!C19*ET_cw_o*(1/24)*RadSpec!U19))*1,".")</f>
        <v>4322771.9348733714</v>
      </c>
      <c r="AD19" s="69">
        <f>C_*EF_cw*(1/365)*ED_con*(ET_cw_i+ET_cw_o)*(1/24)*RadSpec!U19*def_acf!D19*1</f>
        <v>2.12654924983692E-2</v>
      </c>
      <c r="AE19" s="69">
        <f>C_*EF_cw*(1/365)*ED_con*(ET_cw_i+ET_cw_o)*(1/24)*RadSpec!V19*def_acf!E19*1</f>
        <v>1.039907424782637E-2</v>
      </c>
      <c r="AF19" s="69">
        <f>C_*EF_cw*(1/365)*ED_con*(ET_cw_i+ET_cw_o)*(1/24)*RadSpec!W19*def_acf!F19*1</f>
        <v>1.5478678120888469E-2</v>
      </c>
      <c r="AG19" s="69">
        <f>C_*EF_cw*(1/365)*ED_con*(ET_cw_i+ET_cw_o)*(1/24)*RadSpec!X19*def_acf!G19*1</f>
        <v>1.9974241892050115E-2</v>
      </c>
      <c r="AH19" s="69">
        <f>C_*EF_cw*(1/365)*ED_con*(ET_cw_i+ET_cw_o)*(1/24)*RadSpec!T19*def_acf!C19*1</f>
        <v>6.8792247412813243E-3</v>
      </c>
      <c r="AI19" s="11"/>
      <c r="AJ19" s="11"/>
      <c r="AK19" s="11"/>
      <c r="AL19" s="11"/>
      <c r="AM19" s="11"/>
      <c r="AN19" s="48" t="str">
        <f>IFERROR(TR/(RadSpec!G19*EF_cw*ED_con*ET_cw_o*(1/24)*IRA_cw),".")</f>
        <v>.</v>
      </c>
      <c r="AO19" s="48">
        <f>IFERROR(TR/(RadSpec!J19*EF_cw*(1/365)*ED_con*ET_cw_o*(1/24)*GSF_a),".")</f>
        <v>27182496.00968406</v>
      </c>
      <c r="AP19" s="48">
        <f t="shared" si="32"/>
        <v>27182496.00968406</v>
      </c>
      <c r="AQ19" s="69">
        <f t="shared" si="7"/>
        <v>5000</v>
      </c>
      <c r="AR19" s="69">
        <f t="shared" si="8"/>
        <v>0.22831050228310501</v>
      </c>
      <c r="AS19" s="10"/>
      <c r="AT19" s="10"/>
      <c r="AU19" s="10"/>
    </row>
    <row r="20" spans="1:47" x14ac:dyDescent="0.25">
      <c r="A20" s="49" t="s">
        <v>30</v>
      </c>
      <c r="B20" s="50" t="s">
        <v>289</v>
      </c>
      <c r="C20" s="48" t="str">
        <f>IFERROR((TR/(RadSpec!I20*EF_cw*ED_con*IRS_cw*(1/1000)))*1,".")</f>
        <v>.</v>
      </c>
      <c r="D20" s="48" t="str">
        <f>IFERROR(IF(A20="H-3",(TR/(RadSpec!G20*EF_cw*ED_con*ET_cw_o*(1/24)*IRA_cw*(1/17)*1000))*1,(TR/(RadSpec!G20*EF_cw*ED_con*ET_cw_o*(1/24)*IRA_cw*(1/PEFsc)*1000))*1),".")</f>
        <v>.</v>
      </c>
      <c r="E20" s="48">
        <f>IFERROR((TR/(RadSpec!F20*EF_cw*(1/365)*ED_con*def_acf!D20*ET_cw_o*(1/24)*RadSpec!V20))*1,".")</f>
        <v>121167.13006514516</v>
      </c>
      <c r="F20" s="48">
        <f t="shared" si="30"/>
        <v>121167.13006514516</v>
      </c>
      <c r="G20" s="69">
        <f t="shared" si="1"/>
        <v>82.5</v>
      </c>
      <c r="H20" s="69">
        <f t="shared" si="2"/>
        <v>6.4422246467249371</v>
      </c>
      <c r="I20" s="69">
        <f>C_*EF_cw*(1/365)*ED_con*(ET_cw_i+ET_cw_o)*(1/24)*RadSpec!U20*def_acf!D20*1</f>
        <v>2.1418820317280977E-2</v>
      </c>
      <c r="J20" s="4"/>
      <c r="K20" s="4"/>
      <c r="L20" s="4"/>
      <c r="M20" s="4"/>
      <c r="N20" s="48" t="str">
        <f>IFERROR((TR/(RadSpec!I20*EF_cw*ED_con*IRS_cw*(1/1000)))*1,".")</f>
        <v>.</v>
      </c>
      <c r="O20" s="48" t="str">
        <f>IFERROR(IF(A20="H-3",(TR/(RadSpec!G20*EF_cw*ED_con*ET_cw_o*(1/24)*IRA_cw*(1/17)*1000))*1,(TR/(RadSpec!G20*EF_cw*ED_con*ET_cw_o*(1/24)*IRA_cw*(1/PEF__sc)*1000))*1),".")</f>
        <v>.</v>
      </c>
      <c r="P20" s="48">
        <f>IFERROR((TR/(RadSpec!F20*EF_cw*(1/365)*ED_con*def_acf!D20*ET_cw_o*(1/24)*RadSpec!V20))*1,".")</f>
        <v>121167.13006514516</v>
      </c>
      <c r="Q20" s="48">
        <f t="shared" si="31"/>
        <v>121167.13006514516</v>
      </c>
      <c r="R20" s="69">
        <f t="shared" si="4"/>
        <v>82.5</v>
      </c>
      <c r="S20" s="69">
        <f t="shared" si="5"/>
        <v>4.2127942114117772E-2</v>
      </c>
      <c r="T20" s="69">
        <f>C_*EF_cw*(1/365)*ED_con*(ET_cw_i+ET_cw_o)*(1/24)*RadSpec!U20*def_acf!D20*1</f>
        <v>2.1418820317280977E-2</v>
      </c>
      <c r="U20" s="11"/>
      <c r="V20" s="11"/>
      <c r="W20" s="11"/>
      <c r="X20" s="11"/>
      <c r="Y20" s="48">
        <f>IFERROR((TR/(RadSpec!F20*EF_cw*(1/365)*ED_con*def_acf!D20*ET_cw_o*(1/24)*RadSpec!V20))*1,".")</f>
        <v>121167.13006514516</v>
      </c>
      <c r="Z20" s="48">
        <f>IFERROR((TR/(RadSpec!M20*EF_cw*(1/365)*ED_con*def_acf!E20*ET_cw_o*(1/24)*RadSpec!R20))*1,".")</f>
        <v>1271689.6948132718</v>
      </c>
      <c r="AA20" s="48">
        <f>IFERROR((TR/(RadSpec!N20*EF_cw*(1/365)*ED_con*def_acf!F20*ET_cw_o*(1/24)*RadSpec!X20))*1,".")</f>
        <v>300802.52659773012</v>
      </c>
      <c r="AB20" s="48">
        <f>IFERROR((TR/(RadSpec!O20*EF_cw*(1/365)*ED_con*def_acf!G20*ET_cw_o*(1/24)*RadSpec!Y20))*1,".")</f>
        <v>148341.45128369355</v>
      </c>
      <c r="AC20" s="48">
        <f>IFERROR((TR/(RadSpec!K20*EF_cw*(1/365)*ED_con*def_acf!C20*ET_cw_o*(1/24)*RadSpec!U20))*1,".")</f>
        <v>1972539.6173464973</v>
      </c>
      <c r="AD20" s="69">
        <f>C_*EF_cw*(1/365)*ED_con*(ET_cw_i+ET_cw_o)*(1/24)*RadSpec!U20*def_acf!D20*1</f>
        <v>2.1418820317280977E-2</v>
      </c>
      <c r="AE20" s="69">
        <f>C_*EF_cw*(1/365)*ED_con*(ET_cw_i+ET_cw_o)*(1/24)*RadSpec!V20*def_acf!E20*1</f>
        <v>1.0316514932357693E-2</v>
      </c>
      <c r="AF20" s="69">
        <f>C_*EF_cw*(1/365)*ED_con*(ET_cw_i+ET_cw_o)*(1/24)*RadSpec!W20*def_acf!F20*1</f>
        <v>1.5473729694379247E-2</v>
      </c>
      <c r="AG20" s="69">
        <f>C_*EF_cw*(1/365)*ED_con*(ET_cw_i+ET_cw_o)*(1/24)*RadSpec!X20*def_acf!G20*1</f>
        <v>1.9977168949771688E-2</v>
      </c>
      <c r="AH20" s="69">
        <f>C_*EF_cw*(1/365)*ED_con*(ET_cw_i+ET_cw_o)*(1/24)*RadSpec!T20*def_acf!C20*1</f>
        <v>6.8267100682671E-3</v>
      </c>
      <c r="AI20" s="11"/>
      <c r="AJ20" s="11"/>
      <c r="AK20" s="11"/>
      <c r="AL20" s="11"/>
      <c r="AM20" s="11"/>
      <c r="AN20" s="48" t="str">
        <f>IFERROR(TR/(RadSpec!G20*EF_cw*ED_con*ET_cw_o*(1/24)*IRA_cw),".")</f>
        <v>.</v>
      </c>
      <c r="AO20" s="48">
        <f>IFERROR(TR/(RadSpec!J20*EF_cw*(1/365)*ED_con*ET_cw_o*(1/24)*GSF_a),".")</f>
        <v>12258772.710249672</v>
      </c>
      <c r="AP20" s="48">
        <f t="shared" si="32"/>
        <v>12258772.710249672</v>
      </c>
      <c r="AQ20" s="69">
        <f t="shared" si="7"/>
        <v>5000</v>
      </c>
      <c r="AR20" s="69">
        <f t="shared" si="8"/>
        <v>0.22831050228310501</v>
      </c>
      <c r="AS20" s="10"/>
      <c r="AT20" s="10"/>
      <c r="AU20" s="10"/>
    </row>
    <row r="21" spans="1:47" x14ac:dyDescent="0.25">
      <c r="A21" s="49" t="s">
        <v>31</v>
      </c>
      <c r="B21" s="50" t="s">
        <v>289</v>
      </c>
      <c r="C21" s="48" t="str">
        <f>IFERROR((TR/(RadSpec!I21*EF_cw*ED_con*IRS_cw*(1/1000)))*1,".")</f>
        <v>.</v>
      </c>
      <c r="D21" s="48">
        <f>IFERROR(IF(A21="H-3",(TR/(RadSpec!G21*EF_cw*ED_con*ET_cw_o*(1/24)*IRA_cw*(1/17)*1000))*1,(TR/(RadSpec!G21*EF_cw*ED_con*ET_cw_o*(1/24)*IRA_cw*(1/PEFsc)*1000))*1),".")</f>
        <v>11167.329608684038</v>
      </c>
      <c r="E21" s="48">
        <f>IFERROR((TR/(RadSpec!F21*EF_cw*(1/365)*ED_con*def_acf!D21*ET_cw_o*(1/24)*RadSpec!V21))*1,".")</f>
        <v>711259850.08274543</v>
      </c>
      <c r="F21" s="48">
        <f t="shared" si="30"/>
        <v>11167.154275727209</v>
      </c>
      <c r="G21" s="69">
        <f t="shared" si="1"/>
        <v>82.5</v>
      </c>
      <c r="H21" s="69">
        <f t="shared" si="2"/>
        <v>6.4422246467249371</v>
      </c>
      <c r="I21" s="69">
        <f>C_*EF_cw*(1/365)*ED_con*(ET_cw_i+ET_cw_o)*(1/24)*RadSpec!U21*def_acf!D21*1</f>
        <v>0.20547945205479451</v>
      </c>
      <c r="J21" s="4"/>
      <c r="K21" s="4"/>
      <c r="L21" s="4"/>
      <c r="M21" s="4"/>
      <c r="N21" s="48" t="str">
        <f>IFERROR((TR/(RadSpec!I21*EF_cw*ED_con*IRS_cw*(1/1000)))*1,".")</f>
        <v>.</v>
      </c>
      <c r="O21" s="48">
        <f>IFERROR(IF(A21="H-3",(TR/(RadSpec!G21*EF_cw*ED_con*ET_cw_o*(1/24)*IRA_cw*(1/17)*1000))*1,(TR/(RadSpec!G21*EF_cw*ED_con*ET_cw_o*(1/24)*IRA_cw*(1/PEF__sc)*1000))*1),".")</f>
        <v>1707713.2761027117</v>
      </c>
      <c r="P21" s="48">
        <f>IFERROR((TR/(RadSpec!F21*EF_cw*(1/365)*ED_con*def_acf!D21*ET_cw_o*(1/24)*RadSpec!V21))*1,".")</f>
        <v>711259850.08274543</v>
      </c>
      <c r="Q21" s="48">
        <f t="shared" si="31"/>
        <v>1703622.9292436785</v>
      </c>
      <c r="R21" s="69">
        <f t="shared" si="4"/>
        <v>82.5</v>
      </c>
      <c r="S21" s="69">
        <f t="shared" si="5"/>
        <v>4.2127942114117772E-2</v>
      </c>
      <c r="T21" s="69">
        <f>C_*EF_cw*(1/365)*ED_con*(ET_cw_i+ET_cw_o)*(1/24)*RadSpec!U21*def_acf!D21*1</f>
        <v>0.20547945205479451</v>
      </c>
      <c r="U21" s="11"/>
      <c r="V21" s="11"/>
      <c r="W21" s="11"/>
      <c r="X21" s="11"/>
      <c r="Y21" s="48">
        <f>IFERROR((TR/(RadSpec!F21*EF_cw*(1/365)*ED_con*def_acf!D21*ET_cw_o*(1/24)*RadSpec!V21))*1,".")</f>
        <v>711259850.08274543</v>
      </c>
      <c r="Z21" s="48">
        <f>IFERROR((TR/(RadSpec!M21*EF_cw*(1/365)*ED_con*def_acf!E21*ET_cw_o*(1/24)*RadSpec!R21))*1,".")</f>
        <v>1712681920.3997734</v>
      </c>
      <c r="AA21" s="48">
        <f>IFERROR((TR/(RadSpec!N21*EF_cw*(1/365)*ED_con*def_acf!F21*ET_cw_o*(1/24)*RadSpec!X21))*1,".")</f>
        <v>814059125.29001737</v>
      </c>
      <c r="AB21" s="48">
        <f>IFERROR((TR/(RadSpec!O21*EF_cw*(1/365)*ED_con*def_acf!G21*ET_cw_o*(1/24)*RadSpec!Y21))*1,".")</f>
        <v>713695671.48713851</v>
      </c>
      <c r="AC21" s="48">
        <f>IFERROR((TR/(RadSpec!K21*EF_cw*(1/365)*ED_con*def_acf!C21*ET_cw_o*(1/24)*RadSpec!U21))*1,".")</f>
        <v>918057868.16847777</v>
      </c>
      <c r="AD21" s="69">
        <f>C_*EF_cw*(1/365)*ED_con*(ET_cw_i+ET_cw_o)*(1/24)*RadSpec!U21*def_acf!D21*1</f>
        <v>0.20547945205479451</v>
      </c>
      <c r="AE21" s="69">
        <f>C_*EF_cw*(1/365)*ED_con*(ET_cw_i+ET_cw_o)*(1/24)*RadSpec!V21*def_acf!E21*1</f>
        <v>0.20547945205479451</v>
      </c>
      <c r="AF21" s="69">
        <f>C_*EF_cw*(1/365)*ED_con*(ET_cw_i+ET_cw_o)*(1/24)*RadSpec!W21*def_acf!F21*1</f>
        <v>0.20547945205479451</v>
      </c>
      <c r="AG21" s="69">
        <f>C_*EF_cw*(1/365)*ED_con*(ET_cw_i+ET_cw_o)*(1/24)*RadSpec!X21*def_acf!G21*1</f>
        <v>0.20547945205479451</v>
      </c>
      <c r="AH21" s="69">
        <f>C_*EF_cw*(1/365)*ED_con*(ET_cw_i+ET_cw_o)*(1/24)*RadSpec!T21*def_acf!C21*1</f>
        <v>0.18493150684931506</v>
      </c>
      <c r="AI21" s="11"/>
      <c r="AJ21" s="11"/>
      <c r="AK21" s="11"/>
      <c r="AL21" s="11"/>
      <c r="AM21" s="11"/>
      <c r="AN21" s="48">
        <f>IFERROR(TR/(RadSpec!G21*EF_cw*ED_con*ET_cw_o*(1/24)*IRA_cw),".")</f>
        <v>14.388489208633091</v>
      </c>
      <c r="AO21" s="48">
        <f>IFERROR(TR/(RadSpec!J21*EF_cw*(1/365)*ED_con*ET_cw_o*(1/24)*GSF_a),".")</f>
        <v>110981788441.90532</v>
      </c>
      <c r="AP21" s="48">
        <f t="shared" si="32"/>
        <v>14.388489206767664</v>
      </c>
      <c r="AQ21" s="69">
        <f t="shared" si="7"/>
        <v>5000</v>
      </c>
      <c r="AR21" s="69">
        <f t="shared" si="8"/>
        <v>0.22831050228310501</v>
      </c>
      <c r="AS21" s="10"/>
      <c r="AT21" s="10"/>
      <c r="AU21" s="10"/>
    </row>
    <row r="22" spans="1:47" x14ac:dyDescent="0.25">
      <c r="A22" s="49" t="s">
        <v>32</v>
      </c>
      <c r="B22" s="50" t="s">
        <v>289</v>
      </c>
      <c r="C22" s="48">
        <f>IFERROR((TR/(RadSpec!I22*EF_cw*ED_con*IRS_cw*(1/1000)))*1,".")</f>
        <v>162.98523761210328</v>
      </c>
      <c r="D22" s="48">
        <f>IFERROR(IF(A22="H-3",(TR/(RadSpec!G22*EF_cw*ED_con*ET_cw_o*(1/24)*IRA_cw*(1/17)*1000))*1,(TR/(RadSpec!G22*EF_cw*ED_con*ET_cw_o*(1/24)*IRA_cw*(1/PEFsc)*1000))*1),".")</f>
        <v>5.9339379013229925</v>
      </c>
      <c r="E22" s="48">
        <f>IFERROR((TR/(RadSpec!F22*EF_cw*(1/365)*ED_con*def_acf!D22*ET_cw_o*(1/24)*RadSpec!V22))*1,".")</f>
        <v>7253.7108770662535</v>
      </c>
      <c r="F22" s="48">
        <f t="shared" ref="F22:F23" si="33">(IF(AND(ISNUMBER(C22),ISNUMBER(D22),ISNUMBER(E22)),1/((1/C22)+(1/D22)+(1/E22)),IF(AND(ISNUMBER(C22),ISNUMBER(D22),NOT(ISNUMBER(E22))), 1/((1/C22)+(1/D22)),IF(AND(ISNUMBER(C22),NOT(ISNUMBER(D22)),ISNUMBER(E22)),1/((1/C22)+(1/E22)),IF(AND(NOT(ISNUMBER(C22)),ISNUMBER(D22),ISNUMBER(E22)),1/((1/D22)+(1/E22)),IF(AND(ISNUMBER(C22),NOT(ISNUMBER(D22)),NOT(ISNUMBER(E22))),1/((1/C22)),IF(AND(NOT(ISNUMBER(C22)),NOT(ISNUMBER(D22)),ISNUMBER(E22)),1/((1/E22)),IF(AND(NOT(ISNUMBER(C22)),ISNUMBER(D22),NOT(ISNUMBER(E22))),1/((1/D22)),IF(AND(NOT(ISNUMBER(C22)),NOT(ISNUMBER(D22)),NOT(ISNUMBER(E22))),".")))))))))</f>
        <v>5.7209697682885396</v>
      </c>
      <c r="G22" s="69">
        <f t="shared" si="1"/>
        <v>82.5</v>
      </c>
      <c r="H22" s="69">
        <f t="shared" si="2"/>
        <v>6.4422246467249371</v>
      </c>
      <c r="I22" s="69">
        <f>C_*EF_cw*(1/365)*ED_con*(ET_cw_i+ET_cw_o)*(1/24)*RadSpec!U22*def_acf!D22*1</f>
        <v>2.2575240141718789E-2</v>
      </c>
      <c r="J22" s="4"/>
      <c r="K22" s="4"/>
      <c r="L22" s="4"/>
      <c r="M22" s="4"/>
      <c r="N22" s="48">
        <f>IFERROR((TR/(RadSpec!I22*EF_cw*ED_con*IRS_cw*(1/1000)))*1,".")</f>
        <v>162.98523761210328</v>
      </c>
      <c r="O22" s="48">
        <f>IFERROR(IF(A22="H-3",(TR/(RadSpec!G22*EF_cw*ED_con*ET_cw_o*(1/24)*IRA_cw*(1/17)*1000))*1,(TR/(RadSpec!G22*EF_cw*ED_con*ET_cw_o*(1/24)*IRA_cw*(1/PEF__sc)*1000))*1),".")</f>
        <v>907.42056415871014</v>
      </c>
      <c r="P22" s="48">
        <f>IFERROR((TR/(RadSpec!F22*EF_cw*(1/365)*ED_con*def_acf!D22*ET_cw_o*(1/24)*RadSpec!V22))*1,".")</f>
        <v>7253.7108770662535</v>
      </c>
      <c r="Q22" s="48">
        <f t="shared" ref="Q22:Q23" si="34">(IF(AND(ISNUMBER(N22),ISNUMBER(O22),ISNUMBER(P22)),1/((1/N22)+(1/O22)+(1/P22)),IF(AND(ISNUMBER(N22),ISNUMBER(O22),NOT(ISNUMBER(P22))), 1/((1/N22)+(1/O22)),IF(AND(ISNUMBER(N22),NOT(ISNUMBER(O22)),ISNUMBER(P22)),1/((1/N22)+(1/P22)),IF(AND(NOT(ISNUMBER(N22)),ISNUMBER(O22),ISNUMBER(P22)),1/((1/O22)+(1/P22)),IF(AND(ISNUMBER(N22),NOT(ISNUMBER(O22)),NOT(ISNUMBER(P22))),1/((1/N22)),IF(AND(NOT(ISNUMBER(N22)),NOT(ISNUMBER(O22)),ISNUMBER(P22)),1/((1/P22)),IF(AND(NOT(ISNUMBER(N22)),ISNUMBER(O22),NOT(ISNUMBER(P22))),1/((1/O22)),IF(AND(NOT(ISNUMBER(N22)),NOT(ISNUMBER(O22)),NOT(ISNUMBER(P22))),".")))))))))</f>
        <v>135.58567701306612</v>
      </c>
      <c r="R22" s="69">
        <f t="shared" si="4"/>
        <v>82.5</v>
      </c>
      <c r="S22" s="69">
        <f t="shared" si="5"/>
        <v>4.2127942114117772E-2</v>
      </c>
      <c r="T22" s="69">
        <f>C_*EF_cw*(1/365)*ED_con*(ET_cw_i+ET_cw_o)*(1/24)*RadSpec!U22*def_acf!D22*1</f>
        <v>2.2575240141718789E-2</v>
      </c>
      <c r="U22" s="11"/>
      <c r="V22" s="11"/>
      <c r="W22" s="11"/>
      <c r="X22" s="11"/>
      <c r="Y22" s="48">
        <f>IFERROR((TR/(RadSpec!F22*EF_cw*(1/365)*ED_con*def_acf!D22*ET_cw_o*(1/24)*RadSpec!V22))*1,".")</f>
        <v>7253.7108770662535</v>
      </c>
      <c r="Z22" s="48">
        <f>IFERROR((TR/(RadSpec!M22*EF_cw*(1/365)*ED_con*def_acf!E22*ET_cw_o*(1/24)*RadSpec!R22))*1,".")</f>
        <v>10728.198644995111</v>
      </c>
      <c r="AA22" s="48">
        <f>IFERROR((TR/(RadSpec!N22*EF_cw*(1/365)*ED_con*def_acf!F22*ET_cw_o*(1/24)*RadSpec!X22))*1,".")</f>
        <v>7023.9789790205659</v>
      </c>
      <c r="AB22" s="48">
        <f>IFERROR((TR/(RadSpec!O22*EF_cw*(1/365)*ED_con*def_acf!G22*ET_cw_o*(1/24)*RadSpec!Y22))*1,".")</f>
        <v>6028.5711705217054</v>
      </c>
      <c r="AC22" s="48">
        <f>IFERROR((TR/(RadSpec!K22*EF_cw*(1/365)*ED_con*def_acf!C22*ET_cw_o*(1/24)*RadSpec!U22))*1,".")</f>
        <v>6317.1665380160375</v>
      </c>
      <c r="AD22" s="69">
        <f>C_*EF_cw*(1/365)*ED_con*(ET_cw_i+ET_cw_o)*(1/24)*RadSpec!U22*def_acf!D22*1</f>
        <v>2.2575240141718789E-2</v>
      </c>
      <c r="AE22" s="69">
        <f>C_*EF_cw*(1/365)*ED_con*(ET_cw_i+ET_cw_o)*(1/24)*RadSpec!V22*def_acf!E22*1</f>
        <v>2.0963826789563905E-2</v>
      </c>
      <c r="AF22" s="69">
        <f>C_*EF_cw*(1/365)*ED_con*(ET_cw_i+ET_cw_o)*(1/24)*RadSpec!W22*def_acf!F22*1</f>
        <v>2.344810563988653E-2</v>
      </c>
      <c r="AG22" s="69">
        <f>C_*EF_cw*(1/365)*ED_con*(ET_cw_i+ET_cw_o)*(1/24)*RadSpec!X22*def_acf!G22*1</f>
        <v>2.7215067354444976E-2</v>
      </c>
      <c r="AH22" s="69">
        <f>C_*EF_cw*(1/365)*ED_con*(ET_cw_i+ET_cw_o)*(1/24)*RadSpec!T22*def_acf!C22*1</f>
        <v>1.7909196562958446E-2</v>
      </c>
      <c r="AI22" s="11"/>
      <c r="AJ22" s="11"/>
      <c r="AK22" s="11"/>
      <c r="AL22" s="11"/>
      <c r="AM22" s="11"/>
      <c r="AN22" s="48">
        <f>IFERROR(TR/(RadSpec!G22*EF_cw*ED_con*ET_cw_o*(1/24)*IRA_cw),".")</f>
        <v>7.6455522000076458E-3</v>
      </c>
      <c r="AO22" s="48">
        <f>IFERROR(TR/(RadSpec!J22*EF_cw*(1/365)*ED_con*ET_cw_o*(1/24)*GSF_a),".")</f>
        <v>237416.73729977215</v>
      </c>
      <c r="AP22" s="48">
        <f t="shared" ref="AP22:AP23" si="35">IFERROR(IF(AND(ISNUMBER(AN22),ISNUMBER(AO22)),1/((1/AN22)+(1/AO22)),IF(AND(ISNUMBER(AN22),NOT(ISNUMBER(AO22))),1/((1/AN22)),IF(AND(NOT(ISNUMBER(AN22)),ISNUMBER(AO22)),1/((1/AO22)),IF(AND(NOT(ISNUMBER(AN22)),NOT(ISNUMBER(AO22))),".")))),".")</f>
        <v>7.6455519537972604E-3</v>
      </c>
      <c r="AQ22" s="69">
        <f t="shared" si="7"/>
        <v>5000</v>
      </c>
      <c r="AR22" s="69">
        <f t="shared" si="8"/>
        <v>0.22831050228310501</v>
      </c>
      <c r="AS22" s="10"/>
      <c r="AT22" s="10"/>
      <c r="AU22" s="10"/>
    </row>
    <row r="23" spans="1:47" x14ac:dyDescent="0.25">
      <c r="A23" s="51" t="s">
        <v>33</v>
      </c>
      <c r="B23" s="50" t="s">
        <v>275</v>
      </c>
      <c r="C23" s="48">
        <f>IFERROR((TR/(RadSpec!I23*EF_cw*ED_con*IRS_cw*(1/1000)))*1,".")</f>
        <v>41.155820050292412</v>
      </c>
      <c r="D23" s="48">
        <f>IFERROR(IF(A23="H-3",(TR/(RadSpec!G23*EF_cw*ED_con*ET_cw_o*(1/24)*IRA_cw*(1/17)*1000))*1,(TR/(RadSpec!G23*EF_cw*ED_con*ET_cw_o*(1/24)*IRA_cw*(1/PEFsc)*1000))*1),".")</f>
        <v>5.5128700344748429</v>
      </c>
      <c r="E23" s="48">
        <f>IFERROR((TR/(RadSpec!F23*EF_cw*(1/365)*ED_con*def_acf!D23*ET_cw_o*(1/24)*RadSpec!V23))*1,".")</f>
        <v>2215.8010025532585</v>
      </c>
      <c r="F23" s="48">
        <f t="shared" si="33"/>
        <v>4.8510032908144867</v>
      </c>
      <c r="G23" s="69">
        <f t="shared" si="1"/>
        <v>82.5</v>
      </c>
      <c r="H23" s="69">
        <f t="shared" si="2"/>
        <v>6.4422246467249371</v>
      </c>
      <c r="I23" s="69">
        <f>C_*EF_cw*(1/365)*ED_con*(ET_cw_i+ET_cw_o)*(1/24)*RadSpec!U23*def_acf!D23*1</f>
        <v>1.8061332214039497E-2</v>
      </c>
      <c r="J23" s="4"/>
      <c r="K23" s="4"/>
      <c r="L23" s="4"/>
      <c r="M23" s="4"/>
      <c r="N23" s="48">
        <f>IFERROR((TR/(RadSpec!I23*EF_cw*ED_con*IRS_cw*(1/1000)))*1,".")</f>
        <v>41.155820050292412</v>
      </c>
      <c r="O23" s="48">
        <f>IFERROR(IF(A23="H-3",(TR/(RadSpec!G23*EF_cw*ED_con*ET_cw_o*(1/24)*IRA_cw*(1/17)*1000))*1,(TR/(RadSpec!G23*EF_cw*ED_con*ET_cw_o*(1/24)*IRA_cw*(1/PEF__sc)*1000))*1),".")</f>
        <v>843.03066867307223</v>
      </c>
      <c r="P23" s="48">
        <f>IFERROR((TR/(RadSpec!F23*EF_cw*(1/365)*ED_con*def_acf!D23*ET_cw_o*(1/24)*RadSpec!V23))*1,".")</f>
        <v>2215.8010025532585</v>
      </c>
      <c r="Q23" s="48">
        <f t="shared" si="34"/>
        <v>38.557337828466494</v>
      </c>
      <c r="R23" s="69">
        <f t="shared" si="4"/>
        <v>82.5</v>
      </c>
      <c r="S23" s="69">
        <f t="shared" si="5"/>
        <v>4.2127942114117772E-2</v>
      </c>
      <c r="T23" s="69">
        <f>C_*EF_cw*(1/365)*ED_con*(ET_cw_i+ET_cw_o)*(1/24)*RadSpec!U23*def_acf!D23*1</f>
        <v>1.8061332214039497E-2</v>
      </c>
      <c r="U23" s="11"/>
      <c r="V23" s="11"/>
      <c r="W23" s="11"/>
      <c r="X23" s="11"/>
      <c r="Y23" s="48">
        <f>IFERROR((TR/(RadSpec!F23*EF_cw*(1/365)*ED_con*def_acf!D23*ET_cw_o*(1/24)*RadSpec!V23))*1,".")</f>
        <v>2215.8010025532585</v>
      </c>
      <c r="Z23" s="48">
        <f>IFERROR((TR/(RadSpec!M23*EF_cw*(1/365)*ED_con*def_acf!E23*ET_cw_o*(1/24)*RadSpec!R23))*1,".")</f>
        <v>12605.713437677985</v>
      </c>
      <c r="AA23" s="48">
        <f>IFERROR((TR/(RadSpec!N23*EF_cw*(1/365)*ED_con*def_acf!F23*ET_cw_o*(1/24)*RadSpec!X23))*1,".")</f>
        <v>3532.2057597787625</v>
      </c>
      <c r="AB23" s="48">
        <f>IFERROR((TR/(RadSpec!O23*EF_cw*(1/365)*ED_con*def_acf!G23*ET_cw_o*(1/24)*RadSpec!Y23))*1,".")</f>
        <v>2075.4834458618898</v>
      </c>
      <c r="AC23" s="48">
        <f>IFERROR((TR/(RadSpec!K23*EF_cw*(1/365)*ED_con*def_acf!C23*ET_cw_o*(1/24)*RadSpec!U23))*1,".")</f>
        <v>14176.377572692578</v>
      </c>
      <c r="AD23" s="69">
        <f>C_*EF_cw*(1/365)*ED_con*(ET_cw_i+ET_cw_o)*(1/24)*RadSpec!U23*def_acf!D23*1</f>
        <v>1.8061332214039497E-2</v>
      </c>
      <c r="AE23" s="69">
        <f>C_*EF_cw*(1/365)*ED_con*(ET_cw_i+ET_cw_o)*(1/24)*RadSpec!V23*def_acf!E23*1</f>
        <v>1.2525849745319291E-2</v>
      </c>
      <c r="AF23" s="69">
        <f>C_*EF_cw*(1/365)*ED_con*(ET_cw_i+ET_cw_o)*(1/24)*RadSpec!W23*def_acf!F23*1</f>
        <v>1.6349601186513903E-2</v>
      </c>
      <c r="AG23" s="69">
        <f>C_*EF_cw*(1/365)*ED_con*(ET_cw_i+ET_cw_o)*(1/24)*RadSpec!X23*def_acf!G23*1</f>
        <v>1.9838631023629018E-2</v>
      </c>
      <c r="AH23" s="69">
        <f>C_*EF_cw*(1/365)*ED_con*(ET_cw_i+ET_cw_o)*(1/24)*RadSpec!T23*def_acf!C23*1</f>
        <v>1.1292114031840068E-2</v>
      </c>
      <c r="AI23" s="11"/>
      <c r="AJ23" s="11"/>
      <c r="AK23" s="11"/>
      <c r="AL23" s="11"/>
      <c r="AM23" s="11"/>
      <c r="AN23" s="48">
        <f>IFERROR(TR/(RadSpec!G23*EF_cw*ED_con*ET_cw_o*(1/24)*IRA_cw),".")</f>
        <v>7.103029442057038E-3</v>
      </c>
      <c r="AO23" s="48">
        <f>IFERROR(TR/(RadSpec!J23*EF_cw*(1/365)*ED_con*ET_cw_o*(1/24)*GSF_a),".")</f>
        <v>153737.06759575411</v>
      </c>
      <c r="AP23" s="48">
        <f t="shared" si="35"/>
        <v>7.1030291138796777E-3</v>
      </c>
      <c r="AQ23" s="69">
        <f t="shared" si="7"/>
        <v>5000</v>
      </c>
      <c r="AR23" s="69">
        <f t="shared" si="8"/>
        <v>0.22831050228310501</v>
      </c>
      <c r="AS23" s="10"/>
      <c r="AT23" s="10"/>
      <c r="AU23" s="10"/>
    </row>
    <row r="24" spans="1:47" x14ac:dyDescent="0.25">
      <c r="A24" s="49" t="s">
        <v>34</v>
      </c>
      <c r="B24" s="50" t="s">
        <v>289</v>
      </c>
      <c r="C24" s="48" t="str">
        <f>IFERROR((TR/(RadSpec!I24*EF_cw*ED_con*IRS_cw*(1/1000)))*1,".")</f>
        <v>.</v>
      </c>
      <c r="D24" s="48" t="str">
        <f>IFERROR(IF(A24="H-3",(TR/(RadSpec!G24*EF_cw*ED_con*ET_cw_o*(1/24)*IRA_cw*(1/17)*1000))*1,(TR/(RadSpec!G24*EF_cw*ED_con*ET_cw_o*(1/24)*IRA_cw*(1/PEFsc)*1000))*1),".")</f>
        <v>.</v>
      </c>
      <c r="E24" s="48">
        <f>IFERROR((TR/(RadSpec!F24*EF_cw*(1/365)*ED_con*def_acf!D24*ET_cw_o*(1/24)*RadSpec!V24))*1,".")</f>
        <v>15034.975737376082</v>
      </c>
      <c r="F24" s="48">
        <f t="shared" ref="F24:F25" si="36">(IF(AND(ISNUMBER(C24),ISNUMBER(D24),ISNUMBER(E24)),1/((1/C24)+(1/D24)+(1/E24)),IF(AND(ISNUMBER(C24),ISNUMBER(D24),NOT(ISNUMBER(E24))), 1/((1/C24)+(1/D24)),IF(AND(ISNUMBER(C24),NOT(ISNUMBER(D24)),ISNUMBER(E24)),1/((1/C24)+(1/E24)),IF(AND(NOT(ISNUMBER(C24)),ISNUMBER(D24),ISNUMBER(E24)),1/((1/D24)+(1/E24)),IF(AND(ISNUMBER(C24),NOT(ISNUMBER(D24)),NOT(ISNUMBER(E24))),1/((1/C24)),IF(AND(NOT(ISNUMBER(C24)),NOT(ISNUMBER(D24)),ISNUMBER(E24)),1/((1/E24)),IF(AND(NOT(ISNUMBER(C24)),ISNUMBER(D24),NOT(ISNUMBER(E24))),1/((1/D24)),IF(AND(NOT(ISNUMBER(C24)),NOT(ISNUMBER(D24)),NOT(ISNUMBER(E24))),".")))))))))</f>
        <v>15034.97573737608</v>
      </c>
      <c r="G24" s="69">
        <f t="shared" si="1"/>
        <v>82.5</v>
      </c>
      <c r="H24" s="69">
        <f t="shared" si="2"/>
        <v>6.4422246467249371</v>
      </c>
      <c r="I24" s="69">
        <f>C_*EF_cw*(1/365)*ED_con*(ET_cw_i+ET_cw_o)*(1/24)*RadSpec!U24*def_acf!D24*1</f>
        <v>1.9642356062345344E-2</v>
      </c>
      <c r="J24" s="4"/>
      <c r="K24" s="4"/>
      <c r="L24" s="4"/>
      <c r="M24" s="4"/>
      <c r="N24" s="48" t="str">
        <f>IFERROR((TR/(RadSpec!I24*EF_cw*ED_con*IRS_cw*(1/1000)))*1,".")</f>
        <v>.</v>
      </c>
      <c r="O24" s="48" t="str">
        <f>IFERROR(IF(A24="H-3",(TR/(RadSpec!G24*EF_cw*ED_con*ET_cw_o*(1/24)*IRA_cw*(1/17)*1000))*1,(TR/(RadSpec!G24*EF_cw*ED_con*ET_cw_o*(1/24)*IRA_cw*(1/PEF__sc)*1000))*1),".")</f>
        <v>.</v>
      </c>
      <c r="P24" s="48">
        <f>IFERROR((TR/(RadSpec!F24*EF_cw*(1/365)*ED_con*def_acf!D24*ET_cw_o*(1/24)*RadSpec!V24))*1,".")</f>
        <v>15034.975737376082</v>
      </c>
      <c r="Q24" s="48">
        <f t="shared" ref="Q24:Q25" si="37">(IF(AND(ISNUMBER(N24),ISNUMBER(O24),ISNUMBER(P24)),1/((1/N24)+(1/O24)+(1/P24)),IF(AND(ISNUMBER(N24),ISNUMBER(O24),NOT(ISNUMBER(P24))), 1/((1/N24)+(1/O24)),IF(AND(ISNUMBER(N24),NOT(ISNUMBER(O24)),ISNUMBER(P24)),1/((1/N24)+(1/P24)),IF(AND(NOT(ISNUMBER(N24)),ISNUMBER(O24),ISNUMBER(P24)),1/((1/O24)+(1/P24)),IF(AND(ISNUMBER(N24),NOT(ISNUMBER(O24)),NOT(ISNUMBER(P24))),1/((1/N24)),IF(AND(NOT(ISNUMBER(N24)),NOT(ISNUMBER(O24)),ISNUMBER(P24)),1/((1/P24)),IF(AND(NOT(ISNUMBER(N24)),ISNUMBER(O24),NOT(ISNUMBER(P24))),1/((1/O24)),IF(AND(NOT(ISNUMBER(N24)),NOT(ISNUMBER(O24)),NOT(ISNUMBER(P24))),".")))))))))</f>
        <v>15034.97573737608</v>
      </c>
      <c r="R24" s="69">
        <f t="shared" si="4"/>
        <v>82.5</v>
      </c>
      <c r="S24" s="69">
        <f t="shared" si="5"/>
        <v>4.2127942114117772E-2</v>
      </c>
      <c r="T24" s="69">
        <f>C_*EF_cw*(1/365)*ED_con*(ET_cw_i+ET_cw_o)*(1/24)*RadSpec!U24*def_acf!D24*1</f>
        <v>1.9642356062345344E-2</v>
      </c>
      <c r="U24" s="11"/>
      <c r="V24" s="11"/>
      <c r="W24" s="11"/>
      <c r="X24" s="11"/>
      <c r="Y24" s="48">
        <f>IFERROR((TR/(RadSpec!F24*EF_cw*(1/365)*ED_con*def_acf!D24*ET_cw_o*(1/24)*RadSpec!V24))*1,".")</f>
        <v>15034.975737376082</v>
      </c>
      <c r="Z24" s="48">
        <f>IFERROR((TR/(RadSpec!M24*EF_cw*(1/365)*ED_con*def_acf!E24*ET_cw_o*(1/24)*RadSpec!R24))*1,".")</f>
        <v>134848.42278490728</v>
      </c>
      <c r="AA24" s="48">
        <f>IFERROR((TR/(RadSpec!N24*EF_cw*(1/365)*ED_con*def_acf!F24*ET_cw_o*(1/24)*RadSpec!X24))*1,".")</f>
        <v>32872.482773615935</v>
      </c>
      <c r="AB24" s="48">
        <f>IFERROR((TR/(RadSpec!O24*EF_cw*(1/365)*ED_con*def_acf!G24*ET_cw_o*(1/24)*RadSpec!Y24))*1,".")</f>
        <v>16488.722854225933</v>
      </c>
      <c r="AC24" s="48">
        <f>IFERROR((TR/(RadSpec!K24*EF_cw*(1/365)*ED_con*def_acf!C24*ET_cw_o*(1/24)*RadSpec!U24))*1,".")</f>
        <v>204687.79041355819</v>
      </c>
      <c r="AD24" s="69">
        <f>C_*EF_cw*(1/365)*ED_con*(ET_cw_i+ET_cw_o)*(1/24)*RadSpec!U24*def_acf!D24*1</f>
        <v>1.9642356062345344E-2</v>
      </c>
      <c r="AE24" s="69">
        <f>C_*EF_cw*(1/365)*ED_con*(ET_cw_i+ET_cw_o)*(1/24)*RadSpec!V24*def_acf!E24*1</f>
        <v>1.0641911015510023E-2</v>
      </c>
      <c r="AF24" s="69">
        <f>C_*EF_cw*(1/365)*ED_con*(ET_cw_i+ET_cw_o)*(1/24)*RadSpec!W24*def_acf!F24*1</f>
        <v>1.5507883173946758E-2</v>
      </c>
      <c r="AG24" s="69">
        <f>C_*EF_cw*(1/365)*ED_con*(ET_cw_i+ET_cw_o)*(1/24)*RadSpec!X24*def_acf!G24*1</f>
        <v>1.9977168949771688E-2</v>
      </c>
      <c r="AH24" s="69">
        <f>C_*EF_cw*(1/365)*ED_con*(ET_cw_i+ET_cw_o)*(1/24)*RadSpec!T24*def_acf!C24*1</f>
        <v>7.1768491224013919E-3</v>
      </c>
      <c r="AI24" s="11"/>
      <c r="AJ24" s="11"/>
      <c r="AK24" s="11"/>
      <c r="AL24" s="11"/>
      <c r="AM24" s="11"/>
      <c r="AN24" s="48" t="str">
        <f>IFERROR(TR/(RadSpec!G24*EF_cw*ED_con*ET_cw_o*(1/24)*IRA_cw),".")</f>
        <v>.</v>
      </c>
      <c r="AO24" s="48">
        <f>IFERROR(TR/(RadSpec!J24*EF_cw*(1/365)*ED_con*ET_cw_o*(1/24)*GSF_a),".")</f>
        <v>1374060.2378521611</v>
      </c>
      <c r="AP24" s="48">
        <f t="shared" ref="AP24:AP25" si="38">IFERROR(IF(AND(ISNUMBER(AN24),ISNUMBER(AO24)),1/((1/AN24)+(1/AO24)),IF(AND(ISNUMBER(AN24),NOT(ISNUMBER(AO24))),1/((1/AN24)),IF(AND(NOT(ISNUMBER(AN24)),ISNUMBER(AO24)),1/((1/AO24)),IF(AND(NOT(ISNUMBER(AN24)),NOT(ISNUMBER(AO24))),".")))),".")</f>
        <v>1374060.2378521611</v>
      </c>
      <c r="AQ24" s="69">
        <f t="shared" si="7"/>
        <v>5000</v>
      </c>
      <c r="AR24" s="69">
        <f t="shared" si="8"/>
        <v>0.22831050228310501</v>
      </c>
      <c r="AS24" s="10"/>
      <c r="AT24" s="10"/>
      <c r="AU24" s="10"/>
    </row>
    <row r="25" spans="1:47" x14ac:dyDescent="0.25">
      <c r="A25" s="51" t="s">
        <v>35</v>
      </c>
      <c r="B25" s="50" t="s">
        <v>275</v>
      </c>
      <c r="C25" s="48" t="str">
        <f>IFERROR((TR/(RadSpec!I25*EF_cw*ED_con*IRS_cw*(1/1000)))*1,".")</f>
        <v>.</v>
      </c>
      <c r="D25" s="48">
        <f>IFERROR(IF(A25="H-3",(TR/(RadSpec!G25*EF_cw*ED_con*ET_cw_o*(1/24)*IRA_cw*(1/17)*1000))*1,(TR/(RadSpec!G25*EF_cw*ED_con*ET_cw_o*(1/24)*IRA_cw*(1/PEFsc)*1000))*1),".")</f>
        <v>68081.527000310583</v>
      </c>
      <c r="E25" s="48">
        <f>IFERROR((TR/(RadSpec!F25*EF_cw*(1/365)*ED_con*def_acf!D25*ET_cw_o*(1/24)*RadSpec!V25))*1,".")</f>
        <v>29759.22754488196</v>
      </c>
      <c r="F25" s="48">
        <f t="shared" si="36"/>
        <v>20707.66587015062</v>
      </c>
      <c r="G25" s="69">
        <f t="shared" si="1"/>
        <v>82.5</v>
      </c>
      <c r="H25" s="69">
        <f t="shared" si="2"/>
        <v>6.4422246467249371</v>
      </c>
      <c r="I25" s="69">
        <f>C_*EF_cw*(1/365)*ED_con*(ET_cw_i+ET_cw_o)*(1/24)*RadSpec!U25*def_acf!D25*1</f>
        <v>1.9847447073474474E-2</v>
      </c>
      <c r="J25" s="4"/>
      <c r="K25" s="4"/>
      <c r="L25" s="4"/>
      <c r="M25" s="4"/>
      <c r="N25" s="48" t="str">
        <f>IFERROR((TR/(RadSpec!I25*EF_cw*ED_con*IRS_cw*(1/1000)))*1,".")</f>
        <v>.</v>
      </c>
      <c r="O25" s="48">
        <f>IFERROR(IF(A25="H-3",(TR/(RadSpec!G25*EF_cw*ED_con*ET_cw_o*(1/24)*IRA_cw*(1/17)*1000))*1,(TR/(RadSpec!G25*EF_cw*ED_con*ET_cw_o*(1/24)*IRA_cw*(1/PEF__sc)*1000))*1),".")</f>
        <v>10411059.007819165</v>
      </c>
      <c r="P25" s="48">
        <f>IFERROR((TR/(RadSpec!F25*EF_cw*(1/365)*ED_con*def_acf!D25*ET_cw_o*(1/24)*RadSpec!V25))*1,".")</f>
        <v>29759.22754488196</v>
      </c>
      <c r="Q25" s="48">
        <f t="shared" si="37"/>
        <v>29674.405493189839</v>
      </c>
      <c r="R25" s="69">
        <f t="shared" si="4"/>
        <v>82.5</v>
      </c>
      <c r="S25" s="69">
        <f t="shared" si="5"/>
        <v>4.2127942114117772E-2</v>
      </c>
      <c r="T25" s="69">
        <f>C_*EF_cw*(1/365)*ED_con*(ET_cw_i+ET_cw_o)*(1/24)*RadSpec!U25*def_acf!D25*1</f>
        <v>1.9847447073474474E-2</v>
      </c>
      <c r="U25" s="11"/>
      <c r="V25" s="11"/>
      <c r="W25" s="11"/>
      <c r="X25" s="11"/>
      <c r="Y25" s="48">
        <f>IFERROR((TR/(RadSpec!F25*EF_cw*(1/365)*ED_con*def_acf!D25*ET_cw_o*(1/24)*RadSpec!V25))*1,".")</f>
        <v>29759.22754488196</v>
      </c>
      <c r="Z25" s="48">
        <f>IFERROR((TR/(RadSpec!M25*EF_cw*(1/365)*ED_con*def_acf!E25*ET_cw_o*(1/24)*RadSpec!R25))*1,".")</f>
        <v>258677.37734364095</v>
      </c>
      <c r="AA25" s="48">
        <f>IFERROR((TR/(RadSpec!N25*EF_cw*(1/365)*ED_con*def_acf!F25*ET_cw_o*(1/24)*RadSpec!X25))*1,".")</f>
        <v>62465.669317942309</v>
      </c>
      <c r="AB25" s="48">
        <f>IFERROR((TR/(RadSpec!O25*EF_cw*(1/365)*ED_con*def_acf!G25*ET_cw_o*(1/24)*RadSpec!Y25))*1,".")</f>
        <v>32993.590197953672</v>
      </c>
      <c r="AC25" s="48">
        <f>IFERROR((TR/(RadSpec!K25*EF_cw*(1/365)*ED_con*def_acf!C25*ET_cw_o*(1/24)*RadSpec!U25))*1,".")</f>
        <v>398362.96395730542</v>
      </c>
      <c r="AD25" s="69">
        <f>C_*EF_cw*(1/365)*ED_con*(ET_cw_i+ET_cw_o)*(1/24)*RadSpec!U25*def_acf!D25*1</f>
        <v>1.9847447073474474E-2</v>
      </c>
      <c r="AE25" s="69">
        <f>C_*EF_cw*(1/365)*ED_con*(ET_cw_i+ET_cw_o)*(1/24)*RadSpec!V25*def_acf!E25*1</f>
        <v>1.0833842305790662E-2</v>
      </c>
      <c r="AF25" s="69">
        <f>C_*EF_cw*(1/365)*ED_con*(ET_cw_i+ET_cw_o)*(1/24)*RadSpec!W25*def_acf!F25*1</f>
        <v>1.5898061153744997E-2</v>
      </c>
      <c r="AG25" s="69">
        <f>C_*EF_cw*(1/365)*ED_con*(ET_cw_i+ET_cw_o)*(1/24)*RadSpec!X25*def_acf!G25*1</f>
        <v>1.9664857413629701E-2</v>
      </c>
      <c r="AH25" s="69">
        <f>C_*EF_cw*(1/365)*ED_con*(ET_cw_i+ET_cw_o)*(1/24)*RadSpec!T25*def_acf!C25*1</f>
        <v>7.166285383534087E-3</v>
      </c>
      <c r="AI25" s="11"/>
      <c r="AJ25" s="11"/>
      <c r="AK25" s="11"/>
      <c r="AL25" s="11"/>
      <c r="AM25" s="11"/>
      <c r="AN25" s="48">
        <f>IFERROR(TR/(RadSpec!G25*EF_cw*ED_con*ET_cw_o*(1/24)*IRA_cw),".")</f>
        <v>87.719298245614041</v>
      </c>
      <c r="AO25" s="48">
        <f>IFERROR(TR/(RadSpec!J25*EF_cw*(1/365)*ED_con*ET_cw_o*(1/24)*GSF_a),".")</f>
        <v>2698693.8484434532</v>
      </c>
      <c r="AP25" s="48">
        <f t="shared" si="38"/>
        <v>87.716447079229681</v>
      </c>
      <c r="AQ25" s="69">
        <f t="shared" si="7"/>
        <v>5000</v>
      </c>
      <c r="AR25" s="69">
        <f t="shared" si="8"/>
        <v>0.22831050228310501</v>
      </c>
      <c r="AS25" s="10"/>
      <c r="AT25" s="10"/>
      <c r="AU25" s="10"/>
    </row>
    <row r="26" spans="1:47" x14ac:dyDescent="0.25">
      <c r="A26" s="49" t="s">
        <v>36</v>
      </c>
      <c r="B26" s="50" t="s">
        <v>289</v>
      </c>
      <c r="C26" s="48">
        <f>IFERROR((TR/(RadSpec!I26*EF_cw*ED_con*IRS_cw*(1/1000)))*1,".")</f>
        <v>61.579008947429998</v>
      </c>
      <c r="D26" s="48">
        <f>IFERROR(IF(A26="H-3",(TR/(RadSpec!G26*EF_cw*ED_con*ET_cw_o*(1/24)*IRA_cw*(1/17)*1000))*1,(TR/(RadSpec!G26*EF_cw*ED_con*ET_cw_o*(1/24)*IRA_cw*(1/PEFsc)*1000))*1),".")</f>
        <v>0.88883349496511765</v>
      </c>
      <c r="E26" s="48">
        <f>IFERROR((TR/(RadSpec!F26*EF_cw*(1/365)*ED_con*def_acf!D26*ET_cw_o*(1/24)*RadSpec!V26))*1,".")</f>
        <v>218.73414757792631</v>
      </c>
      <c r="F26" s="48">
        <f t="shared" ref="F26:F29" si="39">(IF(AND(ISNUMBER(C26),ISNUMBER(D26),ISNUMBER(E26)),1/((1/C26)+(1/D26)+(1/E26)),IF(AND(ISNUMBER(C26),ISNUMBER(D26),NOT(ISNUMBER(E26))), 1/((1/C26)+(1/D26)),IF(AND(ISNUMBER(C26),NOT(ISNUMBER(D26)),ISNUMBER(E26)),1/((1/C26)+(1/E26)),IF(AND(NOT(ISNUMBER(C26)),ISNUMBER(D26),ISNUMBER(E26)),1/((1/D26)+(1/E26)),IF(AND(ISNUMBER(C26),NOT(ISNUMBER(D26)),NOT(ISNUMBER(E26))),1/((1/C26)),IF(AND(NOT(ISNUMBER(C26)),NOT(ISNUMBER(D26)),ISNUMBER(E26)),1/((1/E26)),IF(AND(NOT(ISNUMBER(C26)),ISNUMBER(D26),NOT(ISNUMBER(E26))),1/((1/D26)),IF(AND(NOT(ISNUMBER(C26)),NOT(ISNUMBER(D26)),NOT(ISNUMBER(E26))),".")))))))))</f>
        <v>0.87269083765041178</v>
      </c>
      <c r="G26" s="69">
        <f t="shared" si="1"/>
        <v>82.5</v>
      </c>
      <c r="H26" s="69">
        <f t="shared" si="2"/>
        <v>6.4422246467249371</v>
      </c>
      <c r="I26" s="69">
        <f>C_*EF_cw*(1/365)*ED_con*(ET_cw_i+ET_cw_o)*(1/24)*RadSpec!U26*def_acf!D26*1</f>
        <v>2.0392782728199679E-2</v>
      </c>
      <c r="J26" s="4"/>
      <c r="K26" s="4"/>
      <c r="L26" s="4"/>
      <c r="M26" s="4"/>
      <c r="N26" s="48">
        <f>IFERROR((TR/(RadSpec!I26*EF_cw*ED_con*IRS_cw*(1/1000)))*1,".")</f>
        <v>61.579008947429998</v>
      </c>
      <c r="O26" s="48">
        <f>IFERROR(IF(A26="H-3",(TR/(RadSpec!G26*EF_cw*ED_con*ET_cw_o*(1/24)*IRA_cw*(1/17)*1000))*1,(TR/(RadSpec!G26*EF_cw*ED_con*ET_cw_o*(1/24)*IRA_cw*(1/PEF__sc)*1000))*1),".")</f>
        <v>135.92083450428137</v>
      </c>
      <c r="P26" s="48">
        <f>IFERROR((TR/(RadSpec!F26*EF_cw*(1/365)*ED_con*def_acf!D26*ET_cw_o*(1/24)*RadSpec!V26))*1,".")</f>
        <v>218.73414757792631</v>
      </c>
      <c r="Q26" s="48">
        <f t="shared" ref="Q26:Q29" si="40">(IF(AND(ISNUMBER(N26),ISNUMBER(O26),ISNUMBER(P26)),1/((1/N26)+(1/O26)+(1/P26)),IF(AND(ISNUMBER(N26),ISNUMBER(O26),NOT(ISNUMBER(P26))), 1/((1/N26)+(1/O26)),IF(AND(ISNUMBER(N26),NOT(ISNUMBER(O26)),ISNUMBER(P26)),1/((1/N26)+(1/P26)),IF(AND(NOT(ISNUMBER(N26)),ISNUMBER(O26),ISNUMBER(P26)),1/((1/O26)+(1/P26)),IF(AND(ISNUMBER(N26),NOT(ISNUMBER(O26)),NOT(ISNUMBER(P26))),1/((1/N26)),IF(AND(NOT(ISNUMBER(N26)),NOT(ISNUMBER(O26)),ISNUMBER(P26)),1/((1/P26)),IF(AND(NOT(ISNUMBER(N26)),ISNUMBER(O26),NOT(ISNUMBER(P26))),1/((1/O26)),IF(AND(NOT(ISNUMBER(N26)),NOT(ISNUMBER(O26)),NOT(ISNUMBER(P26))),".")))))))))</f>
        <v>35.500920504154216</v>
      </c>
      <c r="R26" s="69">
        <f t="shared" si="4"/>
        <v>82.5</v>
      </c>
      <c r="S26" s="69">
        <f t="shared" si="5"/>
        <v>4.2127942114117772E-2</v>
      </c>
      <c r="T26" s="69">
        <f>C_*EF_cw*(1/365)*ED_con*(ET_cw_i+ET_cw_o)*(1/24)*RadSpec!U26*def_acf!D26*1</f>
        <v>2.0392782728199679E-2</v>
      </c>
      <c r="U26" s="11"/>
      <c r="V26" s="11"/>
      <c r="W26" s="11"/>
      <c r="X26" s="11"/>
      <c r="Y26" s="48">
        <f>IFERROR((TR/(RadSpec!F26*EF_cw*(1/365)*ED_con*def_acf!D26*ET_cw_o*(1/24)*RadSpec!V26))*1,".")</f>
        <v>218.73414757792631</v>
      </c>
      <c r="Z26" s="48">
        <f>IFERROR((TR/(RadSpec!M26*EF_cw*(1/365)*ED_con*def_acf!E26*ET_cw_o*(1/24)*RadSpec!R26))*1,".")</f>
        <v>750.89767982552655</v>
      </c>
      <c r="AA26" s="48">
        <f>IFERROR((TR/(RadSpec!N26*EF_cw*(1/365)*ED_con*def_acf!F26*ET_cw_o*(1/24)*RadSpec!X26))*1,".")</f>
        <v>296.13081041040209</v>
      </c>
      <c r="AB26" s="48">
        <f>IFERROR((TR/(RadSpec!O26*EF_cw*(1/365)*ED_con*def_acf!G26*ET_cw_o*(1/24)*RadSpec!Y26))*1,".")</f>
        <v>213.81505596785323</v>
      </c>
      <c r="AC26" s="48">
        <f>IFERROR((TR/(RadSpec!K26*EF_cw*(1/365)*ED_con*def_acf!C26*ET_cw_o*(1/24)*RadSpec!U26))*1,".")</f>
        <v>700.96649419528887</v>
      </c>
      <c r="AD26" s="69">
        <f>C_*EF_cw*(1/365)*ED_con*(ET_cw_i+ET_cw_o)*(1/24)*RadSpec!U26*def_acf!D26*1</f>
        <v>2.0392782728199679E-2</v>
      </c>
      <c r="AE26" s="69">
        <f>C_*EF_cw*(1/365)*ED_con*(ET_cw_i+ET_cw_o)*(1/24)*RadSpec!V26*def_acf!E26*1</f>
        <v>1.9691780821917807E-2</v>
      </c>
      <c r="AF26" s="69">
        <f>C_*EF_cw*(1/365)*ED_con*(ET_cw_i+ET_cw_o)*(1/24)*RadSpec!W26*def_acf!F26*1</f>
        <v>1.9795227520356642E-2</v>
      </c>
      <c r="AG26" s="69">
        <f>C_*EF_cw*(1/365)*ED_con*(ET_cw_i+ET_cw_o)*(1/24)*RadSpec!X26*def_acf!G26*1</f>
        <v>2.1081544463689018E-2</v>
      </c>
      <c r="AH26" s="69">
        <f>C_*EF_cw*(1/365)*ED_con*(ET_cw_i+ET_cw_o)*(1/24)*RadSpec!T26*def_acf!C26*1</f>
        <v>2.0161573586231118E-2</v>
      </c>
      <c r="AI26" s="11"/>
      <c r="AJ26" s="11"/>
      <c r="AK26" s="11"/>
      <c r="AL26" s="11"/>
      <c r="AM26" s="11"/>
      <c r="AN26" s="48">
        <f>IFERROR(TR/(RadSpec!G26*EF_cw*ED_con*ET_cw_o*(1/24)*IRA_cw),".")</f>
        <v>1.1452130096197893E-3</v>
      </c>
      <c r="AO26" s="48">
        <f>IFERROR(TR/(RadSpec!J26*EF_cw*(1/365)*ED_con*ET_cw_o*(1/24)*GSF_a),".")</f>
        <v>14596.048440997663</v>
      </c>
      <c r="AP26" s="48">
        <f t="shared" ref="AP26:AP29" si="41">IFERROR(IF(AND(ISNUMBER(AN26),ISNUMBER(AO26)),1/((1/AN26)+(1/AO26)),IF(AND(ISNUMBER(AN26),NOT(ISNUMBER(AO26))),1/((1/AN26)),IF(AND(NOT(ISNUMBER(AN26)),ISNUMBER(AO26)),1/((1/AO26)),IF(AND(NOT(ISNUMBER(AN26)),NOT(ISNUMBER(AO26))),".")))),".")</f>
        <v>1.1452129197658306E-3</v>
      </c>
      <c r="AQ26" s="69">
        <f t="shared" si="7"/>
        <v>5000</v>
      </c>
      <c r="AR26" s="69">
        <f t="shared" si="8"/>
        <v>0.22831050228310501</v>
      </c>
      <c r="AS26" s="10"/>
      <c r="AT26" s="10"/>
      <c r="AU26" s="10"/>
    </row>
    <row r="27" spans="1:47" x14ac:dyDescent="0.25">
      <c r="A27" s="49" t="s">
        <v>37</v>
      </c>
      <c r="B27" s="50" t="s">
        <v>289</v>
      </c>
      <c r="C27" s="48" t="str">
        <f>IFERROR((TR/(RadSpec!I27*EF_cw*ED_con*IRS_cw*(1/1000)))*1,".")</f>
        <v>.</v>
      </c>
      <c r="D27" s="48" t="str">
        <f>IFERROR(IF(A27="H-3",(TR/(RadSpec!G27*EF_cw*ED_con*ET_cw_o*(1/24)*IRA_cw*(1/17)*1000))*1,(TR/(RadSpec!G27*EF_cw*ED_con*ET_cw_o*(1/24)*IRA_cw*(1/PEFsc)*1000))*1),".")</f>
        <v>.</v>
      </c>
      <c r="E27" s="48">
        <f>IFERROR((TR/(RadSpec!F27*EF_cw*(1/365)*ED_con*def_acf!D27*ET_cw_o*(1/24)*RadSpec!V27))*1,".")</f>
        <v>7830.6133595415122</v>
      </c>
      <c r="F27" s="48">
        <f t="shared" si="39"/>
        <v>7830.6133595415122</v>
      </c>
      <c r="G27" s="69">
        <f t="shared" si="1"/>
        <v>82.5</v>
      </c>
      <c r="H27" s="69">
        <f t="shared" si="2"/>
        <v>6.4422246467249371</v>
      </c>
      <c r="I27" s="69">
        <f>C_*EF_cw*(1/365)*ED_con*(ET_cw_i+ET_cw_o)*(1/24)*RadSpec!U27*def_acf!D27*1</f>
        <v>2.09120610927413E-2</v>
      </c>
      <c r="J27" s="4"/>
      <c r="K27" s="4"/>
      <c r="L27" s="4"/>
      <c r="M27" s="4"/>
      <c r="N27" s="48" t="str">
        <f>IFERROR((TR/(RadSpec!I27*EF_cw*ED_con*IRS_cw*(1/1000)))*1,".")</f>
        <v>.</v>
      </c>
      <c r="O27" s="48" t="str">
        <f>IFERROR(IF(A27="H-3",(TR/(RadSpec!G27*EF_cw*ED_con*ET_cw_o*(1/24)*IRA_cw*(1/17)*1000))*1,(TR/(RadSpec!G27*EF_cw*ED_con*ET_cw_o*(1/24)*IRA_cw*(1/PEF__sc)*1000))*1),".")</f>
        <v>.</v>
      </c>
      <c r="P27" s="48">
        <f>IFERROR((TR/(RadSpec!F27*EF_cw*(1/365)*ED_con*def_acf!D27*ET_cw_o*(1/24)*RadSpec!V27))*1,".")</f>
        <v>7830.6133595415122</v>
      </c>
      <c r="Q27" s="48">
        <f t="shared" si="40"/>
        <v>7830.6133595415122</v>
      </c>
      <c r="R27" s="69">
        <f t="shared" si="4"/>
        <v>82.5</v>
      </c>
      <c r="S27" s="69">
        <f t="shared" si="5"/>
        <v>4.2127942114117772E-2</v>
      </c>
      <c r="T27" s="69">
        <f>C_*EF_cw*(1/365)*ED_con*(ET_cw_i+ET_cw_o)*(1/24)*RadSpec!U27*def_acf!D27*1</f>
        <v>2.09120610927413E-2</v>
      </c>
      <c r="U27" s="11"/>
      <c r="V27" s="11"/>
      <c r="W27" s="11"/>
      <c r="X27" s="11"/>
      <c r="Y27" s="48">
        <f>IFERROR((TR/(RadSpec!F27*EF_cw*(1/365)*ED_con*def_acf!D27*ET_cw_o*(1/24)*RadSpec!V27))*1,".")</f>
        <v>7830.6133595415122</v>
      </c>
      <c r="Z27" s="48">
        <f>IFERROR((TR/(RadSpec!M27*EF_cw*(1/365)*ED_con*def_acf!E27*ET_cw_o*(1/24)*RadSpec!R27))*1,".")</f>
        <v>35429.670038777404</v>
      </c>
      <c r="AA27" s="48">
        <f>IFERROR((TR/(RadSpec!N27*EF_cw*(1/365)*ED_con*def_acf!F27*ET_cw_o*(1/24)*RadSpec!X27))*1,".")</f>
        <v>13172.283700434811</v>
      </c>
      <c r="AB27" s="48">
        <f>IFERROR((TR/(RadSpec!O27*EF_cw*(1/365)*ED_con*def_acf!G27*ET_cw_o*(1/24)*RadSpec!Y27))*1,".")</f>
        <v>8786.000678926921</v>
      </c>
      <c r="AC27" s="48">
        <f>IFERROR((TR/(RadSpec!K27*EF_cw*(1/365)*ED_con*def_acf!C27*ET_cw_o*(1/24)*RadSpec!U27))*1,".")</f>
        <v>7556.3952998504737</v>
      </c>
      <c r="AD27" s="69">
        <f>C_*EF_cw*(1/365)*ED_con*(ET_cw_i+ET_cw_o)*(1/24)*RadSpec!U27*def_acf!D27*1</f>
        <v>2.09120610927413E-2</v>
      </c>
      <c r="AE27" s="69">
        <f>C_*EF_cw*(1/365)*ED_con*(ET_cw_i+ET_cw_o)*(1/24)*RadSpec!V27*def_acf!E27*1</f>
        <v>1.3610818405338948E-2</v>
      </c>
      <c r="AF27" s="69">
        <f>C_*EF_cw*(1/365)*ED_con*(ET_cw_i+ET_cw_o)*(1/24)*RadSpec!W27*def_acf!F27*1</f>
        <v>1.7218735205632166E-2</v>
      </c>
      <c r="AG27" s="69">
        <f>C_*EF_cw*(1/365)*ED_con*(ET_cw_i+ET_cw_o)*(1/24)*RadSpec!X27*def_acf!G27*1</f>
        <v>1.9417770293845477E-2</v>
      </c>
      <c r="AH27" s="69">
        <f>C_*EF_cw*(1/365)*ED_con*(ET_cw_i+ET_cw_o)*(1/24)*RadSpec!T27*def_acf!C27*1</f>
        <v>1.5441290009485365E-2</v>
      </c>
      <c r="AI27" s="11"/>
      <c r="AJ27" s="11"/>
      <c r="AK27" s="11"/>
      <c r="AL27" s="11"/>
      <c r="AM27" s="11"/>
      <c r="AN27" s="48" t="str">
        <f>IFERROR(TR/(RadSpec!G27*EF_cw*ED_con*ET_cw_o*(1/24)*IRA_cw),".")</f>
        <v>.</v>
      </c>
      <c r="AO27" s="48">
        <f>IFERROR(TR/(RadSpec!J27*EF_cw*(1/365)*ED_con*ET_cw_o*(1/24)*GSF_a),".")</f>
        <v>465985.64588029811</v>
      </c>
      <c r="AP27" s="48">
        <f t="shared" si="41"/>
        <v>465985.64588029811</v>
      </c>
      <c r="AQ27" s="69">
        <f t="shared" si="7"/>
        <v>5000</v>
      </c>
      <c r="AR27" s="69">
        <f t="shared" si="8"/>
        <v>0.22831050228310501</v>
      </c>
      <c r="AS27" s="10"/>
      <c r="AT27" s="10"/>
      <c r="AU27" s="10"/>
    </row>
    <row r="28" spans="1:47" x14ac:dyDescent="0.25">
      <c r="A28" s="49" t="s">
        <v>38</v>
      </c>
      <c r="B28" s="50" t="s">
        <v>289</v>
      </c>
      <c r="C28" s="48" t="str">
        <f>IFERROR((TR/(RadSpec!I28*EF_cw*ED_con*IRS_cw*(1/1000)))*1,".")</f>
        <v>.</v>
      </c>
      <c r="D28" s="48" t="str">
        <f>IFERROR(IF(A28="H-3",(TR/(RadSpec!G28*EF_cw*ED_con*ET_cw_o*(1/24)*IRA_cw*(1/17)*1000))*1,(TR/(RadSpec!G28*EF_cw*ED_con*ET_cw_o*(1/24)*IRA_cw*(1/PEFsc)*1000))*1),".")</f>
        <v>.</v>
      </c>
      <c r="E28" s="48">
        <f>IFERROR((TR/(RadSpec!F28*EF_cw*(1/365)*ED_con*def_acf!D28*ET_cw_o*(1/24)*RadSpec!V28))*1,".")</f>
        <v>4.5046935485973814</v>
      </c>
      <c r="F28" s="48">
        <f t="shared" si="39"/>
        <v>4.5046935485973814</v>
      </c>
      <c r="G28" s="69">
        <f t="shared" si="1"/>
        <v>82.5</v>
      </c>
      <c r="H28" s="69">
        <f t="shared" si="2"/>
        <v>6.4422246467249371</v>
      </c>
      <c r="I28" s="69">
        <f>C_*EF_cw*(1/365)*ED_con*(ET_cw_i+ET_cw_o)*(1/24)*RadSpec!U28*def_acf!D28*1</f>
        <v>2.1506849315068494E-2</v>
      </c>
      <c r="J28" s="4"/>
      <c r="K28" s="4"/>
      <c r="L28" s="4"/>
      <c r="M28" s="4"/>
      <c r="N28" s="48" t="str">
        <f>IFERROR((TR/(RadSpec!I28*EF_cw*ED_con*IRS_cw*(1/1000)))*1,".")</f>
        <v>.</v>
      </c>
      <c r="O28" s="48" t="str">
        <f>IFERROR(IF(A28="H-3",(TR/(RadSpec!G28*EF_cw*ED_con*ET_cw_o*(1/24)*IRA_cw*(1/17)*1000))*1,(TR/(RadSpec!G28*EF_cw*ED_con*ET_cw_o*(1/24)*IRA_cw*(1/PEF__sc)*1000))*1),".")</f>
        <v>.</v>
      </c>
      <c r="P28" s="48">
        <f>IFERROR((TR/(RadSpec!F28*EF_cw*(1/365)*ED_con*def_acf!D28*ET_cw_o*(1/24)*RadSpec!V28))*1,".")</f>
        <v>4.5046935485973814</v>
      </c>
      <c r="Q28" s="48">
        <f t="shared" si="40"/>
        <v>4.5046935485973814</v>
      </c>
      <c r="R28" s="69">
        <f t="shared" si="4"/>
        <v>82.5</v>
      </c>
      <c r="S28" s="69">
        <f t="shared" si="5"/>
        <v>4.2127942114117772E-2</v>
      </c>
      <c r="T28" s="69">
        <f>C_*EF_cw*(1/365)*ED_con*(ET_cw_i+ET_cw_o)*(1/24)*RadSpec!U28*def_acf!D28*1</f>
        <v>2.1506849315068494E-2</v>
      </c>
      <c r="U28" s="11"/>
      <c r="V28" s="11"/>
      <c r="W28" s="11"/>
      <c r="X28" s="11"/>
      <c r="Y28" s="48">
        <f>IFERROR((TR/(RadSpec!F28*EF_cw*(1/365)*ED_con*def_acf!D28*ET_cw_o*(1/24)*RadSpec!V28))*1,".")</f>
        <v>4.5046935485973814</v>
      </c>
      <c r="Z28" s="48">
        <f>IFERROR((TR/(RadSpec!M28*EF_cw*(1/365)*ED_con*def_acf!E28*ET_cw_o*(1/24)*RadSpec!R28))*1,".")</f>
        <v>52.889241884850762</v>
      </c>
      <c r="AA28" s="48">
        <f>IFERROR((TR/(RadSpec!N28*EF_cw*(1/365)*ED_con*def_acf!F28*ET_cw_o*(1/24)*RadSpec!X28))*1,".")</f>
        <v>12.116098392576733</v>
      </c>
      <c r="AB28" s="48">
        <f>IFERROR((TR/(RadSpec!O28*EF_cw*(1/365)*ED_con*def_acf!G28*ET_cw_o*(1/24)*RadSpec!Y28))*1,".")</f>
        <v>5.9987898630091525</v>
      </c>
      <c r="AC28" s="48">
        <f>IFERROR((TR/(RadSpec!K28*EF_cw*(1/365)*ED_con*def_acf!C28*ET_cw_o*(1/24)*RadSpec!U28))*1,".")</f>
        <v>78.749654022069763</v>
      </c>
      <c r="AD28" s="69">
        <f>C_*EF_cw*(1/365)*ED_con*(ET_cw_i+ET_cw_o)*(1/24)*RadSpec!U28*def_acf!D28*1</f>
        <v>2.1506849315068494E-2</v>
      </c>
      <c r="AE28" s="69">
        <f>C_*EF_cw*(1/365)*ED_con*(ET_cw_i+ET_cw_o)*(1/24)*RadSpec!V28*def_acf!E28*1</f>
        <v>9.9221734011085156E-3</v>
      </c>
      <c r="AF28" s="69">
        <f>C_*EF_cw*(1/365)*ED_con*(ET_cw_i+ET_cw_o)*(1/24)*RadSpec!W28*def_acf!F28*1</f>
        <v>1.5078006088280069E-2</v>
      </c>
      <c r="AG28" s="69">
        <f>C_*EF_cw*(1/365)*ED_con*(ET_cw_i+ET_cw_o)*(1/24)*RadSpec!X28*def_acf!G28*1</f>
        <v>1.9137792103142624E-2</v>
      </c>
      <c r="AH28" s="69">
        <f>C_*EF_cw*(1/365)*ED_con*(ET_cw_i+ET_cw_o)*(1/24)*RadSpec!T28*def_acf!C28*1</f>
        <v>6.8398807502169862E-3</v>
      </c>
      <c r="AI28" s="11"/>
      <c r="AJ28" s="11"/>
      <c r="AK28" s="11"/>
      <c r="AL28" s="11"/>
      <c r="AM28" s="11"/>
      <c r="AN28" s="48" t="str">
        <f>IFERROR(TR/(RadSpec!G28*EF_cw*ED_con*ET_cw_o*(1/24)*IRA_cw),".")</f>
        <v>.</v>
      </c>
      <c r="AO28" s="48">
        <f>IFERROR(TR/(RadSpec!J28*EF_cw*(1/365)*ED_con*ET_cw_o*(1/24)*GSF_a),".")</f>
        <v>457.46151821175613</v>
      </c>
      <c r="AP28" s="48">
        <f t="shared" si="41"/>
        <v>457.46151821175613</v>
      </c>
      <c r="AQ28" s="69">
        <f t="shared" si="7"/>
        <v>5000</v>
      </c>
      <c r="AR28" s="69">
        <f t="shared" si="8"/>
        <v>0.22831050228310501</v>
      </c>
      <c r="AS28" s="10"/>
      <c r="AT28" s="10"/>
      <c r="AU28" s="10"/>
    </row>
    <row r="29" spans="1:47" x14ac:dyDescent="0.25">
      <c r="A29" s="49" t="s">
        <v>39</v>
      </c>
      <c r="B29" s="50" t="s">
        <v>289</v>
      </c>
      <c r="C29" s="48" t="str">
        <f>IFERROR((TR/(RadSpec!I29*EF_cw*ED_con*IRS_cw*(1/1000)))*1,".")</f>
        <v>.</v>
      </c>
      <c r="D29" s="48" t="str">
        <f>IFERROR(IF(A29="H-3",(TR/(RadSpec!G29*EF_cw*ED_con*ET_cw_o*(1/24)*IRA_cw*(1/17)*1000))*1,(TR/(RadSpec!G29*EF_cw*ED_con*ET_cw_o*(1/24)*IRA_cw*(1/PEFsc)*1000))*1),".")</f>
        <v>.</v>
      </c>
      <c r="E29" s="48">
        <f>IFERROR((TR/(RadSpec!F29*EF_cw*(1/365)*ED_con*def_acf!D29*ET_cw_o*(1/24)*RadSpec!V29))*1,".")</f>
        <v>3.5337244812589277</v>
      </c>
      <c r="F29" s="48">
        <f t="shared" si="39"/>
        <v>3.5337244812589272</v>
      </c>
      <c r="G29" s="69">
        <f t="shared" si="1"/>
        <v>82.5</v>
      </c>
      <c r="H29" s="69">
        <f t="shared" si="2"/>
        <v>6.4422246467249371</v>
      </c>
      <c r="I29" s="69">
        <f>C_*EF_cw*(1/365)*ED_con*(ET_cw_i+ET_cw_o)*(1/24)*RadSpec!U29*def_acf!D29*1</f>
        <v>2.1074815595363536E-2</v>
      </c>
      <c r="J29" s="4"/>
      <c r="K29" s="4"/>
      <c r="L29" s="4"/>
      <c r="M29" s="4"/>
      <c r="N29" s="48" t="str">
        <f>IFERROR((TR/(RadSpec!I29*EF_cw*ED_con*IRS_cw*(1/1000)))*1,".")</f>
        <v>.</v>
      </c>
      <c r="O29" s="48" t="str">
        <f>IFERROR(IF(A29="H-3",(TR/(RadSpec!G29*EF_cw*ED_con*ET_cw_o*(1/24)*IRA_cw*(1/17)*1000))*1,(TR/(RadSpec!G29*EF_cw*ED_con*ET_cw_o*(1/24)*IRA_cw*(1/PEF__sc)*1000))*1),".")</f>
        <v>.</v>
      </c>
      <c r="P29" s="48">
        <f>IFERROR((TR/(RadSpec!F29*EF_cw*(1/365)*ED_con*def_acf!D29*ET_cw_o*(1/24)*RadSpec!V29))*1,".")</f>
        <v>3.5337244812589277</v>
      </c>
      <c r="Q29" s="48">
        <f t="shared" si="40"/>
        <v>3.5337244812589272</v>
      </c>
      <c r="R29" s="69">
        <f t="shared" si="4"/>
        <v>82.5</v>
      </c>
      <c r="S29" s="69">
        <f t="shared" si="5"/>
        <v>4.2127942114117772E-2</v>
      </c>
      <c r="T29" s="69">
        <f>C_*EF_cw*(1/365)*ED_con*(ET_cw_i+ET_cw_o)*(1/24)*RadSpec!U29*def_acf!D29*1</f>
        <v>2.1074815595363536E-2</v>
      </c>
      <c r="U29" s="11"/>
      <c r="V29" s="11"/>
      <c r="W29" s="11"/>
      <c r="X29" s="11"/>
      <c r="Y29" s="48">
        <f>IFERROR((TR/(RadSpec!F29*EF_cw*(1/365)*ED_con*def_acf!D29*ET_cw_o*(1/24)*RadSpec!V29))*1,".")</f>
        <v>3.5337244812589277</v>
      </c>
      <c r="Z29" s="48">
        <f>IFERROR((TR/(RadSpec!M29*EF_cw*(1/365)*ED_con*def_acf!E29*ET_cw_o*(1/24)*RadSpec!R29))*1,".")</f>
        <v>39.919336181995355</v>
      </c>
      <c r="AA29" s="48">
        <f>IFERROR((TR/(RadSpec!N29*EF_cw*(1/365)*ED_con*def_acf!F29*ET_cw_o*(1/24)*RadSpec!X29))*1,".")</f>
        <v>9.3789676466982019</v>
      </c>
      <c r="AB29" s="48">
        <f>IFERROR((TR/(RadSpec!O29*EF_cw*(1/365)*ED_con*def_acf!G29*ET_cw_o*(1/24)*RadSpec!Y29))*1,".")</f>
        <v>4.5711631017684207</v>
      </c>
      <c r="AC29" s="48">
        <f>IFERROR((TR/(RadSpec!K29*EF_cw*(1/365)*ED_con*def_acf!C29*ET_cw_o*(1/24)*RadSpec!U29))*1,".")</f>
        <v>59.44077174611234</v>
      </c>
      <c r="AD29" s="69">
        <f>C_*EF_cw*(1/365)*ED_con*(ET_cw_i+ET_cw_o)*(1/24)*RadSpec!U29*def_acf!D29*1</f>
        <v>2.1074815595363536E-2</v>
      </c>
      <c r="AE29" s="69">
        <f>C_*EF_cw*(1/365)*ED_con*(ET_cw_i+ET_cw_o)*(1/24)*RadSpec!V29*def_acf!E29*1</f>
        <v>1.008183010081831E-2</v>
      </c>
      <c r="AF29" s="69">
        <f>C_*EF_cw*(1/365)*ED_con*(ET_cw_i+ET_cw_o)*(1/24)*RadSpec!W29*def_acf!F29*1</f>
        <v>1.4979396369306164E-2</v>
      </c>
      <c r="AG29" s="69">
        <f>C_*EF_cw*(1/365)*ED_con*(ET_cw_i+ET_cw_o)*(1/24)*RadSpec!X29*def_acf!G29*1</f>
        <v>1.9255497821865319E-2</v>
      </c>
      <c r="AH29" s="69">
        <f>C_*EF_cw*(1/365)*ED_con*(ET_cw_i+ET_cw_o)*(1/24)*RadSpec!T29*def_acf!C29*1</f>
        <v>6.9942741175617806E-3</v>
      </c>
      <c r="AI29" s="11"/>
      <c r="AJ29" s="11"/>
      <c r="AK29" s="11"/>
      <c r="AL29" s="11"/>
      <c r="AM29" s="11"/>
      <c r="AN29" s="48" t="str">
        <f>IFERROR(TR/(RadSpec!G29*EF_cw*ED_con*ET_cw_o*(1/24)*IRA_cw),".")</f>
        <v>.</v>
      </c>
      <c r="AO29" s="48">
        <f>IFERROR(TR/(RadSpec!J29*EF_cw*(1/365)*ED_con*ET_cw_o*(1/24)*GSF_a),".")</f>
        <v>353.88532540909432</v>
      </c>
      <c r="AP29" s="48">
        <f t="shared" si="41"/>
        <v>353.88532540909432</v>
      </c>
      <c r="AQ29" s="69">
        <f t="shared" si="7"/>
        <v>5000</v>
      </c>
      <c r="AR29" s="69">
        <f t="shared" si="8"/>
        <v>0.22831050228310501</v>
      </c>
      <c r="AS29" s="10"/>
      <c r="AT29" s="10"/>
      <c r="AU29" s="10"/>
    </row>
    <row r="30" spans="1:47" x14ac:dyDescent="0.25">
      <c r="A30" s="49" t="s">
        <v>40</v>
      </c>
      <c r="B30" s="50" t="s">
        <v>289</v>
      </c>
      <c r="C30" s="48">
        <f>IFERROR((TR/(RadSpec!I30*EF_cw*ED_con*IRS_cw*(1/1000)))*1,".")</f>
        <v>232.34065787257276</v>
      </c>
      <c r="D30" s="48">
        <f>IFERROR(IF(A30="H-3",(TR/(RadSpec!G30*EF_cw*ED_con*ET_cw_o*(1/24)*IRA_cw*(1/17)*1000))*1,(TR/(RadSpec!G30*EF_cw*ED_con*ET_cw_o*(1/24)*IRA_cw*(1/PEFsc)*1000))*1),".")</f>
        <v>5.4840445702422942</v>
      </c>
      <c r="E30" s="48">
        <f>IFERROR((TR/(RadSpec!F30*EF_cw*(1/365)*ED_con*def_acf!D30*ET_cw_o*(1/24)*RadSpec!V30))*1,".")</f>
        <v>40000.038369491675</v>
      </c>
      <c r="F30" s="48">
        <f t="shared" ref="F30" si="42">(IF(AND(ISNUMBER(C30),ISNUMBER(D30),ISNUMBER(E30)),1/((1/C30)+(1/D30)+(1/E30)),IF(AND(ISNUMBER(C30),ISNUMBER(D30),NOT(ISNUMBER(E30))), 1/((1/C30)+(1/D30)),IF(AND(ISNUMBER(C30),NOT(ISNUMBER(D30)),ISNUMBER(E30)),1/((1/C30)+(1/E30)),IF(AND(NOT(ISNUMBER(C30)),ISNUMBER(D30),ISNUMBER(E30)),1/((1/D30)+(1/E30)),IF(AND(ISNUMBER(C30),NOT(ISNUMBER(D30)),NOT(ISNUMBER(E30))),1/((1/C30)),IF(AND(NOT(ISNUMBER(C30)),NOT(ISNUMBER(D30)),ISNUMBER(E30)),1/((1/E30)),IF(AND(NOT(ISNUMBER(C30)),ISNUMBER(D30),NOT(ISNUMBER(E30))),1/((1/D30)),IF(AND(NOT(ISNUMBER(C30)),NOT(ISNUMBER(D30)),NOT(ISNUMBER(E30))),".")))))))))</f>
        <v>5.356869457786062</v>
      </c>
      <c r="G30" s="69">
        <f t="shared" si="1"/>
        <v>82.5</v>
      </c>
      <c r="H30" s="69">
        <f t="shared" si="2"/>
        <v>6.4422246467249371</v>
      </c>
      <c r="I30" s="69">
        <f>C_*EF_cw*(1/365)*ED_con*(ET_cw_i+ET_cw_o)*(1/24)*RadSpec!U30*def_acf!D30*1</f>
        <v>3.5157388516467582E-2</v>
      </c>
      <c r="J30" s="4"/>
      <c r="K30" s="4"/>
      <c r="L30" s="4"/>
      <c r="M30" s="4"/>
      <c r="N30" s="48">
        <f>IFERROR((TR/(RadSpec!I30*EF_cw*ED_con*IRS_cw*(1/1000)))*1,".")</f>
        <v>232.34065787257276</v>
      </c>
      <c r="O30" s="48">
        <f>IFERROR(IF(A30="H-3",(TR/(RadSpec!G30*EF_cw*ED_con*ET_cw_o*(1/24)*IRA_cw*(1/17)*1000))*1,(TR/(RadSpec!G30*EF_cw*ED_con*ET_cw_o*(1/24)*IRA_cw*(1/PEF__sc)*1000))*1),".")</f>
        <v>838.62266517674243</v>
      </c>
      <c r="P30" s="48">
        <f>IFERROR((TR/(RadSpec!F30*EF_cw*(1/365)*ED_con*def_acf!D30*ET_cw_o*(1/24)*RadSpec!V30))*1,".")</f>
        <v>40000.038369491675</v>
      </c>
      <c r="Q30" s="48">
        <f t="shared" ref="Q30" si="43">(IF(AND(ISNUMBER(N30),ISNUMBER(O30),ISNUMBER(P30)),1/((1/N30)+(1/O30)+(1/P30)),IF(AND(ISNUMBER(N30),ISNUMBER(O30),NOT(ISNUMBER(P30))), 1/((1/N30)+(1/O30)),IF(AND(ISNUMBER(N30),NOT(ISNUMBER(O30)),ISNUMBER(P30)),1/((1/N30)+(1/P30)),IF(AND(NOT(ISNUMBER(N30)),ISNUMBER(O30),ISNUMBER(P30)),1/((1/O30)+(1/P30)),IF(AND(ISNUMBER(N30),NOT(ISNUMBER(O30)),NOT(ISNUMBER(P30))),1/((1/N30)),IF(AND(NOT(ISNUMBER(N30)),NOT(ISNUMBER(O30)),ISNUMBER(P30)),1/((1/P30)),IF(AND(NOT(ISNUMBER(N30)),ISNUMBER(O30),NOT(ISNUMBER(P30))),1/((1/O30)),IF(AND(NOT(ISNUMBER(N30)),NOT(ISNUMBER(O30)),NOT(ISNUMBER(P30))),".")))))))))</f>
        <v>181.11163642699253</v>
      </c>
      <c r="R30" s="69">
        <f t="shared" si="4"/>
        <v>82.5</v>
      </c>
      <c r="S30" s="69">
        <f t="shared" si="5"/>
        <v>4.2127942114117772E-2</v>
      </c>
      <c r="T30" s="69">
        <f>C_*EF_cw*(1/365)*ED_con*(ET_cw_i+ET_cw_o)*(1/24)*RadSpec!U30*def_acf!D30*1</f>
        <v>3.5157388516467582E-2</v>
      </c>
      <c r="U30" s="11"/>
      <c r="V30" s="11"/>
      <c r="W30" s="11"/>
      <c r="X30" s="11"/>
      <c r="Y30" s="48">
        <f>IFERROR((TR/(RadSpec!F30*EF_cw*(1/365)*ED_con*def_acf!D30*ET_cw_o*(1/24)*RadSpec!V30))*1,".")</f>
        <v>40000.038369491675</v>
      </c>
      <c r="Z30" s="48">
        <f>IFERROR((TR/(RadSpec!M30*EF_cw*(1/365)*ED_con*def_acf!E30*ET_cw_o*(1/24)*RadSpec!R30))*1,".")</f>
        <v>137870.23332503121</v>
      </c>
      <c r="AA30" s="48">
        <f>IFERROR((TR/(RadSpec!N30*EF_cw*(1/365)*ED_con*def_acf!F30*ET_cw_o*(1/24)*RadSpec!X30))*1,".")</f>
        <v>58075.558753777506</v>
      </c>
      <c r="AB30" s="48">
        <f>IFERROR((TR/(RadSpec!O30*EF_cw*(1/365)*ED_con*def_acf!G30*ET_cw_o*(1/24)*RadSpec!Y30))*1,".")</f>
        <v>41078.335650627938</v>
      </c>
      <c r="AC30" s="48">
        <f>IFERROR((TR/(RadSpec!K30*EF_cw*(1/365)*ED_con*def_acf!C30*ET_cw_o*(1/24)*RadSpec!U30))*1,".")</f>
        <v>113375.93258034383</v>
      </c>
      <c r="AD30" s="69">
        <f>C_*EF_cw*(1/365)*ED_con*(ET_cw_i+ET_cw_o)*(1/24)*RadSpec!U30*def_acf!D30*1</f>
        <v>3.5157388516467582E-2</v>
      </c>
      <c r="AE30" s="69">
        <f>C_*EF_cw*(1/365)*ED_con*(ET_cw_i+ET_cw_o)*(1/24)*RadSpec!V30*def_acf!E30*1</f>
        <v>3.497686146087968E-2</v>
      </c>
      <c r="AF30" s="69">
        <f>C_*EF_cw*(1/365)*ED_con*(ET_cw_i+ET_cw_o)*(1/24)*RadSpec!W30*def_acf!F30*1</f>
        <v>3.4010392064241779E-2</v>
      </c>
      <c r="AG30" s="69">
        <f>C_*EF_cw*(1/365)*ED_con*(ET_cw_i+ET_cw_o)*(1/24)*RadSpec!X30*def_acf!G30*1</f>
        <v>3.5396977098155709E-2</v>
      </c>
      <c r="AH30" s="69">
        <f>C_*EF_cw*(1/365)*ED_con*(ET_cw_i+ET_cw_o)*(1/24)*RadSpec!T30*def_acf!C30*1</f>
        <v>2.4686073059360727E-2</v>
      </c>
      <c r="AI30" s="11"/>
      <c r="AJ30" s="11"/>
      <c r="AK30" s="11"/>
      <c r="AL30" s="11"/>
      <c r="AM30" s="11"/>
      <c r="AN30" s="48">
        <f>IFERROR(TR/(RadSpec!G30*EF_cw*ED_con*ET_cw_o*(1/24)*IRA_cw),".")</f>
        <v>7.065889418830594E-3</v>
      </c>
      <c r="AO30" s="48">
        <f>IFERROR(TR/(RadSpec!J30*EF_cw*(1/365)*ED_con*ET_cw_o*(1/24)*GSF_a),".")</f>
        <v>4671462.5770067247</v>
      </c>
      <c r="AP30" s="48">
        <f t="shared" ref="AP30" si="44">IFERROR(IF(AND(ISNUMBER(AN30),ISNUMBER(AO30)),1/((1/AN30)+(1/AO30)),IF(AND(ISNUMBER(AN30),NOT(ISNUMBER(AO30))),1/((1/AN30)),IF(AND(NOT(ISNUMBER(AN30)),ISNUMBER(AO30)),1/((1/AO30)),IF(AND(NOT(ISNUMBER(AN30)),NOT(ISNUMBER(AO30))),".")))),".")</f>
        <v>7.0658894081429783E-3</v>
      </c>
      <c r="AQ30" s="69">
        <f t="shared" si="7"/>
        <v>5000</v>
      </c>
      <c r="AR30" s="69">
        <f t="shared" si="8"/>
        <v>0.22831050228310501</v>
      </c>
      <c r="AS30" s="10"/>
      <c r="AT30" s="10"/>
      <c r="AU30" s="10"/>
    </row>
    <row r="31" spans="1:47" x14ac:dyDescent="0.25">
      <c r="A31" s="52" t="s">
        <v>13</v>
      </c>
      <c r="B31" s="52" t="s">
        <v>289</v>
      </c>
      <c r="C31" s="53">
        <f>1/SUM(1/C32,1/C33,1/C34,1/C35,1/C36,1/C37,1/C38,1/C41,1/C44)</f>
        <v>21.852159147482773</v>
      </c>
      <c r="D31" s="53">
        <f>1/SUM(1/D32,1/D33,1/D34,1/D35,1/D36,1/D37,1/D38,1/D41,1/D44)</f>
        <v>0.47883732000916984</v>
      </c>
      <c r="E31" s="53">
        <f>1/SUM(1/E32,1/E33,1/E34,1/E35,1/E36,1/E37,1/E38,1/E39,1/E40,1/E41,1/E42,1/E43,1/E44)</f>
        <v>25.101460334630886</v>
      </c>
      <c r="F31" s="54">
        <f>1/SUM(1/F32,1/F33,1/F34,1/F35,1/F36,1/F37,1/F38,1/F39,1/F40,1/F41,1/F42,1/F43,1/F44)</f>
        <v>0.45998322387392437</v>
      </c>
      <c r="G31" s="71"/>
      <c r="H31" s="71"/>
      <c r="I31" s="71"/>
      <c r="J31" s="72">
        <f>IFERROR(IF(SUM(G32:G44)&gt;0.01,1-EXP(-SUM(G32:G44)),SUM(G32:G44)),".")</f>
        <v>4.5762068327019004E-8</v>
      </c>
      <c r="K31" s="72">
        <f>IFERROR(IF(SUM(H32:H44)&gt;0.01,1-EXP(-SUM(H32:H44)),SUM(H32:H44)),".")</f>
        <v>2.0883919406717287E-6</v>
      </c>
      <c r="L31" s="72">
        <f>IFERROR(IF(SUM(I32:I44)&gt;0.01,1-EXP(-SUM(I32:I44)),SUM(I32:I44)),".")</f>
        <v>3.9838319630366831E-8</v>
      </c>
      <c r="M31" s="72">
        <f>IFERROR(IF(SUM(G32:I44)&gt;0.01,1-EXP(-SUM(G32:I44)),SUM(G32:I44)),".")</f>
        <v>2.1739923286291146E-6</v>
      </c>
      <c r="N31" s="53">
        <f>1/SUM(1/N32,1/N33,1/N34,1/N35,1/N36,1/N37,1/N38,1/N41,1/N44)</f>
        <v>21.852159147482773</v>
      </c>
      <c r="O31" s="53">
        <f>1/SUM(1/O32,1/O33,1/O34,1/O35,1/O36,1/O37,1/O38,1/O41,1/O44)</f>
        <v>73.22402733033168</v>
      </c>
      <c r="P31" s="53">
        <f>1/SUM(1/P32,1/P33,1/P34,1/P35,1/P36,1/P37,1/P38,1/P39,1/P40,1/P41,1/P42,1/P43,1/P44)</f>
        <v>25.101460334630886</v>
      </c>
      <c r="Q31" s="54">
        <f>1/SUM(1/Q32,1/Q33,1/Q34,1/Q35,1/Q36,1/Q37,1/Q38,1/Q39,1/Q40,1/Q41,1/Q42,1/Q43,1/Q44)</f>
        <v>10.074845276870672</v>
      </c>
      <c r="R31" s="71"/>
      <c r="S31" s="71"/>
      <c r="T31" s="71"/>
      <c r="U31" s="72">
        <f>IFERROR(IF(SUM(R32:R44)&gt;0.01,1-EXP(-SUM(R32:R44)),SUM(R32:R44)),".")</f>
        <v>4.5762068327019004E-8</v>
      </c>
      <c r="V31" s="72">
        <f>IFERROR(IF(SUM(S32:S44)&gt;0.01,1-EXP(-SUM(S32:S44)),SUM(S32:S44)),".")</f>
        <v>1.3656719473906468E-8</v>
      </c>
      <c r="W31" s="72">
        <f>IFERROR(IF(SUM(T32:T44)&gt;0.01,1-EXP(-SUM(T32:T44)),SUM(T32:T44)),".")</f>
        <v>3.9838319630366831E-8</v>
      </c>
      <c r="X31" s="72">
        <f>IFERROR(IF(SUM(R32:T44)&gt;0.01,1-EXP(-SUM(R32:T44)),SUM(R32:T44)),".")</f>
        <v>9.9257107431292254E-8</v>
      </c>
      <c r="Y31" s="53">
        <f t="shared" ref="Y31:AC31" si="45">1/SUM(1/Y32,1/Y33,1/Y34,1/Y35,1/Y36,1/Y37,1/Y38,1/Y39,1/Y40,1/Y41,1/Y42,1/Y43,1/Y44)</f>
        <v>25.101460334630886</v>
      </c>
      <c r="Z31" s="53">
        <f t="shared" si="45"/>
        <v>140.3475357202073</v>
      </c>
      <c r="AA31" s="53">
        <f t="shared" si="45"/>
        <v>43.031659440548374</v>
      </c>
      <c r="AB31" s="53">
        <f t="shared" si="45"/>
        <v>26.478058844508368</v>
      </c>
      <c r="AC31" s="53">
        <f t="shared" si="45"/>
        <v>149.9849016841307</v>
      </c>
      <c r="AD31" s="71"/>
      <c r="AE31" s="63"/>
      <c r="AF31" s="63"/>
      <c r="AG31" s="63"/>
      <c r="AH31" s="63"/>
      <c r="AI31" s="72">
        <f>IFERROR(IF(SUM(AD32:AD44)&gt;0.01,1-EXP(-SUM(AD32:AD44)),SUM(AD32:AD44)),".")</f>
        <v>3.9838319630366831E-8</v>
      </c>
      <c r="AJ31" s="72">
        <f t="shared" ref="AJ31:AM31" si="46">IFERROR(IF(SUM(AE32:AE44)&gt;0.01,1-EXP(-SUM(AE32:AE44)),SUM(AE32:AE44)),".")</f>
        <v>7.1289551858506731E-9</v>
      </c>
      <c r="AK31" s="72">
        <f t="shared" si="46"/>
        <v>2.323870408440973E-8</v>
      </c>
      <c r="AL31" s="72">
        <f t="shared" si="46"/>
        <v>3.7767119027586981E-8</v>
      </c>
      <c r="AM31" s="72">
        <f t="shared" si="46"/>
        <v>6.6557268317494186E-9</v>
      </c>
      <c r="AN31" s="53">
        <f>1/SUM(1/AN32,1/AN33,1/AN34,1/AN35,1/AN36,1/AN37,1/AN38,1/AN41,1/AN44)</f>
        <v>6.1695551694695809E-4</v>
      </c>
      <c r="AO31" s="53">
        <f t="shared" ref="AO31:AP31" si="47">1/SUM(1/AO32,1/AO33,1/AO34,1/AO35,1/AO36,1/AO37,1/AO38,1/AO39,1/AO40,1/AO41,1/AO42,1/AO43,1/AO44)</f>
        <v>1982.0913414705515</v>
      </c>
      <c r="AP31" s="54">
        <f t="shared" si="47"/>
        <v>6.169553249104039E-4</v>
      </c>
      <c r="AQ31" s="71"/>
      <c r="AR31" s="71"/>
      <c r="AS31" s="72">
        <f>IFERROR(IF(SUM(AQ32:AQ44)&gt;0.01,1-EXP(-SUM(AQ32:AQ44)),SUM(AQ32:AQ44)),".")</f>
        <v>1.6208624001752361E-3</v>
      </c>
      <c r="AT31" s="72">
        <f>IFERROR(IF(SUM(AR32:AR44)&gt;0.01,1-EXP(-SUM(AR32:AR44)),SUM(AR32:AR44)),".")</f>
        <v>5.0451761686122954E-10</v>
      </c>
      <c r="AU31" s="72">
        <f>IFERROR(IF(SUM(AQ32:AR44)&gt;0.01,1-EXP(-SUM(AQ32:AR44)),SUM(AQ32:AR44)),".")</f>
        <v>1.620862904692853E-3</v>
      </c>
    </row>
    <row r="32" spans="1:47" x14ac:dyDescent="0.25">
      <c r="A32" s="55" t="s">
        <v>290</v>
      </c>
      <c r="B32" s="50">
        <v>1</v>
      </c>
      <c r="C32" s="56">
        <f>IFERROR(C3/$B32,0)</f>
        <v>133.17086487818196</v>
      </c>
      <c r="D32" s="56">
        <f>IFERROR(D3/$B32,0)</f>
        <v>4.1130334276817209</v>
      </c>
      <c r="E32" s="56">
        <f>IFERROR(E3/$B32,0)</f>
        <v>1469.7226594747758</v>
      </c>
      <c r="F32" s="56">
        <f>IF(AND(C32&lt;&gt;0,D32&lt;&gt;0,E32&lt;&gt;0),1/((1/C32)+(1/D32)+(1/E32)),IF(AND(C32&lt;&gt;0,D32&lt;&gt;0,E32=0), 1/((1/C32)+(1/D32)),IF(AND(C32&lt;&gt;0,D32=0,E32&lt;&gt;0),1/((1/C32)+(1/E32)),IF(AND(C32=0,D32&lt;&gt;0,E32&lt;&gt;0),1/((1/D32)+(1/E32)),IF(AND(C32&lt;&gt;0,D32=0,E32=0),1/((1/C32)),IF(AND(C32=0,D32&lt;&gt;0,E32=0),1/((1/D32)),IF(AND(C32=0,D32=0,E32&lt;&gt;0),1/((1/E32)),IF(AND(C32=0,D32=0,E32=0),0))))))))</f>
        <v>3.9790050402058799</v>
      </c>
      <c r="G32" s="64">
        <f>IFERROR(RadSpec!$I$3*G3,".")*$B$32</f>
        <v>7.5091499999999994E-9</v>
      </c>
      <c r="H32" s="64">
        <f>IFERROR(RadSpec!$G$3*H3,".")*$B$32</f>
        <v>2.4312955816739914E-7</v>
      </c>
      <c r="I32" s="64">
        <f>IFERROR(RadSpec!$F$3*I3,".")*$B$32</f>
        <v>6.8040047797681964E-10</v>
      </c>
      <c r="J32" s="73">
        <f t="shared" ref="J32:L44" si="48">IFERROR(IF(G32&gt;0.01,1-EXP(-G32),G32),".")</f>
        <v>7.5091499999999994E-9</v>
      </c>
      <c r="K32" s="73">
        <f t="shared" si="48"/>
        <v>2.4312955816739914E-7</v>
      </c>
      <c r="L32" s="73">
        <f t="shared" si="48"/>
        <v>6.8040047797681964E-10</v>
      </c>
      <c r="M32" s="73">
        <f>IFERROR(IF(SUM(G32:I32)&gt;0.01,1-EXP(-SUM(G32:I32)),SUM(G32:I32)),".")</f>
        <v>2.5131910864537595E-7</v>
      </c>
      <c r="N32" s="56">
        <f>IFERROR(N3/$B32,0)</f>
        <v>133.17086487818196</v>
      </c>
      <c r="O32" s="56">
        <f>IFERROR(O3/$B32,0)</f>
        <v>628.96699888255682</v>
      </c>
      <c r="P32" s="56">
        <f>IFERROR(P3/$B32,0)</f>
        <v>1469.7226594747758</v>
      </c>
      <c r="Q32" s="56">
        <f>IF(AND(N32&lt;&gt;0,O32&lt;&gt;0,P32&lt;&gt;0),1/((1/N32)+(1/O32)+(1/P32)),IF(AND(N32&lt;&gt;0,O32&lt;&gt;0,P32=0), 1/((1/N32)+(1/O32)),IF(AND(N32&lt;&gt;0,O32=0,P32&lt;&gt;0),1/((1/N32)+(1/P32)),IF(AND(N32=0,O32&lt;&gt;0,P32&lt;&gt;0),1/((1/O32)+(1/P32)),IF(AND(N32&lt;&gt;0,O32=0,P32=0),1/((1/N32)),IF(AND(N32=0,O32&lt;&gt;0,P32=0),1/((1/O32)),IF(AND(N32=0,O32=0,P32&lt;&gt;0),1/((1/P32)),IF(AND(N32=0,O32=0,P32=0),0))))))))</f>
        <v>102.25514505797312</v>
      </c>
      <c r="R32" s="64">
        <f>IFERROR(RadSpec!$I$3*R3,".")*$B$32</f>
        <v>7.5091499999999994E-9</v>
      </c>
      <c r="S32" s="64">
        <f>IFERROR(RadSpec!$G$3*S3,".")*$B$32</f>
        <v>1.5899085353868047E-9</v>
      </c>
      <c r="T32" s="64">
        <f>IFERROR(RadSpec!$F$3*T3,".")*$B$32</f>
        <v>6.8040047797681964E-10</v>
      </c>
      <c r="U32" s="73">
        <f t="shared" ref="U32:U44" si="49">IFERROR(IF(R32&gt;0.01,1-EXP(-R32),R32),".")</f>
        <v>7.5091499999999994E-9</v>
      </c>
      <c r="V32" s="73">
        <f t="shared" ref="V32:V44" si="50">IFERROR(IF(S32&gt;0.01,1-EXP(-S32),S32),".")</f>
        <v>1.5899085353868047E-9</v>
      </c>
      <c r="W32" s="73">
        <f t="shared" ref="W32:W44" si="51">IFERROR(IF(T32&gt;0.01,1-EXP(-T32),T32),".")</f>
        <v>6.8040047797681964E-10</v>
      </c>
      <c r="X32" s="73">
        <f>IFERROR(IF(SUM(R32:T32)&gt;0.01,1-EXP(-SUM(R32:T32)),SUM(R32:T32)),".")</f>
        <v>9.7794590133636241E-9</v>
      </c>
      <c r="Y32" s="56">
        <f t="shared" ref="Y32:AO32" si="52">IFERROR(Y3/$B32,0)</f>
        <v>1469.7226594747758</v>
      </c>
      <c r="Z32" s="56">
        <f t="shared" si="52"/>
        <v>3367.5386638197328</v>
      </c>
      <c r="AA32" s="56">
        <f t="shared" si="52"/>
        <v>1787.8539587521261</v>
      </c>
      <c r="AB32" s="56">
        <f t="shared" si="52"/>
        <v>1632.9956549095177</v>
      </c>
      <c r="AC32" s="56">
        <f t="shared" si="52"/>
        <v>2777.9254588047911</v>
      </c>
      <c r="AD32" s="64">
        <f>IFERROR(RadSpec!$F$3*AD3,".")*$B$32</f>
        <v>6.8040047797681964E-10</v>
      </c>
      <c r="AE32" s="64">
        <f>IFERROR(RadSpec!$M$3*AE3,".")*$B$32</f>
        <v>2.9695278950879794E-10</v>
      </c>
      <c r="AF32" s="64">
        <f>IFERROR(RadSpec!$N$3*AF3,".")*$B$32</f>
        <v>5.5932980157840899E-10</v>
      </c>
      <c r="AG32" s="64">
        <f>IFERROR(RadSpec!$O$3*AG3,".")*$B$32</f>
        <v>6.1237150080194715E-10</v>
      </c>
      <c r="AH32" s="64">
        <f>IFERROR(RadSpec!$K$3*AH3,".")*$B$32</f>
        <v>3.5998086155639764E-10</v>
      </c>
      <c r="AI32" s="73">
        <f>IFERROR(IF(AD32&gt;0.01,1-EXP(-AD32),AD32),".")</f>
        <v>6.8040047797681964E-10</v>
      </c>
      <c r="AJ32" s="73">
        <f t="shared" ref="AJ32:AM44" si="53">IFERROR(IF(AE32&gt;0.01,1-EXP(-AE32),AE32),".")</f>
        <v>2.9695278950879794E-10</v>
      </c>
      <c r="AK32" s="73">
        <f t="shared" si="53"/>
        <v>5.5932980157840899E-10</v>
      </c>
      <c r="AL32" s="73">
        <f t="shared" si="53"/>
        <v>6.1237150080194715E-10</v>
      </c>
      <c r="AM32" s="73">
        <f t="shared" si="53"/>
        <v>3.5998086155639764E-10</v>
      </c>
      <c r="AN32" s="56">
        <f t="shared" si="52"/>
        <v>5.2994170641229464E-3</v>
      </c>
      <c r="AO32" s="56">
        <f t="shared" si="52"/>
        <v>75476.548276386311</v>
      </c>
      <c r="AP32" s="56">
        <f>IFERROR(IF(AND(AN32&lt;&gt;0,AO32&lt;&gt;0),1/((1/AN32)+(1/AO32)),IF(AND(AN32&lt;&gt;0,AO32=0),1/((1/AN32)),IF(AND(AN32=0,AO32&lt;&gt;0),1/((1/AO32)),IF(AND(AN32=0,AO32=0),0)))),0)</f>
        <v>5.2994166920362533E-3</v>
      </c>
      <c r="AQ32" s="64">
        <f>IFERROR(RadSpec!$G$3*AQ3,".")*$B$32</f>
        <v>1.8870000000000001E-4</v>
      </c>
      <c r="AR32" s="64">
        <f>IFERROR(RadSpec!$J$3*AR3,".")*$B$32</f>
        <v>1.3249148547945205E-11</v>
      </c>
      <c r="AS32" s="73">
        <f>IFERROR(IF(AQ32&gt;0.01,1-EXP(-AQ32),AQ32),".")</f>
        <v>1.8870000000000001E-4</v>
      </c>
      <c r="AT32" s="73">
        <f>IFERROR(IF(AR32&gt;0.01,1-EXP(-AR32),AR32),".")</f>
        <v>1.3249148547945205E-11</v>
      </c>
      <c r="AU32" s="73">
        <f>IFERROR(IF(SUM(AQ32:AR32)&gt;0.01,1-EXP(-SUM(AQ32:AR32)),SUM(AQ32:AR32)),".")</f>
        <v>1.8870001324914856E-4</v>
      </c>
    </row>
    <row r="33" spans="1:47" x14ac:dyDescent="0.25">
      <c r="A33" s="55" t="s">
        <v>291</v>
      </c>
      <c r="B33" s="50">
        <v>1</v>
      </c>
      <c r="C33" s="56">
        <f t="shared" ref="C33:E34" si="54">IFERROR(C13/$B33,0)</f>
        <v>257.95301385852571</v>
      </c>
      <c r="D33" s="56">
        <f t="shared" si="54"/>
        <v>5.413282704819812</v>
      </c>
      <c r="E33" s="56">
        <f t="shared" si="54"/>
        <v>811.23975052342564</v>
      </c>
      <c r="F33" s="56">
        <f>IF(AND(C33&lt;&gt;0,D33&lt;&gt;0,E33&lt;&gt;0),1/((1/C33)+(1/D33)+(1/E33)),IF(AND(C33&lt;&gt;0,D33&lt;&gt;0,E33=0), 1/((1/C33)+(1/D33)),IF(AND(C33&lt;&gt;0,D33=0,E33&lt;&gt;0),1/((1/C33)+(1/E33)),IF(AND(C33=0,D33&lt;&gt;0,E33&lt;&gt;0),1/((1/D33)+(1/E33)),IF(AND(C33&lt;&gt;0,D33=0,E33=0),1/((1/C33)),IF(AND(C33=0,D33&lt;&gt;0,E33=0),1/((1/D33)),IF(AND(C33=0,D33=0,E33&lt;&gt;0),1/((1/E33)),IF(AND(C33=0,D33=0,E33=0),0))))))))</f>
        <v>5.2675896576956145</v>
      </c>
      <c r="G33" s="64">
        <f>IFERROR(RadSpec!$I$13*G13,".")*$B$33</f>
        <v>3.8766749999999995E-9</v>
      </c>
      <c r="H33" s="64">
        <f>IFERROR(RadSpec!$G$13*H13,".")*$B$33</f>
        <v>1.8473079174483757E-7</v>
      </c>
      <c r="I33" s="64">
        <f>IFERROR(RadSpec!$F$13*I13,".")*$B$33</f>
        <v>1.2326812133586686E-9</v>
      </c>
      <c r="J33" s="73">
        <f t="shared" si="48"/>
        <v>3.8766749999999995E-9</v>
      </c>
      <c r="K33" s="73">
        <f t="shared" si="48"/>
        <v>1.8473079174483757E-7</v>
      </c>
      <c r="L33" s="73">
        <f t="shared" si="48"/>
        <v>1.2326812133586686E-9</v>
      </c>
      <c r="M33" s="73">
        <f t="shared" ref="M33:M44" si="55">IFERROR(IF(SUM(G33:I33)&gt;0.01,1-EXP(-SUM(G33:I33)),SUM(G33:I33)),".")</f>
        <v>1.8984014795819624E-7</v>
      </c>
      <c r="N33" s="56">
        <f t="shared" ref="N33:P34" si="56">IFERROR(N13/$B33,0)</f>
        <v>257.95301385852571</v>
      </c>
      <c r="O33" s="56">
        <f t="shared" si="56"/>
        <v>827.80172756155866</v>
      </c>
      <c r="P33" s="56">
        <f t="shared" si="56"/>
        <v>811.23975052342564</v>
      </c>
      <c r="Q33" s="56">
        <f>IF(AND(N33&lt;&gt;0,O33&lt;&gt;0,P33&lt;&gt;0),1/((1/N33)+(1/O33)+(1/P33)),IF(AND(N33&lt;&gt;0,O33&lt;&gt;0,P33=0), 1/((1/N33)+(1/O33)),IF(AND(N33&lt;&gt;0,O33=0,P33&lt;&gt;0),1/((1/N33)+(1/P33)),IF(AND(N33=0,O33&lt;&gt;0,P33&lt;&gt;0),1/((1/O33)+(1/P33)),IF(AND(N33&lt;&gt;0,O33=0,P33=0),1/((1/N33)),IF(AND(N33=0,O33&lt;&gt;0,P33=0),1/((1/O33)),IF(AND(N33=0,O33=0,P33&lt;&gt;0),1/((1/P33)),IF(AND(N33=0,O33=0,P33=0),0))))))))</f>
        <v>158.29359621103077</v>
      </c>
      <c r="R33" s="64">
        <f>IFERROR(RadSpec!$I$13*R13,".")*$B$33</f>
        <v>3.8766749999999995E-9</v>
      </c>
      <c r="S33" s="64">
        <f>IFERROR(RadSpec!$G$13*S13,".")*$B$33</f>
        <v>1.2080187401223271E-9</v>
      </c>
      <c r="T33" s="64">
        <f>IFERROR(RadSpec!$F$13*T13,".")*$B$33</f>
        <v>1.2326812133586686E-9</v>
      </c>
      <c r="U33" s="73">
        <f t="shared" si="49"/>
        <v>3.8766749999999995E-9</v>
      </c>
      <c r="V33" s="73">
        <f t="shared" si="50"/>
        <v>1.2080187401223271E-9</v>
      </c>
      <c r="W33" s="73">
        <f t="shared" si="51"/>
        <v>1.2326812133586686E-9</v>
      </c>
      <c r="X33" s="73">
        <f t="shared" ref="X33:X44" si="57">IFERROR(IF(SUM(R33:T33)&gt;0.01,1-EXP(-SUM(R33:T33)),SUM(R33:T33)),".")</f>
        <v>6.3173749534809952E-9</v>
      </c>
      <c r="Y33" s="56">
        <f t="shared" ref="Y33:AO34" si="58">IFERROR(Y13/$B33,0)</f>
        <v>811.23975052342564</v>
      </c>
      <c r="Z33" s="56">
        <f t="shared" si="58"/>
        <v>2357.1747228277782</v>
      </c>
      <c r="AA33" s="56">
        <f t="shared" si="58"/>
        <v>1009.2207792006988</v>
      </c>
      <c r="AB33" s="56">
        <f t="shared" si="58"/>
        <v>802.027743045389</v>
      </c>
      <c r="AC33" s="56">
        <f t="shared" si="58"/>
        <v>2310.2532799087667</v>
      </c>
      <c r="AD33" s="64">
        <f>IFERROR(RadSpec!$F$13*AD13,".")*$B$33</f>
        <v>1.2326812133586686E-9</v>
      </c>
      <c r="AE33" s="64">
        <f>IFERROR(RadSpec!$M$13*AE13,".")*$B$33</f>
        <v>4.2423668908189917E-10</v>
      </c>
      <c r="AF33" s="64">
        <f>IFERROR(RadSpec!$N$13*AF13,".")*$B$33</f>
        <v>9.9086346675501324E-10</v>
      </c>
      <c r="AG33" s="64">
        <f>IFERROR(RadSpec!$O$13*AG13,".")*$B$33</f>
        <v>1.2468396619334986E-9</v>
      </c>
      <c r="AH33" s="64">
        <f>IFERROR(RadSpec!$K$13*AH13,".")*$B$33</f>
        <v>4.3285297274396267E-10</v>
      </c>
      <c r="AI33" s="73">
        <f t="shared" ref="AI33:AI44" si="59">IFERROR(IF(AD33&gt;0.01,1-EXP(-AD33),AD33),".")</f>
        <v>1.2326812133586686E-9</v>
      </c>
      <c r="AJ33" s="73">
        <f t="shared" si="53"/>
        <v>4.2423668908189917E-10</v>
      </c>
      <c r="AK33" s="73">
        <f t="shared" si="53"/>
        <v>9.9086346675501324E-10</v>
      </c>
      <c r="AL33" s="73">
        <f t="shared" si="53"/>
        <v>1.2468396619334986E-9</v>
      </c>
      <c r="AM33" s="73">
        <f t="shared" si="53"/>
        <v>4.3285297274396267E-10</v>
      </c>
      <c r="AN33" s="56">
        <f t="shared" si="58"/>
        <v>6.9747166521360064E-3</v>
      </c>
      <c r="AO33" s="56">
        <f t="shared" si="58"/>
        <v>57095.65371897108</v>
      </c>
      <c r="AP33" s="56">
        <f t="shared" ref="AP33:AP44" si="60">IFERROR(IF(AND(AN33&lt;&gt;0,AO33&lt;&gt;0),1/((1/AN33)+(1/AO33)),IF(AND(AN33&lt;&gt;0,AO33=0),1/((1/AN33)),IF(AND(AN33=0,AO33&lt;&gt;0),1/((1/AO33)),IF(AND(AN33=0,AO33=0),0)))),0)</f>
        <v>6.9747158001155244E-3</v>
      </c>
      <c r="AQ33" s="64">
        <f>IFERROR(RadSpec!$G$13*AQ13,".")*$B$33</f>
        <v>1.43375E-4</v>
      </c>
      <c r="AR33" s="64">
        <f>IFERROR(RadSpec!$J$13*AR13,".")*$B$33</f>
        <v>1.7514467999999997E-11</v>
      </c>
      <c r="AS33" s="73">
        <f t="shared" ref="AS33:AT44" si="61">IFERROR(IF(AQ33&gt;0.01,1-EXP(-AQ33),AQ33),".")</f>
        <v>1.43375E-4</v>
      </c>
      <c r="AT33" s="73">
        <f t="shared" si="61"/>
        <v>1.7514467999999997E-11</v>
      </c>
      <c r="AU33" s="73">
        <f t="shared" ref="AU33:AU44" si="62">IFERROR(IF(SUM(AQ33:AR33)&gt;0.01,1-EXP(-SUM(AQ33:AR33)),SUM(AQ33:AR33)),".")</f>
        <v>1.4337501751446801E-4</v>
      </c>
    </row>
    <row r="34" spans="1:47" x14ac:dyDescent="0.25">
      <c r="A34" s="55" t="s">
        <v>292</v>
      </c>
      <c r="B34" s="50">
        <v>1</v>
      </c>
      <c r="C34" s="56">
        <f t="shared" si="54"/>
        <v>4693.4144355347798</v>
      </c>
      <c r="D34" s="56">
        <f t="shared" si="54"/>
        <v>10158.097085315629</v>
      </c>
      <c r="E34" s="56">
        <f t="shared" si="54"/>
        <v>67.344359831758794</v>
      </c>
      <c r="F34" s="56">
        <f>IF(AND(C34&lt;&gt;0,D34&lt;&gt;0,E34&lt;&gt;0),1/((1/C34)+(1/D34)+(1/E34)),IF(AND(C34&lt;&gt;0,D34&lt;&gt;0,E34=0), 1/((1/C34)+(1/D34)),IF(AND(C34&lt;&gt;0,D34=0,E34&lt;&gt;0),1/((1/C34)+(1/E34)),IF(AND(C34=0,D34&lt;&gt;0,E34&lt;&gt;0),1/((1/D34)+(1/E34)),IF(AND(C34&lt;&gt;0,D34=0,E34=0),1/((1/C34)),IF(AND(C34=0,D34&lt;&gt;0,E34=0),1/((1/D34)),IF(AND(C34=0,D34=0,E34&lt;&gt;0),1/((1/E34)),IF(AND(C34=0,D34=0,E34=0),0))))))))</f>
        <v>65.96061716641303</v>
      </c>
      <c r="G34" s="64">
        <f>IFERROR(RadSpec!$I$14*G14,".")*$B$34</f>
        <v>2.130645E-10</v>
      </c>
      <c r="H34" s="64">
        <f>IFERROR(RadSpec!$G$14*H14,".")*$B$33</f>
        <v>9.844363482660376E-11</v>
      </c>
      <c r="I34" s="64">
        <f>IFERROR(RadSpec!$F$14*I14,".")*$B$33</f>
        <v>1.4849053469336148E-8</v>
      </c>
      <c r="J34" s="73">
        <f t="shared" si="48"/>
        <v>2.130645E-10</v>
      </c>
      <c r="K34" s="73">
        <f t="shared" si="48"/>
        <v>9.844363482660376E-11</v>
      </c>
      <c r="L34" s="73">
        <f t="shared" si="48"/>
        <v>1.4849053469336148E-8</v>
      </c>
      <c r="M34" s="73">
        <f t="shared" si="55"/>
        <v>1.5160561604162752E-8</v>
      </c>
      <c r="N34" s="56">
        <f t="shared" si="56"/>
        <v>4693.4144355347798</v>
      </c>
      <c r="O34" s="56">
        <f t="shared" si="56"/>
        <v>1553380.9657632154</v>
      </c>
      <c r="P34" s="56">
        <f t="shared" si="56"/>
        <v>67.344359831758794</v>
      </c>
      <c r="Q34" s="56">
        <f>IF(AND(N34&lt;&gt;0,O34&lt;&gt;0,P34&lt;&gt;0),1/((1/N34)+(1/O34)+(1/P34)),IF(AND(N34&lt;&gt;0,O34&lt;&gt;0,P34=0), 1/((1/N34)+(1/O34)),IF(AND(N34&lt;&gt;0,O34=0,P34&lt;&gt;0),1/((1/N34)+(1/P34)),IF(AND(N34=0,O34&lt;&gt;0,P34&lt;&gt;0),1/((1/O34)+(1/P34)),IF(AND(N34&lt;&gt;0,O34=0,P34=0),1/((1/N34)),IF(AND(N34=0,O34&lt;&gt;0,P34=0),1/((1/O34)),IF(AND(N34=0,O34=0,P34&lt;&gt;0),1/((1/P34)),IF(AND(N34=0,O34=0,P34=0),0))))))))</f>
        <v>66.388887918610052</v>
      </c>
      <c r="R34" s="64">
        <f>IFERROR(RadSpec!$I$14*R14,".")*$B$34</f>
        <v>2.130645E-10</v>
      </c>
      <c r="S34" s="64">
        <f>IFERROR(RadSpec!$G$14*S14,".")*$B$33</f>
        <v>6.4375708344583364E-13</v>
      </c>
      <c r="T34" s="64">
        <f>IFERROR(RadSpec!$F$14*T14,".")*$B$33</f>
        <v>1.4849053469336148E-8</v>
      </c>
      <c r="U34" s="73">
        <f t="shared" si="49"/>
        <v>2.130645E-10</v>
      </c>
      <c r="V34" s="73">
        <f t="shared" si="50"/>
        <v>6.4375708344583364E-13</v>
      </c>
      <c r="W34" s="73">
        <f t="shared" si="51"/>
        <v>1.4849053469336148E-8</v>
      </c>
      <c r="X34" s="73">
        <f t="shared" si="57"/>
        <v>1.5062761726419595E-8</v>
      </c>
      <c r="Y34" s="56">
        <f t="shared" si="58"/>
        <v>67.344359831758794</v>
      </c>
      <c r="Z34" s="56">
        <f t="shared" si="58"/>
        <v>372.83078419952261</v>
      </c>
      <c r="AA34" s="56">
        <f t="shared" si="58"/>
        <v>108.80402836806047</v>
      </c>
      <c r="AB34" s="56">
        <f t="shared" si="58"/>
        <v>67.064572791186464</v>
      </c>
      <c r="AC34" s="56">
        <f t="shared" si="58"/>
        <v>406.75018242093785</v>
      </c>
      <c r="AD34" s="64">
        <f>IFERROR(RadSpec!$F$14*AD14,".")*$B$33</f>
        <v>1.4849053469336148E-8</v>
      </c>
      <c r="AE34" s="64">
        <f>IFERROR(RadSpec!$M$14*AE14,".")*$B$33</f>
        <v>2.682181950578534E-9</v>
      </c>
      <c r="AF34" s="64">
        <f>IFERROR(RadSpec!$N$14*AF14,".")*$B$33</f>
        <v>9.1908361758189366E-9</v>
      </c>
      <c r="AG34" s="64">
        <f>IFERROR(RadSpec!$O$14*AG14,".")*$B$33</f>
        <v>1.4911002312854793E-8</v>
      </c>
      <c r="AH34" s="64">
        <f>IFERROR(RadSpec!$K$14*AH14,".")*$B$33</f>
        <v>2.4585114972735756E-9</v>
      </c>
      <c r="AI34" s="73">
        <f t="shared" si="59"/>
        <v>1.4849053469336148E-8</v>
      </c>
      <c r="AJ34" s="73">
        <f t="shared" si="53"/>
        <v>2.682181950578534E-9</v>
      </c>
      <c r="AK34" s="73">
        <f t="shared" si="53"/>
        <v>9.1908361758189366E-9</v>
      </c>
      <c r="AL34" s="73">
        <f t="shared" si="53"/>
        <v>1.4911002312854793E-8</v>
      </c>
      <c r="AM34" s="73">
        <f t="shared" si="53"/>
        <v>2.4585114972735756E-9</v>
      </c>
      <c r="AN34" s="56">
        <f t="shared" si="58"/>
        <v>13.08814868136902</v>
      </c>
      <c r="AO34" s="56">
        <f t="shared" si="58"/>
        <v>5131.5792740580027</v>
      </c>
      <c r="AP34" s="56">
        <f t="shared" si="60"/>
        <v>13.054852139176909</v>
      </c>
      <c r="AQ34" s="64">
        <f>IFERROR(RadSpec!$G$14*AQ14,".")*$B$33</f>
        <v>7.6405000000000002E-8</v>
      </c>
      <c r="AR34" s="64">
        <f>IFERROR(RadSpec!$J$14*AR14,".")*$B$33</f>
        <v>1.9487178246575343E-10</v>
      </c>
      <c r="AS34" s="73">
        <f t="shared" si="61"/>
        <v>7.6405000000000002E-8</v>
      </c>
      <c r="AT34" s="73">
        <f t="shared" si="61"/>
        <v>1.9487178246575343E-10</v>
      </c>
      <c r="AU34" s="73">
        <f t="shared" si="62"/>
        <v>7.6599871782465749E-8</v>
      </c>
    </row>
    <row r="35" spans="1:47" x14ac:dyDescent="0.25">
      <c r="A35" s="55" t="s">
        <v>293</v>
      </c>
      <c r="B35" s="50">
        <v>1</v>
      </c>
      <c r="C35" s="56">
        <f>IFERROR(C30/$B35,0)</f>
        <v>232.34065787257276</v>
      </c>
      <c r="D35" s="56">
        <f>IFERROR(D30/$B35,0)</f>
        <v>5.4840445702422942</v>
      </c>
      <c r="E35" s="56">
        <f>IFERROR(E30/$B35,0)</f>
        <v>40000.038369491675</v>
      </c>
      <c r="F35" s="56">
        <f t="shared" ref="F35:F61" si="63">IF(AND(C35&lt;&gt;0,D35&lt;&gt;0,E35&lt;&gt;0),1/((1/C35)+(1/D35)+(1/E35)),IF(AND(C35&lt;&gt;0,D35&lt;&gt;0,E35=0), 1/((1/C35)+(1/D35)),IF(AND(C35&lt;&gt;0,D35=0,E35&lt;&gt;0),1/((1/C35)+(1/E35)),IF(AND(C35=0,D35&lt;&gt;0,E35&lt;&gt;0),1/((1/D35)+(1/E35)),IF(AND(C35&lt;&gt;0,D35=0,E35=0),1/((1/C35)),IF(AND(C35=0,D35&lt;&gt;0,E35=0),1/((1/D35)),IF(AND(C35=0,D35=0,E35&lt;&gt;0),1/((1/E35)),IF(AND(C35=0,D35=0,E35=0),0))))))))</f>
        <v>5.356869457786062</v>
      </c>
      <c r="G35" s="64">
        <f>IFERROR(RadSpec!$I$30*G30,".")*$B$35</f>
        <v>4.3040249999999997E-9</v>
      </c>
      <c r="H35" s="64">
        <f>IFERROR(RadSpec!$G$30*H30,".")*$B$35</f>
        <v>1.8234716862554935E-7</v>
      </c>
      <c r="I35" s="64">
        <f>IFERROR(RadSpec!$F$30*I30,".")*$B$35</f>
        <v>2.4999976019090702E-11</v>
      </c>
      <c r="J35" s="73">
        <f t="shared" si="48"/>
        <v>4.3040249999999997E-9</v>
      </c>
      <c r="K35" s="73">
        <f t="shared" si="48"/>
        <v>1.8234716862554935E-7</v>
      </c>
      <c r="L35" s="73">
        <f t="shared" si="48"/>
        <v>2.4999976019090702E-11</v>
      </c>
      <c r="M35" s="73">
        <f t="shared" si="55"/>
        <v>1.8667619360156845E-7</v>
      </c>
      <c r="N35" s="56">
        <f>IFERROR(N30/$B35,0)</f>
        <v>232.34065787257276</v>
      </c>
      <c r="O35" s="56">
        <f>IFERROR(O30/$B35,0)</f>
        <v>838.62266517674243</v>
      </c>
      <c r="P35" s="56">
        <f>IFERROR(P30/$B35,0)</f>
        <v>40000.038369491675</v>
      </c>
      <c r="Q35" s="56">
        <f t="shared" ref="Q35:Q44" si="64">IF(AND(N35&lt;&gt;0,O35&lt;&gt;0,P35&lt;&gt;0),1/((1/N35)+(1/O35)+(1/P35)),IF(AND(N35&lt;&gt;0,O35&lt;&gt;0,P35=0), 1/((1/N35)+(1/O35)),IF(AND(N35&lt;&gt;0,O35=0,P35&lt;&gt;0),1/((1/N35)+(1/P35)),IF(AND(N35=0,O35&lt;&gt;0,P35&lt;&gt;0),1/((1/O35)+(1/P35)),IF(AND(N35&lt;&gt;0,O35=0,P35=0),1/((1/N35)),IF(AND(N35=0,O35&lt;&gt;0,P35=0),1/((1/O35)),IF(AND(N35=0,O35=0,P35&lt;&gt;0),1/((1/P35)),IF(AND(N35=0,O35=0,P35=0),0))))))))</f>
        <v>181.11163642699253</v>
      </c>
      <c r="R35" s="64">
        <f>IFERROR(RadSpec!$I$30*R30,".")*$B$35</f>
        <v>4.3040249999999997E-9</v>
      </c>
      <c r="S35" s="64">
        <f>IFERROR(RadSpec!$G$30*S30,".")*$B$35</f>
        <v>1.1924314015401036E-9</v>
      </c>
      <c r="T35" s="64">
        <f>IFERROR(RadSpec!$F$30*T30,".")*$B$35</f>
        <v>2.4999976019090702E-11</v>
      </c>
      <c r="U35" s="73">
        <f t="shared" si="49"/>
        <v>4.3040249999999997E-9</v>
      </c>
      <c r="V35" s="73">
        <f t="shared" si="50"/>
        <v>1.1924314015401036E-9</v>
      </c>
      <c r="W35" s="73">
        <f t="shared" si="51"/>
        <v>2.4999976019090702E-11</v>
      </c>
      <c r="X35" s="73">
        <f t="shared" si="57"/>
        <v>5.521456377559194E-9</v>
      </c>
      <c r="Y35" s="56">
        <f t="shared" ref="Y35:AO35" si="65">IFERROR(Y30/$B35,0)</f>
        <v>40000.038369491675</v>
      </c>
      <c r="Z35" s="56">
        <f t="shared" si="65"/>
        <v>137870.23332503121</v>
      </c>
      <c r="AA35" s="56">
        <f t="shared" si="65"/>
        <v>58075.558753777506</v>
      </c>
      <c r="AB35" s="56">
        <f t="shared" si="65"/>
        <v>41078.335650627938</v>
      </c>
      <c r="AC35" s="56">
        <f t="shared" si="65"/>
        <v>113375.93258034383</v>
      </c>
      <c r="AD35" s="64">
        <f>IFERROR(RadSpec!$F$30*AD30,".")*$B$35</f>
        <v>2.4999976019090702E-11</v>
      </c>
      <c r="AE35" s="64">
        <f>IFERROR(RadSpec!$M$30*AE30,".")*$B$35</f>
        <v>7.2531972702366028E-12</v>
      </c>
      <c r="AF35" s="64">
        <f>IFERROR(RadSpec!$N$30*AF30,".")*$B$35</f>
        <v>1.7218947547964064E-11</v>
      </c>
      <c r="AG35" s="64">
        <f>IFERROR(RadSpec!$O$30*AG30,".")*$B$35</f>
        <v>2.4343732143994828E-11</v>
      </c>
      <c r="AH35" s="64">
        <f>IFERROR(RadSpec!$K$30*AH30,".")*$B$35</f>
        <v>8.8202141075342445E-12</v>
      </c>
      <c r="AI35" s="73">
        <f t="shared" si="59"/>
        <v>2.4999976019090702E-11</v>
      </c>
      <c r="AJ35" s="73">
        <f t="shared" si="53"/>
        <v>7.2531972702366028E-12</v>
      </c>
      <c r="AK35" s="73">
        <f t="shared" si="53"/>
        <v>1.7218947547964064E-11</v>
      </c>
      <c r="AL35" s="73">
        <f t="shared" si="53"/>
        <v>2.4343732143994828E-11</v>
      </c>
      <c r="AM35" s="73">
        <f t="shared" si="53"/>
        <v>8.8202141075342445E-12</v>
      </c>
      <c r="AN35" s="56">
        <f t="shared" si="65"/>
        <v>7.065889418830594E-3</v>
      </c>
      <c r="AO35" s="56">
        <f t="shared" si="65"/>
        <v>4671462.5770067247</v>
      </c>
      <c r="AP35" s="56">
        <f t="shared" si="60"/>
        <v>7.0658894081429783E-3</v>
      </c>
      <c r="AQ35" s="64">
        <f>IFERROR(RadSpec!$G$30*AQ30,".")*$B$35</f>
        <v>1.4152500000000001E-4</v>
      </c>
      <c r="AR35" s="64">
        <f>IFERROR(RadSpec!$J$30*AR30,".")*$B$35</f>
        <v>2.1406571999999998E-13</v>
      </c>
      <c r="AS35" s="73">
        <f t="shared" si="61"/>
        <v>1.4152500000000001E-4</v>
      </c>
      <c r="AT35" s="73">
        <f t="shared" si="61"/>
        <v>2.1406571999999998E-13</v>
      </c>
      <c r="AU35" s="73">
        <f t="shared" si="62"/>
        <v>1.4152500021406573E-4</v>
      </c>
    </row>
    <row r="36" spans="1:47" x14ac:dyDescent="0.25">
      <c r="A36" s="55" t="s">
        <v>294</v>
      </c>
      <c r="B36" s="50">
        <v>1</v>
      </c>
      <c r="C36" s="56">
        <f>IFERROR(C26/$B36,0)</f>
        <v>61.579008947429998</v>
      </c>
      <c r="D36" s="56">
        <f>IFERROR(D26/$B36,0)</f>
        <v>0.88883349496511765</v>
      </c>
      <c r="E36" s="56">
        <f>IFERROR(E26/$B36,0)</f>
        <v>218.73414757792631</v>
      </c>
      <c r="F36" s="56">
        <f t="shared" si="63"/>
        <v>0.87269083765041178</v>
      </c>
      <c r="G36" s="64">
        <f>IFERROR(RadSpec!$I$26*G26,".")*$B$37</f>
        <v>1.62393E-8</v>
      </c>
      <c r="H36" s="64">
        <f>IFERROR(RadSpec!$G$26*H26,".")*$B$37</f>
        <v>1.1250701123040431E-6</v>
      </c>
      <c r="I36" s="64">
        <f>IFERROR(RadSpec!$F$26*I26,".")*$B$37</f>
        <v>4.5717598787072766E-9</v>
      </c>
      <c r="J36" s="73">
        <f t="shared" si="48"/>
        <v>1.62393E-8</v>
      </c>
      <c r="K36" s="73">
        <f t="shared" si="48"/>
        <v>1.1250701123040431E-6</v>
      </c>
      <c r="L36" s="73">
        <f t="shared" si="48"/>
        <v>4.5717598787072766E-9</v>
      </c>
      <c r="M36" s="73">
        <f t="shared" si="55"/>
        <v>1.1458811721827503E-6</v>
      </c>
      <c r="N36" s="56">
        <f>IFERROR(N26/$B36,0)</f>
        <v>61.579008947429998</v>
      </c>
      <c r="O36" s="56">
        <f>IFERROR(O26/$B36,0)</f>
        <v>135.92083450428137</v>
      </c>
      <c r="P36" s="56">
        <f>IFERROR(P26/$B36,0)</f>
        <v>218.73414757792631</v>
      </c>
      <c r="Q36" s="56">
        <f t="shared" si="64"/>
        <v>35.500920504154216</v>
      </c>
      <c r="R36" s="64">
        <f>IFERROR(RadSpec!$I$26*R26,".")*$B$37</f>
        <v>1.62393E-8</v>
      </c>
      <c r="S36" s="64">
        <f>IFERROR(RadSpec!$G$26*S26,".")*$B$37</f>
        <v>7.3572238108095279E-9</v>
      </c>
      <c r="T36" s="64">
        <f>IFERROR(RadSpec!$F$26*T26,".")*$B$37</f>
        <v>4.5717598787072766E-9</v>
      </c>
      <c r="U36" s="73">
        <f t="shared" si="49"/>
        <v>1.62393E-8</v>
      </c>
      <c r="V36" s="73">
        <f t="shared" si="50"/>
        <v>7.3572238108095279E-9</v>
      </c>
      <c r="W36" s="73">
        <f t="shared" si="51"/>
        <v>4.5717598787072766E-9</v>
      </c>
      <c r="X36" s="73">
        <f t="shared" si="57"/>
        <v>2.8168283689516807E-8</v>
      </c>
      <c r="Y36" s="56">
        <f t="shared" ref="Y36:AO36" si="66">IFERROR(Y26/$B36,0)</f>
        <v>218.73414757792631</v>
      </c>
      <c r="Z36" s="56">
        <f t="shared" si="66"/>
        <v>750.89767982552655</v>
      </c>
      <c r="AA36" s="56">
        <f t="shared" si="66"/>
        <v>296.13081041040209</v>
      </c>
      <c r="AB36" s="56">
        <f t="shared" si="66"/>
        <v>213.81505596785323</v>
      </c>
      <c r="AC36" s="56">
        <f t="shared" si="66"/>
        <v>700.96649419528887</v>
      </c>
      <c r="AD36" s="64">
        <f>IFERROR(RadSpec!$F$26*AD26,".")*$B$37</f>
        <v>4.5717598787072766E-9</v>
      </c>
      <c r="AE36" s="64">
        <f>IFERROR(RadSpec!$M$26*AE26,".")*$B$37</f>
        <v>1.3317393659178081E-9</v>
      </c>
      <c r="AF36" s="64">
        <f>IFERROR(RadSpec!$N$26*AF26,".")*$B$37</f>
        <v>3.376886041050976E-9</v>
      </c>
      <c r="AG36" s="64">
        <f>IFERROR(RadSpec!$O$26*AG26,".")*$B$37</f>
        <v>4.676939121398207E-9</v>
      </c>
      <c r="AH36" s="64">
        <f>IFERROR(RadSpec!$K$26*AH26,".")*$B$37</f>
        <v>1.4266017110389883E-9</v>
      </c>
      <c r="AI36" s="73">
        <f t="shared" si="59"/>
        <v>4.5717598787072766E-9</v>
      </c>
      <c r="AJ36" s="73">
        <f t="shared" si="53"/>
        <v>1.3317393659178081E-9</v>
      </c>
      <c r="AK36" s="73">
        <f t="shared" si="53"/>
        <v>3.376886041050976E-9</v>
      </c>
      <c r="AL36" s="73">
        <f t="shared" si="53"/>
        <v>4.676939121398207E-9</v>
      </c>
      <c r="AM36" s="73">
        <f t="shared" si="53"/>
        <v>1.4266017110389883E-9</v>
      </c>
      <c r="AN36" s="56">
        <f t="shared" si="66"/>
        <v>1.1452130096197893E-3</v>
      </c>
      <c r="AO36" s="56">
        <f t="shared" si="66"/>
        <v>14596.048440997663</v>
      </c>
      <c r="AP36" s="56">
        <f t="shared" si="60"/>
        <v>1.1452129197658306E-3</v>
      </c>
      <c r="AQ36" s="64">
        <f>IFERROR(RadSpec!$G$26*AQ26,".")*$B$37</f>
        <v>8.7320000000000008E-4</v>
      </c>
      <c r="AR36" s="64">
        <f>IFERROR(RadSpec!$J$26*AR26,".")*$B$37</f>
        <v>6.8511693698630134E-11</v>
      </c>
      <c r="AS36" s="73">
        <f t="shared" si="61"/>
        <v>8.7320000000000008E-4</v>
      </c>
      <c r="AT36" s="73">
        <f t="shared" si="61"/>
        <v>6.8511693698630134E-11</v>
      </c>
      <c r="AU36" s="73">
        <f t="shared" si="62"/>
        <v>8.732000685116938E-4</v>
      </c>
    </row>
    <row r="37" spans="1:47" x14ac:dyDescent="0.25">
      <c r="A37" s="55" t="s">
        <v>295</v>
      </c>
      <c r="B37" s="50">
        <v>1</v>
      </c>
      <c r="C37" s="56">
        <f>IFERROR(C22/$B37,0)</f>
        <v>162.98523761210328</v>
      </c>
      <c r="D37" s="56">
        <f>IFERROR(D22/$B37,0)</f>
        <v>5.9339379013229925</v>
      </c>
      <c r="E37" s="56">
        <f>IFERROR(E22/$B37,0)</f>
        <v>7253.7108770662535</v>
      </c>
      <c r="F37" s="56">
        <f t="shared" si="63"/>
        <v>5.7209697682885396</v>
      </c>
      <c r="G37" s="64">
        <f>IFERROR(RadSpec!$I$22*G22,".")*$B$37</f>
        <v>6.1355249999999994E-9</v>
      </c>
      <c r="H37" s="64">
        <f>IFERROR(RadSpec!$G$22*H22,".")*$B$37</f>
        <v>1.6852215453367762E-7</v>
      </c>
      <c r="I37" s="64">
        <f>IFERROR(RadSpec!$F$22*I22,".")*$B$37</f>
        <v>1.3786047127431795E-10</v>
      </c>
      <c r="J37" s="73">
        <f t="shared" si="48"/>
        <v>6.1355249999999994E-9</v>
      </c>
      <c r="K37" s="73">
        <f t="shared" si="48"/>
        <v>1.6852215453367762E-7</v>
      </c>
      <c r="L37" s="73">
        <f t="shared" si="48"/>
        <v>1.3786047127431795E-10</v>
      </c>
      <c r="M37" s="73">
        <f t="shared" si="55"/>
        <v>1.7479554000495194E-7</v>
      </c>
      <c r="N37" s="56">
        <f>IFERROR(N22/$B37,0)</f>
        <v>162.98523761210328</v>
      </c>
      <c r="O37" s="56">
        <f>IFERROR(O22/$B37,0)</f>
        <v>907.42056415871014</v>
      </c>
      <c r="P37" s="56">
        <f>IFERROR(P22/$B37,0)</f>
        <v>7253.7108770662535</v>
      </c>
      <c r="Q37" s="56">
        <f t="shared" si="64"/>
        <v>135.58567701306612</v>
      </c>
      <c r="R37" s="64">
        <f>IFERROR(RadSpec!$I$22*R22,".")*$B$37</f>
        <v>6.1355249999999994E-9</v>
      </c>
      <c r="S37" s="64">
        <f>IFERROR(RadSpec!$G$22*S22,".")*$B$37</f>
        <v>1.1020248377632068E-9</v>
      </c>
      <c r="T37" s="64">
        <f>IFERROR(RadSpec!$F$22*T22,".")*$B$37</f>
        <v>1.3786047127431795E-10</v>
      </c>
      <c r="U37" s="73">
        <f t="shared" si="49"/>
        <v>6.1355249999999994E-9</v>
      </c>
      <c r="V37" s="73">
        <f t="shared" si="50"/>
        <v>1.1020248377632068E-9</v>
      </c>
      <c r="W37" s="73">
        <f t="shared" si="51"/>
        <v>1.3786047127431795E-10</v>
      </c>
      <c r="X37" s="73">
        <f t="shared" si="57"/>
        <v>7.3754103090375239E-9</v>
      </c>
      <c r="Y37" s="56">
        <f t="shared" ref="Y37:AO37" si="67">IFERROR(Y22/$B37,0)</f>
        <v>7253.7108770662535</v>
      </c>
      <c r="Z37" s="56">
        <f t="shared" si="67"/>
        <v>10728.198644995111</v>
      </c>
      <c r="AA37" s="56">
        <f t="shared" si="67"/>
        <v>7023.9789790205659</v>
      </c>
      <c r="AB37" s="56">
        <f t="shared" si="67"/>
        <v>6028.5711705217054</v>
      </c>
      <c r="AC37" s="56">
        <f t="shared" si="67"/>
        <v>6317.1665380160375</v>
      </c>
      <c r="AD37" s="64">
        <f>IFERROR(RadSpec!$F$22*AD22,".")*$B$37</f>
        <v>1.3786047127431795E-10</v>
      </c>
      <c r="AE37" s="64">
        <f>IFERROR(RadSpec!$M$22*AE22,".")*$B$37</f>
        <v>9.3212293423231593E-11</v>
      </c>
      <c r="AF37" s="64">
        <f>IFERROR(RadSpec!$N$22*AF22,".")*$B$37</f>
        <v>1.4236944657534289E-10</v>
      </c>
      <c r="AG37" s="64">
        <f>IFERROR(RadSpec!$O$22*AG22,".")*$B$37</f>
        <v>1.6587678435145038E-10</v>
      </c>
      <c r="AH37" s="64">
        <f>IFERROR(RadSpec!$K$22*AH22,".")*$B$37</f>
        <v>1.5829881862099185E-10</v>
      </c>
      <c r="AI37" s="73">
        <f t="shared" si="59"/>
        <v>1.3786047127431795E-10</v>
      </c>
      <c r="AJ37" s="73">
        <f t="shared" si="53"/>
        <v>9.3212293423231593E-11</v>
      </c>
      <c r="AK37" s="73">
        <f t="shared" si="53"/>
        <v>1.4236944657534289E-10</v>
      </c>
      <c r="AL37" s="73">
        <f t="shared" si="53"/>
        <v>1.6587678435145038E-10</v>
      </c>
      <c r="AM37" s="73">
        <f t="shared" si="53"/>
        <v>1.5829881862099185E-10</v>
      </c>
      <c r="AN37" s="56">
        <f t="shared" si="67"/>
        <v>7.6455522000076458E-3</v>
      </c>
      <c r="AO37" s="56">
        <f t="shared" si="67"/>
        <v>237416.73729977215</v>
      </c>
      <c r="AP37" s="56">
        <f t="shared" si="60"/>
        <v>7.6455519537972604E-3</v>
      </c>
      <c r="AQ37" s="64">
        <f>IFERROR(RadSpec!$G$22*AQ22,".")*$B$37</f>
        <v>1.3079500000000001E-4</v>
      </c>
      <c r="AR37" s="64">
        <f>IFERROR(RadSpec!$J$22*AR22,".")*$B$37</f>
        <v>4.2120029589041093E-12</v>
      </c>
      <c r="AS37" s="73">
        <f t="shared" si="61"/>
        <v>1.3079500000000001E-4</v>
      </c>
      <c r="AT37" s="73">
        <f t="shared" si="61"/>
        <v>4.2120029589041093E-12</v>
      </c>
      <c r="AU37" s="73">
        <f t="shared" si="62"/>
        <v>1.3079500421200296E-4</v>
      </c>
    </row>
    <row r="38" spans="1:47" x14ac:dyDescent="0.25">
      <c r="A38" s="55" t="s">
        <v>296</v>
      </c>
      <c r="B38" s="50">
        <v>1</v>
      </c>
      <c r="C38" s="56">
        <f>IFERROR(C2/$B38,0)</f>
        <v>134.26242934439654</v>
      </c>
      <c r="D38" s="56">
        <f>IFERROR(D2/$B38,0)</f>
        <v>5.4343187775069373</v>
      </c>
      <c r="E38" s="56">
        <f>IFERROR(E2/$B38,0)</f>
        <v>1141.9130743794221</v>
      </c>
      <c r="F38" s="56">
        <f t="shared" si="63"/>
        <v>5.1991392997133383</v>
      </c>
      <c r="G38" s="64">
        <f>IFERROR(RadSpec!$I$2*G2,".")*$B$38</f>
        <v>7.4480999999999995E-9</v>
      </c>
      <c r="H38" s="64">
        <f>IFERROR(RadSpec!$G$2*H2,".")*$B$38</f>
        <v>1.840157048090511E-7</v>
      </c>
      <c r="I38" s="64">
        <f>IFERROR(RadSpec!$F$2*I2,".")*$B$38</f>
        <v>8.7572339999999969E-10</v>
      </c>
      <c r="J38" s="73">
        <f t="shared" si="48"/>
        <v>7.4480999999999995E-9</v>
      </c>
      <c r="K38" s="73">
        <f t="shared" si="48"/>
        <v>1.840157048090511E-7</v>
      </c>
      <c r="L38" s="73">
        <f t="shared" si="48"/>
        <v>8.7572339999999969E-10</v>
      </c>
      <c r="M38" s="73">
        <f t="shared" si="55"/>
        <v>1.9233952820905109E-7</v>
      </c>
      <c r="N38" s="56">
        <f>IFERROR(N2/$B38,0)</f>
        <v>134.26242934439654</v>
      </c>
      <c r="O38" s="56">
        <f>IFERROR(O2/$B38,0)</f>
        <v>831.01857365311923</v>
      </c>
      <c r="P38" s="56">
        <f>IFERROR(P2/$B38,0)</f>
        <v>1141.9130743794221</v>
      </c>
      <c r="Q38" s="56">
        <f t="shared" si="64"/>
        <v>104.96300856416509</v>
      </c>
      <c r="R38" s="64">
        <f>IFERROR(RadSpec!$I$2*R2,".")*$B$38</f>
        <v>7.4480999999999995E-9</v>
      </c>
      <c r="S38" s="64">
        <f>IFERROR(RadSpec!$G$2*S2,".")*$B$38</f>
        <v>1.2033425385476601E-9</v>
      </c>
      <c r="T38" s="64">
        <f>IFERROR(RadSpec!$F$2*T2,".")*$B$38</f>
        <v>8.7572339999999969E-10</v>
      </c>
      <c r="U38" s="73">
        <f t="shared" si="49"/>
        <v>7.4480999999999995E-9</v>
      </c>
      <c r="V38" s="73">
        <f t="shared" si="50"/>
        <v>1.2033425385476601E-9</v>
      </c>
      <c r="W38" s="73">
        <f t="shared" si="51"/>
        <v>8.7572339999999969E-10</v>
      </c>
      <c r="X38" s="73">
        <f t="shared" si="57"/>
        <v>9.5271659385476603E-9</v>
      </c>
      <c r="Y38" s="56">
        <f t="shared" ref="Y38:AO38" si="68">IFERROR(Y2/$B38,0)</f>
        <v>1141.9130743794221</v>
      </c>
      <c r="Z38" s="56">
        <f t="shared" si="68"/>
        <v>3927.7933670951093</v>
      </c>
      <c r="AA38" s="56">
        <f t="shared" si="68"/>
        <v>1615.4615009288823</v>
      </c>
      <c r="AB38" s="56">
        <f t="shared" si="68"/>
        <v>1131.1304547858037</v>
      </c>
      <c r="AC38" s="56">
        <f t="shared" si="68"/>
        <v>3801.7086057343463</v>
      </c>
      <c r="AD38" s="64">
        <f>IFERROR(RadSpec!$F$2*AD2,".")*$B$38</f>
        <v>8.7572339999999969E-10</v>
      </c>
      <c r="AE38" s="64">
        <f>IFERROR(RadSpec!$M$2*AE2,".")*$B$38</f>
        <v>2.5459587777133325E-10</v>
      </c>
      <c r="AF38" s="64">
        <f>IFERROR(RadSpec!$N$2*AF2,".")*$B$38</f>
        <v>6.1901815637513167E-10</v>
      </c>
      <c r="AG38" s="64">
        <f>IFERROR(RadSpec!$O$2*AG2,".")*$B$38</f>
        <v>8.8407132507926752E-10</v>
      </c>
      <c r="AH38" s="64">
        <f>IFERROR(RadSpec!$K$2*AH2,".")*$B$38</f>
        <v>2.6303962341870171E-10</v>
      </c>
      <c r="AI38" s="73">
        <f t="shared" si="59"/>
        <v>8.7572339999999969E-10</v>
      </c>
      <c r="AJ38" s="73">
        <f t="shared" si="53"/>
        <v>2.5459587777133325E-10</v>
      </c>
      <c r="AK38" s="73">
        <f t="shared" si="53"/>
        <v>6.1901815637513167E-10</v>
      </c>
      <c r="AL38" s="73">
        <f t="shared" si="53"/>
        <v>8.8407132507926752E-10</v>
      </c>
      <c r="AM38" s="73">
        <f t="shared" si="53"/>
        <v>2.6303962341870171E-10</v>
      </c>
      <c r="AN38" s="56">
        <f t="shared" si="68"/>
        <v>7.0018204733230645E-3</v>
      </c>
      <c r="AO38" s="56">
        <f t="shared" si="68"/>
        <v>85060.871867038542</v>
      </c>
      <c r="AP38" s="56">
        <f t="shared" si="60"/>
        <v>7.0018198969653946E-3</v>
      </c>
      <c r="AQ38" s="64">
        <f>IFERROR(RadSpec!$G$2*AQ2,".")*$B$38</f>
        <v>1.4281999999999999E-4</v>
      </c>
      <c r="AR38" s="64">
        <f>IFERROR(RadSpec!$J$2*AR2,".")*$B$38</f>
        <v>1.1756286739726026E-11</v>
      </c>
      <c r="AS38" s="73">
        <f t="shared" si="61"/>
        <v>1.4281999999999999E-4</v>
      </c>
      <c r="AT38" s="73">
        <f t="shared" si="61"/>
        <v>1.1756286739726026E-11</v>
      </c>
      <c r="AU38" s="73">
        <f t="shared" si="62"/>
        <v>1.4282001175628672E-4</v>
      </c>
    </row>
    <row r="39" spans="1:47" x14ac:dyDescent="0.25">
      <c r="A39" s="55" t="s">
        <v>297</v>
      </c>
      <c r="B39" s="50">
        <v>1</v>
      </c>
      <c r="C39" s="56">
        <f>IFERROR(C11/$B39,0)</f>
        <v>0</v>
      </c>
      <c r="D39" s="56">
        <f>IFERROR(D11/$B39,0)</f>
        <v>0</v>
      </c>
      <c r="E39" s="56">
        <f>IFERROR(E11/$B39,0)</f>
        <v>565.59435988378232</v>
      </c>
      <c r="F39" s="56">
        <f t="shared" si="63"/>
        <v>565.59435988378232</v>
      </c>
      <c r="G39" s="64">
        <f>IFERROR(RadSpec!$I$11*G11,".")*$B$39</f>
        <v>0</v>
      </c>
      <c r="H39" s="64">
        <f>IFERROR(RadSpec!$G$11*H11,".")*$B$39</f>
        <v>0</v>
      </c>
      <c r="I39" s="64">
        <f>IFERROR(RadSpec!$F$11*I11,".")*$B$39</f>
        <v>1.7680515771152297E-9</v>
      </c>
      <c r="J39" s="73">
        <f t="shared" si="48"/>
        <v>0</v>
      </c>
      <c r="K39" s="73">
        <f t="shared" si="48"/>
        <v>0</v>
      </c>
      <c r="L39" s="73">
        <f t="shared" si="48"/>
        <v>1.7680515771152297E-9</v>
      </c>
      <c r="M39" s="73">
        <f t="shared" si="55"/>
        <v>1.7680515771152297E-9</v>
      </c>
      <c r="N39" s="56">
        <f>IFERROR(N11/$B39,0)</f>
        <v>0</v>
      </c>
      <c r="O39" s="56">
        <f>IFERROR(O11/$B39,0)</f>
        <v>0</v>
      </c>
      <c r="P39" s="56">
        <f>IFERROR(P11/$B39,0)</f>
        <v>565.59435988378232</v>
      </c>
      <c r="Q39" s="56">
        <f t="shared" si="64"/>
        <v>565.59435988378232</v>
      </c>
      <c r="R39" s="64">
        <f>IFERROR(RadSpec!$I$11*R11,".")*$B$39</f>
        <v>0</v>
      </c>
      <c r="S39" s="64">
        <f>IFERROR(RadSpec!$G$11*S11,".")*$B$39</f>
        <v>0</v>
      </c>
      <c r="T39" s="64">
        <f>IFERROR(RadSpec!$F$11*T11,".")*$B$39</f>
        <v>1.7680515771152297E-9</v>
      </c>
      <c r="U39" s="73">
        <f t="shared" si="49"/>
        <v>0</v>
      </c>
      <c r="V39" s="73">
        <f t="shared" si="50"/>
        <v>0</v>
      </c>
      <c r="W39" s="73">
        <f t="shared" si="51"/>
        <v>1.7680515771152297E-9</v>
      </c>
      <c r="X39" s="73">
        <f t="shared" si="57"/>
        <v>1.7680515771152297E-9</v>
      </c>
      <c r="Y39" s="56">
        <f t="shared" ref="Y39:AO39" si="69">IFERROR(Y11/$B39,0)</f>
        <v>565.59435988378232</v>
      </c>
      <c r="Z39" s="56">
        <f t="shared" si="69"/>
        <v>3245.1446979931011</v>
      </c>
      <c r="AA39" s="56">
        <f t="shared" si="69"/>
        <v>862.69122887877165</v>
      </c>
      <c r="AB39" s="56">
        <f t="shared" si="69"/>
        <v>514.97474376728019</v>
      </c>
      <c r="AC39" s="56">
        <f t="shared" si="69"/>
        <v>3865.4678465384013</v>
      </c>
      <c r="AD39" s="64">
        <f>IFERROR(RadSpec!$F$11*AD11,".")*$B$39</f>
        <v>1.7680515771152297E-9</v>
      </c>
      <c r="AE39" s="64">
        <f>IFERROR(RadSpec!$M$11*AE11,".")*$B$39</f>
        <v>3.0815266900684929E-10</v>
      </c>
      <c r="AF39" s="64">
        <f>IFERROR(RadSpec!$N$11*AF11,".")*$B$39</f>
        <v>1.15916328638195E-9</v>
      </c>
      <c r="AG39" s="64">
        <f>IFERROR(RadSpec!$O$11*AG11,".")*$B$39</f>
        <v>1.941842803172315E-9</v>
      </c>
      <c r="AH39" s="64">
        <f>IFERROR(RadSpec!$K$11*AH11,".")*$B$39</f>
        <v>2.587008972007149E-10</v>
      </c>
      <c r="AI39" s="73">
        <f t="shared" si="59"/>
        <v>1.7680515771152297E-9</v>
      </c>
      <c r="AJ39" s="73">
        <f t="shared" si="53"/>
        <v>3.0815266900684929E-10</v>
      </c>
      <c r="AK39" s="73">
        <f t="shared" si="53"/>
        <v>1.15916328638195E-9</v>
      </c>
      <c r="AL39" s="73">
        <f t="shared" si="53"/>
        <v>1.941842803172315E-9</v>
      </c>
      <c r="AM39" s="73">
        <f t="shared" si="53"/>
        <v>2.587008972007149E-10</v>
      </c>
      <c r="AN39" s="56">
        <f t="shared" si="69"/>
        <v>0</v>
      </c>
      <c r="AO39" s="56">
        <f t="shared" si="69"/>
        <v>38005.921472506583</v>
      </c>
      <c r="AP39" s="56">
        <f t="shared" si="60"/>
        <v>38005.921472506583</v>
      </c>
      <c r="AQ39" s="64">
        <f>IFERROR(RadSpec!$G$11*AQ11,".")*$B$39</f>
        <v>0</v>
      </c>
      <c r="AR39" s="64">
        <f>IFERROR(RadSpec!$J$11*AR11,".")*$B$39</f>
        <v>2.6311689369863012E-11</v>
      </c>
      <c r="AS39" s="73">
        <f t="shared" si="61"/>
        <v>0</v>
      </c>
      <c r="AT39" s="73">
        <f t="shared" si="61"/>
        <v>2.6311689369863012E-11</v>
      </c>
      <c r="AU39" s="73">
        <f t="shared" si="62"/>
        <v>2.6311689369863012E-11</v>
      </c>
    </row>
    <row r="40" spans="1:47" x14ac:dyDescent="0.25">
      <c r="A40" s="55" t="s">
        <v>298</v>
      </c>
      <c r="B40" s="50">
        <v>1</v>
      </c>
      <c r="C40" s="56">
        <f>IFERROR(C4/$B40,0)</f>
        <v>0</v>
      </c>
      <c r="D40" s="56">
        <f>IFERROR(D4/$B40,0)</f>
        <v>0</v>
      </c>
      <c r="E40" s="56">
        <f>IFERROR(E4/$B40,0)</f>
        <v>61646.255780056425</v>
      </c>
      <c r="F40" s="56">
        <f t="shared" si="63"/>
        <v>61646.255780056425</v>
      </c>
      <c r="G40" s="64">
        <f>IFERROR(RadSpec!$I$4*G4,".")*$B$40</f>
        <v>0</v>
      </c>
      <c r="H40" s="64">
        <f>IFERROR(RadSpec!$G$4*H4,".")*$B$40</f>
        <v>0</v>
      </c>
      <c r="I40" s="64">
        <f>IFERROR(RadSpec!$F$4*I4,".")*$B$40</f>
        <v>1.6221585355773002E-11</v>
      </c>
      <c r="J40" s="73">
        <f t="shared" si="48"/>
        <v>0</v>
      </c>
      <c r="K40" s="73">
        <f t="shared" si="48"/>
        <v>0</v>
      </c>
      <c r="L40" s="73">
        <f t="shared" si="48"/>
        <v>1.6221585355773002E-11</v>
      </c>
      <c r="M40" s="73">
        <f t="shared" si="55"/>
        <v>1.6221585355773002E-11</v>
      </c>
      <c r="N40" s="56">
        <f>IFERROR(N4/$B40,0)</f>
        <v>0</v>
      </c>
      <c r="O40" s="56">
        <f>IFERROR(O4/$B40,0)</f>
        <v>0</v>
      </c>
      <c r="P40" s="56">
        <f>IFERROR(P4/$B40,0)</f>
        <v>61646.255780056425</v>
      </c>
      <c r="Q40" s="56">
        <f t="shared" si="64"/>
        <v>61646.255780056425</v>
      </c>
      <c r="R40" s="64">
        <f>IFERROR(RadSpec!$I$4*R4,".")*$B$40</f>
        <v>0</v>
      </c>
      <c r="S40" s="64">
        <f>IFERROR(RadSpec!$G$4*S4,".")*$B$40</f>
        <v>0</v>
      </c>
      <c r="T40" s="64">
        <f>IFERROR(RadSpec!$F$4*T4,".")*$B$40</f>
        <v>1.6221585355773002E-11</v>
      </c>
      <c r="U40" s="73">
        <f t="shared" si="49"/>
        <v>0</v>
      </c>
      <c r="V40" s="73">
        <f t="shared" si="50"/>
        <v>0</v>
      </c>
      <c r="W40" s="73">
        <f t="shared" si="51"/>
        <v>1.6221585355773002E-11</v>
      </c>
      <c r="X40" s="73">
        <f t="shared" si="57"/>
        <v>1.6221585355773002E-11</v>
      </c>
      <c r="Y40" s="56">
        <f t="shared" ref="Y40:AO40" si="70">IFERROR(Y4/$B40,0)</f>
        <v>61646.255780056425</v>
      </c>
      <c r="Z40" s="56">
        <f t="shared" si="70"/>
        <v>398502.33303071506</v>
      </c>
      <c r="AA40" s="56">
        <f t="shared" si="70"/>
        <v>103029.35804451784</v>
      </c>
      <c r="AB40" s="56">
        <f t="shared" si="70"/>
        <v>59531.943705477453</v>
      </c>
      <c r="AC40" s="56">
        <f t="shared" si="70"/>
        <v>490597.56379651144</v>
      </c>
      <c r="AD40" s="64">
        <f>IFERROR(RadSpec!$F$4*AD4,".")*$B$40</f>
        <v>1.6221585355773002E-11</v>
      </c>
      <c r="AE40" s="64">
        <f>IFERROR(RadSpec!$M$4*AE4,".")*$B$40</f>
        <v>2.5093955972471652E-12</v>
      </c>
      <c r="AF40" s="64">
        <f>IFERROR(RadSpec!$N$4*AF4,".")*$B$40</f>
        <v>9.7059713753424638E-12</v>
      </c>
      <c r="AG40" s="64">
        <f>IFERROR(RadSpec!$O$4*AG4,".")*$B$40</f>
        <v>1.6797704522252838E-11</v>
      </c>
      <c r="AH40" s="64">
        <f>IFERROR(RadSpec!$K$4*AH4,".")*$B$40</f>
        <v>2.0383305458377222E-12</v>
      </c>
      <c r="AI40" s="73">
        <f t="shared" si="59"/>
        <v>1.6221585355773002E-11</v>
      </c>
      <c r="AJ40" s="73">
        <f t="shared" si="53"/>
        <v>2.5093955972471652E-12</v>
      </c>
      <c r="AK40" s="73">
        <f t="shared" si="53"/>
        <v>9.7059713753424638E-12</v>
      </c>
      <c r="AL40" s="73">
        <f t="shared" si="53"/>
        <v>1.6797704522252838E-11</v>
      </c>
      <c r="AM40" s="73">
        <f t="shared" si="53"/>
        <v>2.0383305458377222E-12</v>
      </c>
      <c r="AN40" s="56">
        <f t="shared" si="70"/>
        <v>0</v>
      </c>
      <c r="AO40" s="56">
        <f t="shared" si="70"/>
        <v>4487062.7384406701</v>
      </c>
      <c r="AP40" s="56">
        <f t="shared" si="60"/>
        <v>4487062.7384406701</v>
      </c>
      <c r="AQ40" s="64">
        <f>IFERROR(RadSpec!$G$4*AQ4,".")*$B$40</f>
        <v>0</v>
      </c>
      <c r="AR40" s="64">
        <f>IFERROR(RadSpec!$J$4*AR4,".")*$B$40</f>
        <v>2.2286294136986302E-13</v>
      </c>
      <c r="AS40" s="73">
        <f t="shared" si="61"/>
        <v>0</v>
      </c>
      <c r="AT40" s="73">
        <f t="shared" si="61"/>
        <v>2.2286294136986302E-13</v>
      </c>
      <c r="AU40" s="73">
        <f t="shared" si="62"/>
        <v>2.2286294136986302E-13</v>
      </c>
    </row>
    <row r="41" spans="1:47" x14ac:dyDescent="0.25">
      <c r="A41" s="55" t="s">
        <v>299</v>
      </c>
      <c r="B41" s="57">
        <v>0.99987999999999999</v>
      </c>
      <c r="C41" s="56">
        <f>IFERROR(C8/$B41,0)</f>
        <v>38230.997007893871</v>
      </c>
      <c r="D41" s="56">
        <f>IFERROR(D8/$B41,0)</f>
        <v>2097.8987959731944</v>
      </c>
      <c r="E41" s="56">
        <f>IFERROR(E8/$B41,0)</f>
        <v>91.503284036435588</v>
      </c>
      <c r="F41" s="56">
        <f t="shared" si="63"/>
        <v>87.47839722063749</v>
      </c>
      <c r="G41" s="64">
        <f>IFERROR(RadSpec!$I$8*G8,".")*$B$41</f>
        <v>2.6156785809000002E-11</v>
      </c>
      <c r="H41" s="64">
        <f>IFERROR(RadSpec!$G$8*H8,".")*$B$41</f>
        <v>4.7666741690278241E-10</v>
      </c>
      <c r="I41" s="64">
        <f>IFERROR(RadSpec!$F$8*I8,".")*$B$41</f>
        <v>1.0928569510158906E-8</v>
      </c>
      <c r="J41" s="73">
        <f t="shared" si="48"/>
        <v>2.6156785809000002E-11</v>
      </c>
      <c r="K41" s="73">
        <f t="shared" si="48"/>
        <v>4.7666741690278241E-10</v>
      </c>
      <c r="L41" s="73">
        <f t="shared" si="48"/>
        <v>1.0928569510158906E-8</v>
      </c>
      <c r="M41" s="73">
        <f t="shared" si="55"/>
        <v>1.1431393712870688E-8</v>
      </c>
      <c r="N41" s="56">
        <f>IFERROR(N8/$B41,0)</f>
        <v>38230.997007893871</v>
      </c>
      <c r="O41" s="56">
        <f>IFERROR(O8/$B41,0)</f>
        <v>320811.66683012364</v>
      </c>
      <c r="P41" s="56">
        <f>IFERROR(P8/$B41,0)</f>
        <v>91.503284036435588</v>
      </c>
      <c r="Q41" s="56">
        <f t="shared" si="64"/>
        <v>91.258833006334669</v>
      </c>
      <c r="R41" s="64">
        <f>IFERROR(RadSpec!$I$8*R8,".")*$B$41</f>
        <v>2.6156785809000002E-11</v>
      </c>
      <c r="S41" s="64">
        <f>IFERROR(RadSpec!$G$8*S8,".")*$B$41</f>
        <v>3.1170936203187418E-12</v>
      </c>
      <c r="T41" s="64">
        <f>IFERROR(RadSpec!$F$8*T8,".")*$B$41</f>
        <v>1.0928569510158906E-8</v>
      </c>
      <c r="U41" s="73">
        <f t="shared" si="49"/>
        <v>2.6156785809000002E-11</v>
      </c>
      <c r="V41" s="73">
        <f t="shared" si="50"/>
        <v>3.1170936203187418E-12</v>
      </c>
      <c r="W41" s="73">
        <f t="shared" si="51"/>
        <v>1.0928569510158906E-8</v>
      </c>
      <c r="X41" s="73">
        <f t="shared" si="57"/>
        <v>1.0957843389588224E-8</v>
      </c>
      <c r="Y41" s="56">
        <f t="shared" ref="Y41:AO41" si="71">IFERROR(Y8/$B41,0)</f>
        <v>91.503284036435588</v>
      </c>
      <c r="Z41" s="56">
        <f t="shared" si="71"/>
        <v>772.32267899659473</v>
      </c>
      <c r="AA41" s="56">
        <f t="shared" si="71"/>
        <v>186.51592697767776</v>
      </c>
      <c r="AB41" s="56">
        <f t="shared" si="71"/>
        <v>103.18027077815897</v>
      </c>
      <c r="AC41" s="56">
        <f t="shared" si="71"/>
        <v>1090.7613319539819</v>
      </c>
      <c r="AD41" s="64">
        <f>IFERROR(RadSpec!$F$8*AD8,".")*$B$41</f>
        <v>1.0928569510158906E-8</v>
      </c>
      <c r="AE41" s="64">
        <f>IFERROR(RadSpec!$M$8*AE8,".")*$B$41</f>
        <v>1.2947955915255586E-9</v>
      </c>
      <c r="AF41" s="64">
        <f>IFERROR(RadSpec!$N$8*AF8,".")*$B$41</f>
        <v>5.3614724286772567E-9</v>
      </c>
      <c r="AG41" s="64">
        <f>IFERROR(RadSpec!$O$8*AG8,".")*$B$41</f>
        <v>9.6917753021799414E-9</v>
      </c>
      <c r="AH41" s="64">
        <f>IFERROR(RadSpec!$K$8*AH8,".")*$B$41</f>
        <v>9.1679084205213565E-10</v>
      </c>
      <c r="AI41" s="73">
        <f t="shared" si="59"/>
        <v>1.0928569510158906E-8</v>
      </c>
      <c r="AJ41" s="73">
        <f t="shared" si="53"/>
        <v>1.2947955915255586E-9</v>
      </c>
      <c r="AK41" s="73">
        <f t="shared" si="53"/>
        <v>5.3614724286772567E-9</v>
      </c>
      <c r="AL41" s="73">
        <f t="shared" si="53"/>
        <v>9.6917753021799414E-9</v>
      </c>
      <c r="AM41" s="73">
        <f t="shared" si="53"/>
        <v>9.1679084205213565E-10</v>
      </c>
      <c r="AN41" s="56">
        <f t="shared" si="71"/>
        <v>2.7030270659506166</v>
      </c>
      <c r="AO41" s="56">
        <f t="shared" si="71"/>
        <v>8227.2689594163585</v>
      </c>
      <c r="AP41" s="56">
        <f t="shared" si="60"/>
        <v>2.7021392919300897</v>
      </c>
      <c r="AQ41" s="64">
        <f>IFERROR(RadSpec!$G$8*AQ8,".")*$B$41</f>
        <v>3.6995559999999999E-7</v>
      </c>
      <c r="AR41" s="64">
        <f>IFERROR(RadSpec!$J$8*AR8,".")*$B$41</f>
        <v>1.215470169910356E-10</v>
      </c>
      <c r="AS41" s="73">
        <f t="shared" si="61"/>
        <v>3.6995559999999999E-7</v>
      </c>
      <c r="AT41" s="73">
        <f t="shared" si="61"/>
        <v>1.215470169910356E-10</v>
      </c>
      <c r="AU41" s="73">
        <f t="shared" si="62"/>
        <v>3.7007714701699102E-7</v>
      </c>
    </row>
    <row r="42" spans="1:47" x14ac:dyDescent="0.25">
      <c r="A42" s="55" t="s">
        <v>300</v>
      </c>
      <c r="B42" s="50">
        <v>0.97898250799999997</v>
      </c>
      <c r="C42" s="56">
        <f>IFERROR(C19/$B42,0)</f>
        <v>0</v>
      </c>
      <c r="D42" s="56">
        <f>IFERROR(D19/$B42,0)</f>
        <v>0</v>
      </c>
      <c r="E42" s="56">
        <f>IFERROR(E19/$B42,0)</f>
        <v>277959.94440049137</v>
      </c>
      <c r="F42" s="56">
        <f t="shared" si="63"/>
        <v>277959.94440049137</v>
      </c>
      <c r="G42" s="74">
        <f>IFERROR(RadSpec!$I$19*G19,".")*$B$42</f>
        <v>0</v>
      </c>
      <c r="H42" s="74">
        <f>IFERROR(RadSpec!$G$19*H19,".")*$B$42</f>
        <v>0</v>
      </c>
      <c r="I42" s="74">
        <f>IFERROR(RadSpec!$F$19*I19,".")*$B$42</f>
        <v>3.5976406678193037E-12</v>
      </c>
      <c r="J42" s="73">
        <f t="shared" si="48"/>
        <v>0</v>
      </c>
      <c r="K42" s="73">
        <f t="shared" si="48"/>
        <v>0</v>
      </c>
      <c r="L42" s="73">
        <f t="shared" si="48"/>
        <v>3.5976406678193037E-12</v>
      </c>
      <c r="M42" s="73">
        <f t="shared" si="55"/>
        <v>3.5976406678193037E-12</v>
      </c>
      <c r="N42" s="56">
        <f>IFERROR(N19/$B42,0)</f>
        <v>0</v>
      </c>
      <c r="O42" s="56">
        <f>IFERROR(O19/$B42,0)</f>
        <v>0</v>
      </c>
      <c r="P42" s="56">
        <f>IFERROR(P19/$B42,0)</f>
        <v>277959.94440049137</v>
      </c>
      <c r="Q42" s="56">
        <f t="shared" si="64"/>
        <v>277959.94440049137</v>
      </c>
      <c r="R42" s="74">
        <f>IFERROR(RadSpec!$I$19*R19,".")*$B$42</f>
        <v>0</v>
      </c>
      <c r="S42" s="74">
        <f>IFERROR(RadSpec!$G$19*S19,".")*$B$42</f>
        <v>0</v>
      </c>
      <c r="T42" s="74">
        <f>IFERROR(RadSpec!$F$19*T19,".")*$B$42</f>
        <v>3.5976406678193037E-12</v>
      </c>
      <c r="U42" s="73">
        <f t="shared" si="49"/>
        <v>0</v>
      </c>
      <c r="V42" s="73">
        <f t="shared" si="50"/>
        <v>0</v>
      </c>
      <c r="W42" s="73">
        <f t="shared" si="51"/>
        <v>3.5976406678193037E-12</v>
      </c>
      <c r="X42" s="73">
        <f t="shared" si="57"/>
        <v>3.5976406678193037E-12</v>
      </c>
      <c r="Y42" s="56">
        <f t="shared" ref="Y42:AO42" si="72">IFERROR(Y19/$B42,0)</f>
        <v>277959.94440049137</v>
      </c>
      <c r="Z42" s="56">
        <f t="shared" si="72"/>
        <v>2842058.3273223978</v>
      </c>
      <c r="AA42" s="56">
        <f t="shared" si="72"/>
        <v>677997.04590130516</v>
      </c>
      <c r="AB42" s="56">
        <f t="shared" si="72"/>
        <v>336903.6525900577</v>
      </c>
      <c r="AC42" s="56">
        <f t="shared" si="72"/>
        <v>4415576.2738851421</v>
      </c>
      <c r="AD42" s="74">
        <f>IFERROR(RadSpec!$F$19*AD19,".")*$B$42</f>
        <v>3.5976406678193037E-12</v>
      </c>
      <c r="AE42" s="74">
        <f>IFERROR(RadSpec!$M$19*AE19,".")*$B$42</f>
        <v>3.5185766259137078E-13</v>
      </c>
      <c r="AF42" s="74">
        <f>IFERROR(RadSpec!$N$19*AF19,".")*$B$42</f>
        <v>1.4749326800836357E-12</v>
      </c>
      <c r="AG42" s="74">
        <f>IFERROR(RadSpec!$O$19*AG19,".")*$B$42</f>
        <v>2.9682076531737516E-12</v>
      </c>
      <c r="AH42" s="74">
        <f>IFERROR(RadSpec!$K$19*AH19,".")*$B$42</f>
        <v>2.2647100581508651E-13</v>
      </c>
      <c r="AI42" s="73">
        <f t="shared" si="59"/>
        <v>3.5976406678193037E-12</v>
      </c>
      <c r="AJ42" s="73">
        <f t="shared" si="53"/>
        <v>3.5185766259137078E-13</v>
      </c>
      <c r="AK42" s="73">
        <f t="shared" si="53"/>
        <v>1.4749326800836357E-12</v>
      </c>
      <c r="AL42" s="73">
        <f t="shared" si="53"/>
        <v>2.9682076531737516E-12</v>
      </c>
      <c r="AM42" s="73">
        <f t="shared" si="53"/>
        <v>2.2647100581508651E-13</v>
      </c>
      <c r="AN42" s="56">
        <f t="shared" si="72"/>
        <v>0</v>
      </c>
      <c r="AO42" s="56">
        <f t="shared" si="72"/>
        <v>27766069.145827945</v>
      </c>
      <c r="AP42" s="56">
        <f t="shared" si="60"/>
        <v>27766069.145827945</v>
      </c>
      <c r="AQ42" s="74">
        <f>IFERROR(RadSpec!$G$19*AQ19,".")*$B$42</f>
        <v>0</v>
      </c>
      <c r="AR42" s="74">
        <f>IFERROR(RadSpec!$J$19*AR19,".")*$B$42</f>
        <v>3.6015180785871429E-14</v>
      </c>
      <c r="AS42" s="73">
        <f t="shared" si="61"/>
        <v>0</v>
      </c>
      <c r="AT42" s="73">
        <f t="shared" si="61"/>
        <v>3.6015180785871429E-14</v>
      </c>
      <c r="AU42" s="73">
        <f t="shared" si="62"/>
        <v>3.6015180785871429E-14</v>
      </c>
    </row>
    <row r="43" spans="1:47" x14ac:dyDescent="0.25">
      <c r="A43" s="55" t="s">
        <v>301</v>
      </c>
      <c r="B43" s="50">
        <v>2.0897492E-2</v>
      </c>
      <c r="C43" s="56">
        <f>IFERROR(C28/$B43,0)</f>
        <v>0</v>
      </c>
      <c r="D43" s="56">
        <f>IFERROR(D28/$B43,0)</f>
        <v>0</v>
      </c>
      <c r="E43" s="56">
        <f>IFERROR(E28/$B43,0)</f>
        <v>215.56144386117631</v>
      </c>
      <c r="F43" s="56">
        <f t="shared" si="63"/>
        <v>215.56144386117631</v>
      </c>
      <c r="G43" s="74">
        <f>IFERROR(RadSpec!$I$28*G28,".")*$B$43</f>
        <v>0</v>
      </c>
      <c r="H43" s="74">
        <f>IFERROR(RadSpec!$G$28*H28,".")*$B$43</f>
        <v>0</v>
      </c>
      <c r="I43" s="74">
        <f>IFERROR(RadSpec!$F$28*I28,".")*$B$43</f>
        <v>4.6390485333917593E-9</v>
      </c>
      <c r="J43" s="73">
        <f t="shared" si="48"/>
        <v>0</v>
      </c>
      <c r="K43" s="73">
        <f t="shared" si="48"/>
        <v>0</v>
      </c>
      <c r="L43" s="73">
        <f t="shared" si="48"/>
        <v>4.6390485333917593E-9</v>
      </c>
      <c r="M43" s="73">
        <f t="shared" si="55"/>
        <v>4.6390485333917593E-9</v>
      </c>
      <c r="N43" s="56">
        <f>IFERROR(N28/$B43,0)</f>
        <v>0</v>
      </c>
      <c r="O43" s="56">
        <f>IFERROR(O28/$B43,0)</f>
        <v>0</v>
      </c>
      <c r="P43" s="56">
        <f>IFERROR(P28/$B43,0)</f>
        <v>215.56144386117631</v>
      </c>
      <c r="Q43" s="56">
        <f t="shared" si="64"/>
        <v>215.56144386117631</v>
      </c>
      <c r="R43" s="74">
        <f>IFERROR(RadSpec!$I$28*R28,".")*$B$43</f>
        <v>0</v>
      </c>
      <c r="S43" s="74">
        <f>IFERROR(RadSpec!$G$28*S28,".")*$B$43</f>
        <v>0</v>
      </c>
      <c r="T43" s="74">
        <f>IFERROR(RadSpec!$F$28*T28,".")*$B$43</f>
        <v>4.6390485333917593E-9</v>
      </c>
      <c r="U43" s="73">
        <f t="shared" si="49"/>
        <v>0</v>
      </c>
      <c r="V43" s="73">
        <f t="shared" si="50"/>
        <v>0</v>
      </c>
      <c r="W43" s="73">
        <f t="shared" si="51"/>
        <v>4.6390485333917593E-9</v>
      </c>
      <c r="X43" s="73">
        <f t="shared" si="57"/>
        <v>4.6390485333917593E-9</v>
      </c>
      <c r="Y43" s="56">
        <f t="shared" ref="Y43:AO43" si="73">IFERROR(Y28/$B43,0)</f>
        <v>215.56144386117631</v>
      </c>
      <c r="Z43" s="56">
        <f t="shared" si="73"/>
        <v>2530.8894428504032</v>
      </c>
      <c r="AA43" s="56">
        <f t="shared" si="73"/>
        <v>579.78720090318654</v>
      </c>
      <c r="AB43" s="56">
        <f t="shared" si="73"/>
        <v>287.05788536773468</v>
      </c>
      <c r="AC43" s="56">
        <f t="shared" si="73"/>
        <v>3768.3782351523218</v>
      </c>
      <c r="AD43" s="74">
        <f>IFERROR(RadSpec!$F$28*AD28,".")*$B$43</f>
        <v>4.6390485333917593E-9</v>
      </c>
      <c r="AE43" s="74">
        <f>IFERROR(RadSpec!$M$28*AE28,".")*$B$43</f>
        <v>3.9511800992529892E-10</v>
      </c>
      <c r="AF43" s="74">
        <f>IFERROR(RadSpec!$N$28*AF28,".")*$B$43</f>
        <v>1.7247707407859477E-9</v>
      </c>
      <c r="AG43" s="74">
        <f>IFERROR(RadSpec!$O$28*AG28,".")*$B$43</f>
        <v>3.4836179424890302E-9</v>
      </c>
      <c r="AH43" s="74">
        <f>IFERROR(RadSpec!$K$28*AH28,".")*$B$43</f>
        <v>2.6536614362957625E-10</v>
      </c>
      <c r="AI43" s="73">
        <f t="shared" si="59"/>
        <v>4.6390485333917593E-9</v>
      </c>
      <c r="AJ43" s="73">
        <f t="shared" si="53"/>
        <v>3.9511800992529892E-10</v>
      </c>
      <c r="AK43" s="73">
        <f t="shared" si="53"/>
        <v>1.7247707407859477E-9</v>
      </c>
      <c r="AL43" s="73">
        <f t="shared" si="53"/>
        <v>3.4836179424890302E-9</v>
      </c>
      <c r="AM43" s="73">
        <f t="shared" si="53"/>
        <v>2.6536614362957625E-10</v>
      </c>
      <c r="AN43" s="56">
        <f t="shared" si="73"/>
        <v>0</v>
      </c>
      <c r="AO43" s="56">
        <f t="shared" si="73"/>
        <v>21890.737807759713</v>
      </c>
      <c r="AP43" s="56">
        <f t="shared" si="60"/>
        <v>21890.737807759713</v>
      </c>
      <c r="AQ43" s="74">
        <f>IFERROR(RadSpec!$G$28*AQ28,".")*$B$43</f>
        <v>0</v>
      </c>
      <c r="AR43" s="74">
        <f>IFERROR(RadSpec!$J$28*AR28,".")*$B$43</f>
        <v>4.5681420552464215E-11</v>
      </c>
      <c r="AS43" s="73">
        <f t="shared" si="61"/>
        <v>0</v>
      </c>
      <c r="AT43" s="73">
        <f t="shared" si="61"/>
        <v>4.5681420552464215E-11</v>
      </c>
      <c r="AU43" s="73">
        <f t="shared" si="62"/>
        <v>4.5681420552464215E-11</v>
      </c>
    </row>
    <row r="44" spans="1:47" x14ac:dyDescent="0.25">
      <c r="A44" s="55" t="s">
        <v>302</v>
      </c>
      <c r="B44" s="50">
        <v>0.99987999999999999</v>
      </c>
      <c r="C44" s="56">
        <f>IFERROR(C15/$B44,0)</f>
        <v>99284.74071443954</v>
      </c>
      <c r="D44" s="56">
        <f>IFERROR(D15/$B44,0)</f>
        <v>746583.20141394809</v>
      </c>
      <c r="E44" s="56">
        <f>IFERROR(E15/$B44,0)</f>
        <v>9061.9194335600478</v>
      </c>
      <c r="F44" s="56">
        <f t="shared" si="63"/>
        <v>8212.6502409576296</v>
      </c>
      <c r="G44" s="64">
        <f>IFERROR(RadSpec!$I$15*G15,".")*$B$44</f>
        <v>1.0072041210000001E-11</v>
      </c>
      <c r="H44" s="64">
        <f>IFERROR(RadSpec!$G$15*H15,".")*$B$44</f>
        <v>1.3394354414968186E-12</v>
      </c>
      <c r="I44" s="64">
        <f>IFERROR(RadSpec!$F$15*I15,".")*$B$44</f>
        <v>1.1035189700501918E-10</v>
      </c>
      <c r="J44" s="73">
        <f t="shared" si="48"/>
        <v>1.0072041210000001E-11</v>
      </c>
      <c r="K44" s="73">
        <f t="shared" si="48"/>
        <v>1.3394354414968186E-12</v>
      </c>
      <c r="L44" s="73">
        <f t="shared" si="48"/>
        <v>1.1035189700501918E-10</v>
      </c>
      <c r="M44" s="73">
        <f t="shared" si="55"/>
        <v>1.2176337365651599E-10</v>
      </c>
      <c r="N44" s="56">
        <f>IFERROR(N15/$B44,0)</f>
        <v>99284.74071443954</v>
      </c>
      <c r="O44" s="56">
        <f>IFERROR(O15/$B44,0)</f>
        <v>114167852.96445678</v>
      </c>
      <c r="P44" s="56">
        <f>IFERROR(P15/$B44,0)</f>
        <v>9061.9194335600478</v>
      </c>
      <c r="Q44" s="56">
        <f t="shared" si="64"/>
        <v>8303.3928729503787</v>
      </c>
      <c r="R44" s="64">
        <f>IFERROR(RadSpec!$I$15*R15,".")*$B$44</f>
        <v>1.0072041210000001E-11</v>
      </c>
      <c r="S44" s="64">
        <f>IFERROR(RadSpec!$G$15*S15,".")*$B$44</f>
        <v>8.7590330730956631E-15</v>
      </c>
      <c r="T44" s="64">
        <f>IFERROR(RadSpec!$F$15*T15,".")*$B$44</f>
        <v>1.1035189700501918E-10</v>
      </c>
      <c r="U44" s="73">
        <f t="shared" si="49"/>
        <v>1.0072041210000001E-11</v>
      </c>
      <c r="V44" s="73">
        <f t="shared" si="50"/>
        <v>8.7590330730956631E-15</v>
      </c>
      <c r="W44" s="73">
        <f t="shared" si="51"/>
        <v>1.1035189700501918E-10</v>
      </c>
      <c r="X44" s="73">
        <f t="shared" si="57"/>
        <v>1.2043269724809227E-10</v>
      </c>
      <c r="Y44" s="56">
        <f t="shared" ref="Y44:AO44" si="74">IFERROR(Y15/$B44,0)</f>
        <v>9061.9194335600478</v>
      </c>
      <c r="Z44" s="56">
        <f t="shared" si="74"/>
        <v>29351.379660876086</v>
      </c>
      <c r="AA44" s="56">
        <f t="shared" si="74"/>
        <v>11682.967879589747</v>
      </c>
      <c r="AB44" s="56">
        <f t="shared" si="74"/>
        <v>9201.9490936812799</v>
      </c>
      <c r="AC44" s="56">
        <f t="shared" si="74"/>
        <v>8612.5680566893006</v>
      </c>
      <c r="AD44" s="64">
        <f>IFERROR(RadSpec!$F$15*AD15,".")*$B$44</f>
        <v>1.1035189700501918E-10</v>
      </c>
      <c r="AE44" s="64">
        <f>IFERROR(RadSpec!$M$15*AE15,".")*$B$44</f>
        <v>3.7855498581287015E-11</v>
      </c>
      <c r="AF44" s="64">
        <f>IFERROR(RadSpec!$N$15*AF15,".")*$B$44</f>
        <v>8.5594688807371385E-11</v>
      </c>
      <c r="AG44" s="64">
        <f>IFERROR(RadSpec!$O$15*AG15,".")*$B$44</f>
        <v>1.0867262900711672E-10</v>
      </c>
      <c r="AH44" s="64">
        <f>IFERROR(RadSpec!$K$15*AH15,".")*$B$44</f>
        <v>1.0449844855518773E-10</v>
      </c>
      <c r="AI44" s="73">
        <f t="shared" si="59"/>
        <v>1.1035189700501918E-10</v>
      </c>
      <c r="AJ44" s="73">
        <f t="shared" si="53"/>
        <v>3.7855498581287015E-11</v>
      </c>
      <c r="AK44" s="73">
        <f t="shared" si="53"/>
        <v>8.5594688807371385E-11</v>
      </c>
      <c r="AL44" s="73">
        <f t="shared" si="53"/>
        <v>1.0867262900711672E-10</v>
      </c>
      <c r="AM44" s="73">
        <f t="shared" si="53"/>
        <v>1.0449844855518773E-10</v>
      </c>
      <c r="AN44" s="56">
        <f t="shared" si="74"/>
        <v>961.93134019594902</v>
      </c>
      <c r="AO44" s="56">
        <f t="shared" si="74"/>
        <v>2569612.7708862047</v>
      </c>
      <c r="AP44" s="56">
        <f t="shared" si="60"/>
        <v>961.57137714860028</v>
      </c>
      <c r="AQ44" s="64">
        <f>IFERROR(RadSpec!$G$15*AQ15,".")*$B$44</f>
        <v>1.039575236E-9</v>
      </c>
      <c r="AR44" s="64">
        <f>IFERROR(RadSpec!$J$15*AR15,".")*$B$44</f>
        <v>3.8916369475200001E-13</v>
      </c>
      <c r="AS44" s="73">
        <f t="shared" si="61"/>
        <v>1.039575236E-9</v>
      </c>
      <c r="AT44" s="73">
        <f t="shared" si="61"/>
        <v>3.8916369475200001E-13</v>
      </c>
      <c r="AU44" s="73">
        <f t="shared" si="62"/>
        <v>1.0399643996947519E-9</v>
      </c>
    </row>
    <row r="45" spans="1:47" x14ac:dyDescent="0.25">
      <c r="A45" s="52" t="s">
        <v>20</v>
      </c>
      <c r="B45" s="52" t="s">
        <v>289</v>
      </c>
      <c r="C45" s="53">
        <f>IFERROR(IF(AND(C46&lt;&gt;0,C47&lt;&gt;0),1/SUM(1/C46,1/C47),IF(AND(C46&lt;&gt;0,C47=0),1/(1/C46),IF(AND(C46=0,C47&lt;&gt;0),1/(1/C47),IF(AND(C46=0,C47=0),".")))),".")</f>
        <v>381.37407171167359</v>
      </c>
      <c r="D45" s="53">
        <f t="shared" ref="D45:F45" si="75">IFERROR(IF(AND(D46&lt;&gt;0,D47&lt;&gt;0),1/SUM(1/D46,1/D47),IF(AND(D46&lt;&gt;0,D47=0),1/(1/D46),IF(AND(D46=0,D47&lt;&gt;0),1/(1/D47),IF(AND(D46=0,D47=0),".")))),".")</f>
        <v>1380.0309527089985</v>
      </c>
      <c r="E45" s="53">
        <f t="shared" si="75"/>
        <v>19.711898348194978</v>
      </c>
      <c r="F45" s="54">
        <f t="shared" si="75"/>
        <v>18.491979097308498</v>
      </c>
      <c r="G45" s="71"/>
      <c r="H45" s="71"/>
      <c r="I45" s="71"/>
      <c r="J45" s="72">
        <f>IFERROR(IF(SUM(G46:G47)&gt;0.01,1-EXP(-SUM(G46:G47)),SUM(G46:G47)),".")</f>
        <v>2.6220974999999999E-9</v>
      </c>
      <c r="K45" s="72">
        <f>IFERROR(IF(SUM(H46:H47)&gt;0.01,1-EXP(-SUM(H46:H47)),SUM(H46:H47)),".")</f>
        <v>7.2462142826362091E-10</v>
      </c>
      <c r="L45" s="72">
        <f>IFERROR(IF(SUM(I46:I47)&gt;0.01,1-EXP(-SUM(I46:I47)),SUM(I46:I47)),".")</f>
        <v>5.0730781091490867E-8</v>
      </c>
      <c r="M45" s="72">
        <f>IFERROR(IF(SUM(G46:I47)&gt;0.01,1-EXP(-SUM(G46:I47)),SUM(G46:I47)),".")</f>
        <v>5.4077500019754491E-8</v>
      </c>
      <c r="N45" s="53">
        <f>IFERROR(IF(AND(N46&lt;&gt;0,N47&lt;&gt;0),1/SUM(1/N46,1/N47),IF(AND(N46&lt;&gt;0,N47=0),1/(1/N46),IF(AND(N46=0,N47&lt;&gt;0),1/(1/N47),IF(AND(N46=0,N47=0),".")))),".")</f>
        <v>381.37407171167359</v>
      </c>
      <c r="O45" s="53">
        <f t="shared" ref="O45:Q45" si="76">IFERROR(IF(AND(O46&lt;&gt;0,O47&lt;&gt;0),1/SUM(1/O46,1/O47),IF(AND(O46&lt;&gt;0,O47=0),1/(1/O46),IF(AND(O46=0,O47&lt;&gt;0),1/(1/O47),IF(AND(O46=0,O47=0),".")))),".")</f>
        <v>211034.97988822628</v>
      </c>
      <c r="P45" s="53">
        <f t="shared" si="76"/>
        <v>19.711898348194978</v>
      </c>
      <c r="Q45" s="54">
        <f t="shared" si="76"/>
        <v>18.741466608803815</v>
      </c>
      <c r="R45" s="71"/>
      <c r="S45" s="71"/>
      <c r="T45" s="71"/>
      <c r="U45" s="72">
        <f>IFERROR(IF(SUM(R46:R47)&gt;0.01,1-EXP(-SUM(R46:R47)),SUM(R46:R47)),".")</f>
        <v>2.6220974999999999E-9</v>
      </c>
      <c r="V45" s="72">
        <f>IFERROR(IF(SUM(S46:S47)&gt;0.01,1-EXP(-SUM(S46:S47)),SUM(S46:S47)),".")</f>
        <v>4.7385509289959665E-12</v>
      </c>
      <c r="W45" s="72">
        <f>IFERROR(IF(SUM(T46:T47)&gt;0.01,1-EXP(-SUM(T46:T47)),SUM(T46:T47)),".")</f>
        <v>5.0730781091490867E-8</v>
      </c>
      <c r="X45" s="72">
        <f>IFERROR(IF(SUM(R46:T47)&gt;0.01,1-EXP(-SUM(R46:T47)),SUM(R46:T47)),".")</f>
        <v>5.3357617142419862E-8</v>
      </c>
      <c r="Y45" s="53">
        <f t="shared" ref="Y45:AP45" si="77">IFERROR(IF(AND(Y46&lt;&gt;0,Y47&lt;&gt;0),1/SUM(1/Y46,1/Y47),IF(AND(Y46&lt;&gt;0,Y47=0),1/(1/Y46),IF(AND(Y46=0,Y47&lt;&gt;0),1/(1/Y47),IF(AND(Y46=0,Y47=0),".")))),".")</f>
        <v>19.711898348194978</v>
      </c>
      <c r="Z45" s="53">
        <f t="shared" si="77"/>
        <v>181.67568816862197</v>
      </c>
      <c r="AA45" s="53">
        <f t="shared" si="77"/>
        <v>44.387690000566565</v>
      </c>
      <c r="AB45" s="53">
        <f t="shared" si="77"/>
        <v>22.208911712534981</v>
      </c>
      <c r="AC45" s="53">
        <f t="shared" si="77"/>
        <v>276.41839957705429</v>
      </c>
      <c r="AD45" s="71"/>
      <c r="AE45" s="71"/>
      <c r="AF45" s="71"/>
      <c r="AG45" s="71"/>
      <c r="AH45" s="71"/>
      <c r="AI45" s="72">
        <f>IFERROR(IF(SUM(AD46:AD47)&gt;0.01,1-EXP(-SUM(AD46:AD47)),SUM(AD46:AD47)),".")</f>
        <v>5.0730781091490867E-8</v>
      </c>
      <c r="AJ45" s="72">
        <f t="shared" ref="AJ45:AM45" si="78">IFERROR(IF(SUM(AE46:AE47)&gt;0.01,1-EXP(-SUM(AE46:AE47)),SUM(AE46:AE47)),".")</f>
        <v>5.5043138137000035E-9</v>
      </c>
      <c r="AK45" s="72">
        <f t="shared" si="78"/>
        <v>2.25287686740904E-8</v>
      </c>
      <c r="AL45" s="72">
        <f t="shared" si="78"/>
        <v>4.5026969936378641E-8</v>
      </c>
      <c r="AM45" s="72">
        <f t="shared" si="78"/>
        <v>3.6177041815237064E-9</v>
      </c>
      <c r="AN45" s="53">
        <f t="shared" si="77"/>
        <v>1.7780938833570412</v>
      </c>
      <c r="AO45" s="53">
        <f t="shared" si="77"/>
        <v>1838.4478564861822</v>
      </c>
      <c r="AP45" s="54">
        <f t="shared" si="77"/>
        <v>1.7763758237582201</v>
      </c>
      <c r="AQ45" s="71"/>
      <c r="AR45" s="71"/>
      <c r="AS45" s="72">
        <f>IFERROR(IF(SUM(AQ46:AQ47)&gt;0.01,1-EXP(-SUM(AQ46:AQ47)),SUM(AQ46:AQ47)),".")</f>
        <v>5.6240000000000001E-7</v>
      </c>
      <c r="AT45" s="72">
        <f>IFERROR(IF(SUM(AR46:AR47)&gt;0.01,1-EXP(-SUM(AR46:AR47)),SUM(AR46:AR47)),".")</f>
        <v>5.4393710241599997E-10</v>
      </c>
      <c r="AU45" s="72">
        <f t="shared" ref="AU45" si="79">IFERROR(IF(SUM(AS46:AS47)&gt;0.01,1-EXP(-SUM(AS46:AS47)),SUM(AS46:AS47)),".")</f>
        <v>5.6240000000000001E-7</v>
      </c>
    </row>
    <row r="46" spans="1:47" x14ac:dyDescent="0.25">
      <c r="A46" s="55" t="s">
        <v>303</v>
      </c>
      <c r="B46" s="50">
        <v>1</v>
      </c>
      <c r="C46" s="56">
        <f>IFERROR(C10/$B46,0)</f>
        <v>381.37407171167354</v>
      </c>
      <c r="D46" s="56">
        <f>IFERROR(D10/$B46,0)</f>
        <v>1380.0309527089985</v>
      </c>
      <c r="E46" s="56">
        <f>IFERROR(E10/$B46,0)</f>
        <v>107701.35622940498</v>
      </c>
      <c r="F46" s="56">
        <f t="shared" si="63"/>
        <v>297.97343537085982</v>
      </c>
      <c r="G46" s="64">
        <f>IFERROR(RadSpec!$I$10*G10,".")*$B$46</f>
        <v>2.6220974999999999E-9</v>
      </c>
      <c r="H46" s="64">
        <f>IFERROR(RadSpec!$G$10*H10,".")*$B$46</f>
        <v>7.2462142826362091E-10</v>
      </c>
      <c r="I46" s="64">
        <f>IFERROR(RadSpec!$F$10*I10,".")*$B$46</f>
        <v>9.2849341457686942E-12</v>
      </c>
      <c r="J46" s="73">
        <f t="shared" ref="J46:L47" si="80">IFERROR(IF(G46&gt;0.01,1-EXP(-G46),G46),".")</f>
        <v>2.6220974999999999E-9</v>
      </c>
      <c r="K46" s="73">
        <f t="shared" si="80"/>
        <v>7.2462142826362091E-10</v>
      </c>
      <c r="L46" s="73">
        <f t="shared" si="80"/>
        <v>9.2849341457686942E-12</v>
      </c>
      <c r="M46" s="73">
        <f t="shared" ref="M46:M47" si="81">IFERROR(IF(SUM(G46:I46)&gt;0.01,1-EXP(-SUM(G46:I46)),SUM(G46:I46)),".")</f>
        <v>3.3560038624093896E-9</v>
      </c>
      <c r="N46" s="56">
        <f>IFERROR(N10/$B46,0)</f>
        <v>381.37407171167354</v>
      </c>
      <c r="O46" s="56">
        <f>IFERROR(O10/$B46,0)</f>
        <v>211034.97988822628</v>
      </c>
      <c r="P46" s="56">
        <f>IFERROR(P10/$B46,0)</f>
        <v>107701.35622940498</v>
      </c>
      <c r="Q46" s="56">
        <f t="shared" ref="Q46:Q47" si="82">IF(AND(N46&lt;&gt;0,O46&lt;&gt;0,P46&lt;&gt;0),1/((1/N46)+(1/O46)+(1/P46)),IF(AND(N46&lt;&gt;0,O46&lt;&gt;0,P46=0), 1/((1/N46)+(1/O46)),IF(AND(N46&lt;&gt;0,O46=0,P46&lt;&gt;0),1/((1/N46)+(1/P46)),IF(AND(N46=0,O46&lt;&gt;0,P46&lt;&gt;0),1/((1/O46)+(1/P46)),IF(AND(N46&lt;&gt;0,O46=0,P46=0),1/((1/N46)),IF(AND(N46=0,O46&lt;&gt;0,P46=0),1/((1/O46)),IF(AND(N46=0,O46=0,P46&lt;&gt;0),1/((1/P46)),IF(AND(N46=0,O46=0,P46=0),0))))))))</f>
        <v>379.34525981994659</v>
      </c>
      <c r="R46" s="64">
        <f>IFERROR(RadSpec!$I$10*R10,".")*$B$46</f>
        <v>2.6220974999999999E-9</v>
      </c>
      <c r="S46" s="64">
        <f>IFERROR(RadSpec!$G$10*S10,".")*$B$46</f>
        <v>4.7385509289959665E-12</v>
      </c>
      <c r="T46" s="64">
        <f>IFERROR(RadSpec!$F$10*T10,".")*$B$46</f>
        <v>9.2849341457686942E-12</v>
      </c>
      <c r="U46" s="73">
        <f t="shared" ref="U46:U47" si="83">IFERROR(IF(R46&gt;0.01,1-EXP(-R46),R46),".")</f>
        <v>2.6220974999999999E-9</v>
      </c>
      <c r="V46" s="73">
        <f t="shared" ref="V46:V47" si="84">IFERROR(IF(S46&gt;0.01,1-EXP(-S46),S46),".")</f>
        <v>4.7385509289959665E-12</v>
      </c>
      <c r="W46" s="73">
        <f t="shared" ref="W46:W47" si="85">IFERROR(IF(T46&gt;0.01,1-EXP(-T46),T46),".")</f>
        <v>9.2849341457686942E-12</v>
      </c>
      <c r="X46" s="73">
        <f t="shared" ref="X46:X47" si="86">IFERROR(IF(SUM(R46:T46)&gt;0.01,1-EXP(-SUM(R46:T46)),SUM(R46:T46)),".")</f>
        <v>2.6361209850747647E-9</v>
      </c>
      <c r="Y46" s="56">
        <f t="shared" ref="Y46:AO46" si="87">IFERROR(Y10/$B46,0)</f>
        <v>107701.35622940498</v>
      </c>
      <c r="Z46" s="56">
        <f t="shared" si="87"/>
        <v>462615.86678762984</v>
      </c>
      <c r="AA46" s="56">
        <f t="shared" si="87"/>
        <v>144109.71184378301</v>
      </c>
      <c r="AB46" s="56">
        <f t="shared" si="87"/>
        <v>97464.806878762844</v>
      </c>
      <c r="AC46" s="56">
        <f t="shared" si="87"/>
        <v>236855.46841726691</v>
      </c>
      <c r="AD46" s="64">
        <f>IFERROR(RadSpec!$F$10*AD10,".")*$B46</f>
        <v>9.2849341457686942E-12</v>
      </c>
      <c r="AE46" s="64">
        <f>IFERROR(RadSpec!$M$10*AE10,".")*$B46</f>
        <v>2.1616206269446081E-12</v>
      </c>
      <c r="AF46" s="64">
        <f>IFERROR(RadSpec!$N$10*AF10,".")*$B46</f>
        <v>6.9391575849101285E-12</v>
      </c>
      <c r="AG46" s="64">
        <f>IFERROR(RadSpec!$O$10*AG10,".")*$B46</f>
        <v>1.0260113696669066E-11</v>
      </c>
      <c r="AH46" s="64">
        <f>IFERROR(RadSpec!$K$10*AH10,".")*$B46</f>
        <v>4.2219840085697568E-12</v>
      </c>
      <c r="AI46" s="73">
        <f t="shared" ref="AI46:AM47" si="88">IFERROR(IF(AD46&gt;0.01,1-EXP(-AD46),AD46),".")</f>
        <v>9.2849341457686942E-12</v>
      </c>
      <c r="AJ46" s="73">
        <f t="shared" si="88"/>
        <v>2.1616206269446081E-12</v>
      </c>
      <c r="AK46" s="73">
        <f t="shared" si="88"/>
        <v>6.9391575849101285E-12</v>
      </c>
      <c r="AL46" s="73">
        <f t="shared" si="88"/>
        <v>1.0260113696669066E-11</v>
      </c>
      <c r="AM46" s="73">
        <f t="shared" si="88"/>
        <v>4.2219840085697568E-12</v>
      </c>
      <c r="AN46" s="56">
        <f t="shared" si="87"/>
        <v>1.7780938833570412</v>
      </c>
      <c r="AO46" s="56">
        <f t="shared" si="87"/>
        <v>2698693.8484434532</v>
      </c>
      <c r="AP46" s="56">
        <f t="shared" ref="AP46:AP47" si="89">IFERROR(IF(AND(AN46&lt;&gt;0,AO46&lt;&gt;0),1/((1/AN46)+(1/AO46)),IF(AND(AN46&lt;&gt;0,AO46=0),1/((1/AN46)),IF(AND(AN46=0,AO46&lt;&gt;0),1/((1/AO46)),IF(AND(AN46=0,AO46=0),0)))),0)</f>
        <v>1.7780927118214938</v>
      </c>
      <c r="AQ46" s="64">
        <f>IFERROR(RadSpec!$G$10*AQ10,".")*$B$46</f>
        <v>5.6240000000000001E-7</v>
      </c>
      <c r="AR46" s="64">
        <f>IFERROR(RadSpec!$J$10*AR10,".")*$B$46</f>
        <v>3.7054962739726025E-13</v>
      </c>
      <c r="AS46" s="73">
        <f>IFERROR(IF(AQ46&gt;0.01,1-EXP(-AQ46),AQ46),".")</f>
        <v>5.6240000000000001E-7</v>
      </c>
      <c r="AT46" s="73">
        <f>IFERROR(IF(AR46&gt;0.01,1-EXP(-AR46),AR46),".")</f>
        <v>3.7054962739726025E-13</v>
      </c>
      <c r="AU46" s="73">
        <f>IFERROR(IF(SUM(AQ46:AR46)&gt;0.01,1-EXP(-SUM(AQ46:AR46)),SUM(AQ46:AR46)),".")</f>
        <v>5.6240037054962737E-7</v>
      </c>
    </row>
    <row r="47" spans="1:47" x14ac:dyDescent="0.25">
      <c r="A47" s="55" t="s">
        <v>304</v>
      </c>
      <c r="B47" s="58">
        <v>0.94399</v>
      </c>
      <c r="C47" s="56">
        <f>IFERROR(C6/$B$47,0)</f>
        <v>0</v>
      </c>
      <c r="D47" s="56">
        <f>IFERROR(D6/$B$47,0)</f>
        <v>0</v>
      </c>
      <c r="E47" s="56">
        <f>IFERROR(E6/$B$47,0)</f>
        <v>19.715506752755509</v>
      </c>
      <c r="F47" s="56">
        <f t="shared" si="63"/>
        <v>19.715506752755509</v>
      </c>
      <c r="G47" s="64">
        <f>IFERROR(RadSpec!$I$6*G6,".")*$B$47</f>
        <v>0</v>
      </c>
      <c r="H47" s="64">
        <f>IFERROR(RadSpec!$G$6*H6,".")*$B$47</f>
        <v>0</v>
      </c>
      <c r="I47" s="64">
        <f>IFERROR(RadSpec!$F$6*I6,".")*$B$47</f>
        <v>5.0721496157345099E-8</v>
      </c>
      <c r="J47" s="73">
        <f t="shared" si="80"/>
        <v>0</v>
      </c>
      <c r="K47" s="73">
        <f t="shared" si="80"/>
        <v>0</v>
      </c>
      <c r="L47" s="73">
        <f t="shared" si="80"/>
        <v>5.0721496157345099E-8</v>
      </c>
      <c r="M47" s="73">
        <f t="shared" si="81"/>
        <v>5.0721496157345099E-8</v>
      </c>
      <c r="N47" s="56">
        <f>IFERROR(N6/$B$47,0)</f>
        <v>0</v>
      </c>
      <c r="O47" s="56">
        <f>IFERROR(O6/$B$47,0)</f>
        <v>0</v>
      </c>
      <c r="P47" s="56">
        <f>IFERROR(P6/$B$47,0)</f>
        <v>19.715506752755509</v>
      </c>
      <c r="Q47" s="56">
        <f t="shared" si="82"/>
        <v>19.715506752755509</v>
      </c>
      <c r="R47" s="64">
        <f>IFERROR(RadSpec!$I$6*R6,".")*$B$47</f>
        <v>0</v>
      </c>
      <c r="S47" s="64">
        <f>IFERROR(RadSpec!$G$6*S6,".")*$B$47</f>
        <v>0</v>
      </c>
      <c r="T47" s="64">
        <f>IFERROR(RadSpec!$F$6*T6,".")*$B$47</f>
        <v>5.0721496157345099E-8</v>
      </c>
      <c r="U47" s="73">
        <f t="shared" si="83"/>
        <v>0</v>
      </c>
      <c r="V47" s="73">
        <f t="shared" si="84"/>
        <v>0</v>
      </c>
      <c r="W47" s="73">
        <f t="shared" si="85"/>
        <v>5.0721496157345099E-8</v>
      </c>
      <c r="X47" s="73">
        <f t="shared" si="86"/>
        <v>5.0721496157345099E-8</v>
      </c>
      <c r="Y47" s="56">
        <f t="shared" ref="Y47:AO47" si="90">IFERROR(Y6/$B$47,0)</f>
        <v>19.715506752755509</v>
      </c>
      <c r="Z47" s="56">
        <f t="shared" si="90"/>
        <v>181.74706276917445</v>
      </c>
      <c r="AA47" s="56">
        <f t="shared" si="90"/>
        <v>44.401366206379173</v>
      </c>
      <c r="AB47" s="56">
        <f t="shared" si="90"/>
        <v>22.213973520920074</v>
      </c>
      <c r="AC47" s="56">
        <f t="shared" si="90"/>
        <v>276.74136617793897</v>
      </c>
      <c r="AD47" s="64">
        <f>IFERROR(RadSpec!$F$6*AD6,".")*$B47</f>
        <v>5.0721496157345099E-8</v>
      </c>
      <c r="AE47" s="64">
        <f>IFERROR(RadSpec!$M$6*AE6,".")*$B47</f>
        <v>5.5021521930730588E-9</v>
      </c>
      <c r="AF47" s="64">
        <f>IFERROR(RadSpec!$N$6*AF6,".")*$B47</f>
        <v>2.2521829516505491E-8</v>
      </c>
      <c r="AG47" s="64">
        <f>IFERROR(RadSpec!$O$6*AG6,".")*$B47</f>
        <v>4.501670982268197E-8</v>
      </c>
      <c r="AH47" s="64">
        <f>IFERROR(RadSpec!$K$6*AH6,".")*$B47</f>
        <v>3.6134821975151367E-9</v>
      </c>
      <c r="AI47" s="73">
        <f t="shared" si="88"/>
        <v>5.0721496157345099E-8</v>
      </c>
      <c r="AJ47" s="73">
        <f t="shared" si="88"/>
        <v>5.5021521930730588E-9</v>
      </c>
      <c r="AK47" s="73">
        <f t="shared" si="88"/>
        <v>2.2521829516505491E-8</v>
      </c>
      <c r="AL47" s="73">
        <f t="shared" si="88"/>
        <v>4.501670982268197E-8</v>
      </c>
      <c r="AM47" s="73">
        <f t="shared" si="88"/>
        <v>3.6134821975151367E-9</v>
      </c>
      <c r="AN47" s="56">
        <f t="shared" si="90"/>
        <v>0</v>
      </c>
      <c r="AO47" s="56">
        <f t="shared" si="90"/>
        <v>1839.7011274328866</v>
      </c>
      <c r="AP47" s="56">
        <f t="shared" si="89"/>
        <v>1839.7011274328868</v>
      </c>
      <c r="AQ47" s="64">
        <f>IFERROR(RadSpec!$G$6*AQ6,".")*$B$47</f>
        <v>0</v>
      </c>
      <c r="AR47" s="64">
        <f>IFERROR(RadSpec!$J$6*AR6,".")*$B$47</f>
        <v>5.4356655278860271E-10</v>
      </c>
      <c r="AS47" s="73">
        <f>IFERROR(IF(AQ47&gt;0.01,1-EXP(-AQ47),AQ47),".")</f>
        <v>0</v>
      </c>
      <c r="AT47" s="73">
        <f>IFERROR(IF(AR47&gt;0.01,1-EXP(-AR47),AR47),".")</f>
        <v>5.4356655278860271E-10</v>
      </c>
      <c r="AU47" s="73">
        <f>IFERROR(IF(SUM(AQ47:AR47)&gt;0.01,1-EXP(-SUM(AQ47:AR47)),SUM(AQ47:AR47)),".")</f>
        <v>5.4356655278860271E-10</v>
      </c>
    </row>
    <row r="48" spans="1:47" x14ac:dyDescent="0.25">
      <c r="A48" s="52" t="s">
        <v>33</v>
      </c>
      <c r="B48" s="52" t="s">
        <v>289</v>
      </c>
      <c r="C48" s="53">
        <f>1/SUM(1/C49,1/C52,1/C54,1/C58,1/C59,1/C61)</f>
        <v>5.1941565132198235</v>
      </c>
      <c r="D48" s="53">
        <f>1/SUM(1/D49,1/D50,1/D51,1/D52,1/D54,1/D58,1/D59,1/D61)</f>
        <v>2.62450756225646</v>
      </c>
      <c r="E48" s="53">
        <f>1/SUM(1/E49,1/E50,1/E51,1/E52,1/E53,1/E54,1/E55,1/E56,1/E57,1/E58,1/E59,1/E60,1/E61,1/E62)</f>
        <v>5.6777600969620279</v>
      </c>
      <c r="F48" s="54">
        <f>1/SUM(1/F49,1/F50,1/F51,1/F52,1/F53,1/F54,1/F55,1/F56,1/F57,1/F58,1/F59,1/F60,1/F61,1/F62)</f>
        <v>1.3339136870950741</v>
      </c>
      <c r="G48" s="71"/>
      <c r="H48" s="71"/>
      <c r="I48" s="71"/>
      <c r="J48" s="72">
        <f>IFERROR(IF(SUM(G49:G62)&gt;0.01,1-EXP(-SUM(G49:G62)),SUM(G49:G62)),".")</f>
        <v>1.9252404070899021E-7</v>
      </c>
      <c r="K48" s="72">
        <f>IFERROR(IF(SUM(H49:H62)&gt;0.01,1-EXP(-SUM(H49:H62)),SUM(H49:H62)),".")</f>
        <v>3.8102385924932725E-7</v>
      </c>
      <c r="L48" s="72">
        <f>IFERROR(IF(SUM(I49:I62)&gt;0.01,1-EXP(-SUM(I49:I62)),SUM(I49:I62)),".")</f>
        <v>1.7612579308080751E-7</v>
      </c>
      <c r="M48" s="72">
        <f>IFERROR(IF(SUM(G49:I62)&gt;0.01,1-EXP(-SUM(G49:I62)),SUM(G49:I62)),".")</f>
        <v>7.4967369303912495E-7</v>
      </c>
      <c r="N48" s="53">
        <f>1/SUM(1/N49,1/N52,1/N54,1/N58,1/N59,1/N61)</f>
        <v>5.1941565132198235</v>
      </c>
      <c r="O48" s="53">
        <f>1/SUM(1/O49,1/O50,1/O51,1/O52,1/O54,1/O58,1/O59,1/O61)</f>
        <v>401.34092610753243</v>
      </c>
      <c r="P48" s="53">
        <f>1/SUM(1/P49,1/P50,1/P51,1/P52,1/P53,1/P54,1/P55,1/P56,1/P57,1/P58,1/P59,1/P60,1/P61,1/P62)</f>
        <v>5.6777600969620279</v>
      </c>
      <c r="Q48" s="54">
        <f>1/SUM(1/Q49,1/Q50,1/Q51,1/Q52,1/Q53,1/Q54,1/Q55,1/Q56,1/Q57,1/Q58,1/Q59,1/Q60,1/Q61,1/Q62)</f>
        <v>2.6943902829133042</v>
      </c>
      <c r="R48" s="71"/>
      <c r="S48" s="71"/>
      <c r="T48" s="71"/>
      <c r="U48" s="72">
        <f>IFERROR(IF(SUM(R49:R62)&gt;0.01,1-EXP(-SUM(R49:R62)),SUM(R49:R62)),".")</f>
        <v>1.9252404070899021E-7</v>
      </c>
      <c r="V48" s="72">
        <f>IFERROR(IF(SUM(S49:S62)&gt;0.01,1-EXP(-SUM(S49:S62)),SUM(S49:S62)),".")</f>
        <v>2.4916472130033087E-9</v>
      </c>
      <c r="W48" s="72">
        <f>IFERROR(IF(SUM(T49:T62)&gt;0.01,1-EXP(-SUM(T49:T62)),SUM(T49:T62)),".")</f>
        <v>1.7612579308080751E-7</v>
      </c>
      <c r="X48" s="72">
        <f>IFERROR(IF(SUM(R49:T62)&gt;0.01,1-EXP(-SUM(R49:T62)),SUM(R49:T62)),".")</f>
        <v>3.7114148100280108E-7</v>
      </c>
      <c r="Y48" s="53">
        <f t="shared" ref="Y48:AC48" si="91">1/SUM(1/Y49,1/Y50,1/Y51,1/Y52,1/Y53,1/Y54,1/Y55,1/Y56,1/Y57,1/Y58,1/Y59,1/Y60,1/Y61,1/Y62)</f>
        <v>5.6777600969620279</v>
      </c>
      <c r="Z48" s="53">
        <f t="shared" si="91"/>
        <v>63.418940547951138</v>
      </c>
      <c r="AA48" s="53">
        <f t="shared" si="91"/>
        <v>14.860844975838075</v>
      </c>
      <c r="AB48" s="53">
        <f t="shared" si="91"/>
        <v>7.3186485319639045</v>
      </c>
      <c r="AC48" s="53">
        <f t="shared" si="91"/>
        <v>93.025111333815715</v>
      </c>
      <c r="AD48" s="71"/>
      <c r="AE48" s="71"/>
      <c r="AF48" s="71"/>
      <c r="AG48" s="71"/>
      <c r="AH48" s="71"/>
      <c r="AI48" s="72">
        <f>IFERROR(IF(SUM(AD49:AD62)&gt;0.01,1-EXP(-SUM(AD49:AD62)),SUM(AD49:AD62)),".")</f>
        <v>1.7612579308080751E-7</v>
      </c>
      <c r="AJ48" s="72">
        <f t="shared" ref="AJ48:AM48" si="92">IFERROR(IF(SUM(AE49:AE62)&gt;0.01,1-EXP(-SUM(AE49:AE62)),SUM(AE49:AE62)),".")</f>
        <v>1.576816007426729E-8</v>
      </c>
      <c r="AK48" s="72">
        <f t="shared" si="92"/>
        <v>6.7290924683345954E-8</v>
      </c>
      <c r="AL48" s="72">
        <f t="shared" si="92"/>
        <v>1.3663724875331011E-7</v>
      </c>
      <c r="AM48" s="72">
        <f t="shared" si="92"/>
        <v>1.0749785384783326E-8</v>
      </c>
      <c r="AN48" s="53">
        <f>1/SUM(1/AN49,1/AN50,1/AN51,1/AN52,1/AN54,1/AN58,1/AN59,1/AN61)</f>
        <v>3.3815334606169087E-3</v>
      </c>
      <c r="AO48" s="53">
        <f t="shared" ref="AO48:AP48" si="93">1/SUM(1/AO49,1/AO50,1/AO51,1/AO52,1/AO53,1/AO54,1/AO55,1/AO56,1/AO57,1/AO58,1/AO59,1/AO60,1/AO61,1/AO62)</f>
        <v>565.01552810206545</v>
      </c>
      <c r="AP48" s="54">
        <f t="shared" si="93"/>
        <v>3.3815132227658384E-3</v>
      </c>
      <c r="AQ48" s="71"/>
      <c r="AR48" s="71"/>
      <c r="AS48" s="72">
        <f>IFERROR(IF(SUM(AQ49:AQ62)&gt;0.01,1-EXP(-SUM(AQ49:AQ62)),SUM(AQ49:AQ62)),".")</f>
        <v>2.9572382223820001E-4</v>
      </c>
      <c r="AT48" s="72">
        <f>IFERROR(IF(SUM(AR49:AR62)&gt;0.01,1-EXP(-SUM(AR49:AR62)),SUM(AR49:AR62)),".")</f>
        <v>1.769862862635092E-9</v>
      </c>
      <c r="AU48" s="72">
        <f>IFERROR(IF(SUM(AQ49:AR62)&gt;0.01,1-EXP(-SUM(AQ49:AR62)),SUM(AQ49:AR62)),".")</f>
        <v>2.9572559210106256E-4</v>
      </c>
    </row>
    <row r="49" spans="1:47" x14ac:dyDescent="0.25">
      <c r="A49" s="55" t="s">
        <v>305</v>
      </c>
      <c r="B49" s="50">
        <v>1</v>
      </c>
      <c r="C49" s="56">
        <f>IFERROR(C23/$B49,0)</f>
        <v>41.155820050292412</v>
      </c>
      <c r="D49" s="56">
        <f>IFERROR(D23/$B49,0)</f>
        <v>5.5128700344748429</v>
      </c>
      <c r="E49" s="56">
        <f>IFERROR(E23/$B49,0)</f>
        <v>2215.8010025532585</v>
      </c>
      <c r="F49" s="56">
        <f t="shared" si="63"/>
        <v>4.8510032908144867</v>
      </c>
      <c r="G49" s="64">
        <f>IFERROR(RadSpec!$I$23*G23,".")*$B$49</f>
        <v>2.4297899999999998E-8</v>
      </c>
      <c r="H49" s="64">
        <f>IFERROR(RadSpec!$G$23*H23,".")*$B$49</f>
        <v>1.8139371937783406E-7</v>
      </c>
      <c r="I49" s="64">
        <f>IFERROR(RadSpec!$F$23*I23,".")*$B$49</f>
        <v>4.5130406514290056E-10</v>
      </c>
      <c r="J49" s="73">
        <f t="shared" ref="J49:L62" si="94">IFERROR(IF(G49&gt;0.01,1-EXP(-G49),G49),".")</f>
        <v>2.4297899999999998E-8</v>
      </c>
      <c r="K49" s="73">
        <f t="shared" si="94"/>
        <v>1.8139371937783406E-7</v>
      </c>
      <c r="L49" s="73">
        <f t="shared" si="94"/>
        <v>4.5130406514290056E-10</v>
      </c>
      <c r="M49" s="73">
        <f t="shared" ref="M49:M62" si="95">IFERROR(IF(SUM(G49:I49)&gt;0.01,1-EXP(-SUM(G49:I49)),SUM(G49:I49)),".")</f>
        <v>2.0614292344297696E-7</v>
      </c>
      <c r="N49" s="56">
        <f>IFERROR(N23/$B49,0)</f>
        <v>41.155820050292412</v>
      </c>
      <c r="O49" s="56">
        <f>IFERROR(O23/$B49,0)</f>
        <v>843.03066867307223</v>
      </c>
      <c r="P49" s="56">
        <f>IFERROR(P23/$B49,0)</f>
        <v>2215.8010025532585</v>
      </c>
      <c r="Q49" s="56">
        <f t="shared" ref="Q49:Q61" si="96">IF(AND(N49&lt;&gt;0,O49&lt;&gt;0,P49&lt;&gt;0),1/((1/N49)+(1/O49)+(1/P49)),IF(AND(N49&lt;&gt;0,O49&lt;&gt;0,P49=0), 1/((1/N49)+(1/O49)),IF(AND(N49&lt;&gt;0,O49=0,P49&lt;&gt;0),1/((1/N49)+(1/P49)),IF(AND(N49=0,O49&lt;&gt;0,P49&lt;&gt;0),1/((1/O49)+(1/P49)),IF(AND(N49&lt;&gt;0,O49=0,P49=0),1/((1/N49)),IF(AND(N49=0,O49&lt;&gt;0,P49=0),1/((1/O49)),IF(AND(N49=0,O49=0,P49&lt;&gt;0),1/((1/P49)),IF(AND(N49=0,O49=0,P49=0),0))))))))</f>
        <v>38.557337828466494</v>
      </c>
      <c r="R49" s="64">
        <f>IFERROR(RadSpec!$I$23*R23,".")*$B$49</f>
        <v>2.4297899999999998E-8</v>
      </c>
      <c r="S49" s="64">
        <f>IFERROR(RadSpec!$G$23*S23,".")*$B$49</f>
        <v>1.1861964661072141E-9</v>
      </c>
      <c r="T49" s="64">
        <f>IFERROR(RadSpec!$F$23*T23,".")*$B$49</f>
        <v>4.5130406514290056E-10</v>
      </c>
      <c r="U49" s="73">
        <f t="shared" ref="U49:U62" si="97">IFERROR(IF(R49&gt;0.01,1-EXP(-R49),R49),".")</f>
        <v>2.4297899999999998E-8</v>
      </c>
      <c r="V49" s="73">
        <f t="shared" ref="V49:V62" si="98">IFERROR(IF(S49&gt;0.01,1-EXP(-S49),S49),".")</f>
        <v>1.1861964661072141E-9</v>
      </c>
      <c r="W49" s="73">
        <f t="shared" ref="W49:W62" si="99">IFERROR(IF(T49&gt;0.01,1-EXP(-T49),T49),".")</f>
        <v>4.5130406514290056E-10</v>
      </c>
      <c r="X49" s="73">
        <f t="shared" ref="X49:X62" si="100">IFERROR(IF(SUM(R49:T49)&gt;0.01,1-EXP(-SUM(R49:T49)),SUM(R49:T49)),".")</f>
        <v>2.5935400531250113E-8</v>
      </c>
      <c r="Y49" s="56">
        <f t="shared" ref="Y49:AO49" si="101">IFERROR(Y23/$B49,0)</f>
        <v>2215.8010025532585</v>
      </c>
      <c r="Z49" s="56">
        <f t="shared" si="101"/>
        <v>12605.713437677985</v>
      </c>
      <c r="AA49" s="56">
        <f t="shared" si="101"/>
        <v>3532.2057597787625</v>
      </c>
      <c r="AB49" s="56">
        <f t="shared" si="101"/>
        <v>2075.4834458618898</v>
      </c>
      <c r="AC49" s="56">
        <f t="shared" si="101"/>
        <v>14176.377572692578</v>
      </c>
      <c r="AD49" s="64">
        <f>IFERROR(RadSpec!$F$23*AD23,".")*$B$49</f>
        <v>4.5130406514290056E-10</v>
      </c>
      <c r="AE49" s="64">
        <f>IFERROR(RadSpec!$M$23*AE23,".")*$B$49</f>
        <v>7.9329107784652563E-11</v>
      </c>
      <c r="AF49" s="64">
        <f>IFERROR(RadSpec!$N$23*AF23,".")*$B$49</f>
        <v>2.8310921503696157E-10</v>
      </c>
      <c r="AG49" s="64">
        <f>IFERROR(RadSpec!$O$23*AG23,".")*$B$49</f>
        <v>4.8181545460832534E-10</v>
      </c>
      <c r="AH49" s="64">
        <f>IFERROR(RadSpec!$K$23*AH23,".")*$B$49</f>
        <v>7.0539881917808277E-11</v>
      </c>
      <c r="AI49" s="73">
        <f t="shared" ref="AI49:AM62" si="102">IFERROR(IF(AD49&gt;0.01,1-EXP(-AD49),AD49),".")</f>
        <v>4.5130406514290056E-10</v>
      </c>
      <c r="AJ49" s="73">
        <f t="shared" si="102"/>
        <v>7.9329107784652563E-11</v>
      </c>
      <c r="AK49" s="73">
        <f t="shared" si="102"/>
        <v>2.8310921503696157E-10</v>
      </c>
      <c r="AL49" s="73">
        <f t="shared" si="102"/>
        <v>4.8181545460832534E-10</v>
      </c>
      <c r="AM49" s="73">
        <f t="shared" si="102"/>
        <v>7.0539881917808277E-11</v>
      </c>
      <c r="AN49" s="56">
        <f t="shared" si="101"/>
        <v>7.103029442057038E-3</v>
      </c>
      <c r="AO49" s="56">
        <f t="shared" si="101"/>
        <v>153737.06759575411</v>
      </c>
      <c r="AP49" s="56">
        <f t="shared" ref="AP49:AP62" si="103">IFERROR(IF(AND(AN49&lt;&gt;0,AO49&lt;&gt;0),1/((1/AN49)+(1/AO49)),IF(AND(AN49&lt;&gt;0,AO49=0),1/((1/AN49)),IF(AND(AN49=0,AO49&lt;&gt;0),1/((1/AO49)),IF(AND(AN49=0,AO49=0),0)))),0)</f>
        <v>7.1030291138796777E-3</v>
      </c>
      <c r="AQ49" s="64">
        <f>IFERROR(RadSpec!$G$23*AQ23,".")*$B$49</f>
        <v>1.4078499999999999E-4</v>
      </c>
      <c r="AR49" s="64">
        <f>IFERROR(RadSpec!$J$23*AR23,".")*$B$49</f>
        <v>6.5046121643835611E-12</v>
      </c>
      <c r="AS49" s="73">
        <f t="shared" ref="AS49:AT62" si="104">IFERROR(IF(AQ49&gt;0.01,1-EXP(-AQ49),AQ49),".")</f>
        <v>1.4078499999999999E-4</v>
      </c>
      <c r="AT49" s="73">
        <f t="shared" si="104"/>
        <v>6.5046121643835611E-12</v>
      </c>
      <c r="AU49" s="73">
        <f t="shared" ref="AU49:AU62" si="105">IFERROR(IF(SUM(AQ49:AR49)&gt;0.01,1-EXP(-SUM(AQ49:AR49)),SUM(AQ49:AR49)),".")</f>
        <v>1.4078500650461216E-4</v>
      </c>
    </row>
    <row r="50" spans="1:47" x14ac:dyDescent="0.25">
      <c r="A50" s="55" t="s">
        <v>306</v>
      </c>
      <c r="B50" s="50">
        <v>1</v>
      </c>
      <c r="C50" s="56">
        <f>IFERROR(C25/$B50,0)</f>
        <v>0</v>
      </c>
      <c r="D50" s="56">
        <f>IFERROR(D25/$B50,0)</f>
        <v>68081.527000310583</v>
      </c>
      <c r="E50" s="56">
        <f>IFERROR(E25/$B50,0)</f>
        <v>29759.22754488196</v>
      </c>
      <c r="F50" s="56">
        <f t="shared" si="63"/>
        <v>20707.66587015062</v>
      </c>
      <c r="G50" s="64">
        <f>IFERROR(RadSpec!$I$25*G25,".")*$B$50</f>
        <v>0</v>
      </c>
      <c r="H50" s="64">
        <f>IFERROR(RadSpec!$G$25*H25,".")*$B$50</f>
        <v>1.4688272194532857E-11</v>
      </c>
      <c r="I50" s="64">
        <f>IFERROR(RadSpec!$F$25*I25,".")*$B$50</f>
        <v>3.3603022742839357E-11</v>
      </c>
      <c r="J50" s="73">
        <f t="shared" si="94"/>
        <v>0</v>
      </c>
      <c r="K50" s="73">
        <f t="shared" si="94"/>
        <v>1.4688272194532857E-11</v>
      </c>
      <c r="L50" s="73">
        <f t="shared" si="94"/>
        <v>3.3603022742839357E-11</v>
      </c>
      <c r="M50" s="73">
        <f t="shared" si="95"/>
        <v>4.8291294937372217E-11</v>
      </c>
      <c r="N50" s="56">
        <f>IFERROR(N25/$B50,0)</f>
        <v>0</v>
      </c>
      <c r="O50" s="56">
        <f>IFERROR(O25/$B50,0)</f>
        <v>10411059.007819165</v>
      </c>
      <c r="P50" s="56">
        <f>IFERROR(P25/$B50,0)</f>
        <v>29759.22754488196</v>
      </c>
      <c r="Q50" s="56">
        <f t="shared" si="96"/>
        <v>29674.405493189839</v>
      </c>
      <c r="R50" s="64">
        <f>IFERROR(RadSpec!$I$25*R25,".")*$B$50</f>
        <v>0</v>
      </c>
      <c r="S50" s="64">
        <f>IFERROR(RadSpec!$G$25*S25,".")*$B$50</f>
        <v>9.6051708020188516E-14</v>
      </c>
      <c r="T50" s="64">
        <f>IFERROR(RadSpec!$F$25*T25,".")*$B$50</f>
        <v>3.3603022742839357E-11</v>
      </c>
      <c r="U50" s="73">
        <f t="shared" si="97"/>
        <v>0</v>
      </c>
      <c r="V50" s="73">
        <f t="shared" si="98"/>
        <v>9.6051708020188516E-14</v>
      </c>
      <c r="W50" s="73">
        <f t="shared" si="99"/>
        <v>3.3603022742839357E-11</v>
      </c>
      <c r="X50" s="73">
        <f t="shared" si="100"/>
        <v>3.3699074450859548E-11</v>
      </c>
      <c r="Y50" s="56">
        <f t="shared" ref="Y50:AO50" si="106">IFERROR(Y25/$B50,0)</f>
        <v>29759.22754488196</v>
      </c>
      <c r="Z50" s="56">
        <f t="shared" si="106"/>
        <v>258677.37734364095</v>
      </c>
      <c r="AA50" s="56">
        <f t="shared" si="106"/>
        <v>62465.669317942309</v>
      </c>
      <c r="AB50" s="56">
        <f t="shared" si="106"/>
        <v>32993.590197953672</v>
      </c>
      <c r="AC50" s="56">
        <f t="shared" si="106"/>
        <v>398362.96395730542</v>
      </c>
      <c r="AD50" s="64">
        <f>IFERROR(RadSpec!$F$25*AD25,".")*$B$50</f>
        <v>3.3603022742839357E-11</v>
      </c>
      <c r="AE50" s="64">
        <f>IFERROR(RadSpec!$M$25*AE25,".")*$B$50</f>
        <v>3.8658193084722138E-12</v>
      </c>
      <c r="AF50" s="64">
        <f>IFERROR(RadSpec!$N$25*AF25,".")*$B$50</f>
        <v>1.6008793484788055E-11</v>
      </c>
      <c r="AG50" s="64">
        <f>IFERROR(RadSpec!$O$25*AG25,".")*$B$50</f>
        <v>3.0308917398811056E-11</v>
      </c>
      <c r="AH50" s="64">
        <f>IFERROR(RadSpec!$K$25*AH25,".")*$B$50</f>
        <v>2.5102735205755098E-12</v>
      </c>
      <c r="AI50" s="73">
        <f t="shared" si="102"/>
        <v>3.3603022742839357E-11</v>
      </c>
      <c r="AJ50" s="73">
        <f t="shared" si="102"/>
        <v>3.8658193084722138E-12</v>
      </c>
      <c r="AK50" s="73">
        <f t="shared" si="102"/>
        <v>1.6008793484788055E-11</v>
      </c>
      <c r="AL50" s="73">
        <f t="shared" si="102"/>
        <v>3.0308917398811056E-11</v>
      </c>
      <c r="AM50" s="73">
        <f t="shared" si="102"/>
        <v>2.5102735205755098E-12</v>
      </c>
      <c r="AN50" s="56">
        <f t="shared" si="106"/>
        <v>87.719298245614041</v>
      </c>
      <c r="AO50" s="56">
        <f t="shared" si="106"/>
        <v>2698693.8484434532</v>
      </c>
      <c r="AP50" s="56">
        <f t="shared" si="103"/>
        <v>87.716447079229681</v>
      </c>
      <c r="AQ50" s="64">
        <f>IFERROR(RadSpec!$G$25*AQ$25,".")*$B$50</f>
        <v>1.14E-8</v>
      </c>
      <c r="AR50" s="64">
        <f>IFERROR(RadSpec!$J$25*AR25,".")*$B$50</f>
        <v>3.7054962739726025E-13</v>
      </c>
      <c r="AS50" s="73">
        <f t="shared" si="104"/>
        <v>1.14E-8</v>
      </c>
      <c r="AT50" s="73">
        <f t="shared" si="104"/>
        <v>3.7054962739726025E-13</v>
      </c>
      <c r="AU50" s="73">
        <f t="shared" si="105"/>
        <v>1.1400370549627397E-8</v>
      </c>
    </row>
    <row r="51" spans="1:47" x14ac:dyDescent="0.25">
      <c r="A51" s="55" t="s">
        <v>307</v>
      </c>
      <c r="B51" s="50">
        <v>1</v>
      </c>
      <c r="C51" s="56">
        <f>IFERROR(C21/$B51,0)</f>
        <v>0</v>
      </c>
      <c r="D51" s="56">
        <f>IFERROR(D21/$B51,0)</f>
        <v>11167.329608684038</v>
      </c>
      <c r="E51" s="56">
        <f>IFERROR(E21/$B51,0)</f>
        <v>711259850.08274543</v>
      </c>
      <c r="F51" s="56">
        <f t="shared" si="63"/>
        <v>11167.154275727209</v>
      </c>
      <c r="G51" s="64">
        <f>IFERROR(RadSpec!$I$21*G21,".")*$B$51</f>
        <v>0</v>
      </c>
      <c r="H51" s="64">
        <f>IFERROR(RadSpec!$G$21*H21,".")*$B$51</f>
        <v>8.9546922589476625E-11</v>
      </c>
      <c r="I51" s="64">
        <f>IFERROR(RadSpec!$F$21*I21,".")*$B$51</f>
        <v>1.4059559243835616E-15</v>
      </c>
      <c r="J51" s="73">
        <f t="shared" si="94"/>
        <v>0</v>
      </c>
      <c r="K51" s="73">
        <f t="shared" si="94"/>
        <v>8.9546922589476625E-11</v>
      </c>
      <c r="L51" s="73">
        <f t="shared" si="94"/>
        <v>1.4059559243835616E-15</v>
      </c>
      <c r="M51" s="73">
        <f t="shared" si="95"/>
        <v>8.9548328545401015E-11</v>
      </c>
      <c r="N51" s="56">
        <f>IFERROR(N21/$B51,0)</f>
        <v>0</v>
      </c>
      <c r="O51" s="56">
        <f>IFERROR(O21/$B51,0)</f>
        <v>1707713.2761027117</v>
      </c>
      <c r="P51" s="56">
        <f>IFERROR(P21/$B51,0)</f>
        <v>711259850.08274543</v>
      </c>
      <c r="Q51" s="56">
        <f t="shared" si="96"/>
        <v>1703622.9292436785</v>
      </c>
      <c r="R51" s="64">
        <f>IFERROR(RadSpec!$I$21*R21,".")*$B$51</f>
        <v>0</v>
      </c>
      <c r="S51" s="64">
        <f>IFERROR(RadSpec!$G$21*S21,".")*$B$51</f>
        <v>5.8557839538623706E-13</v>
      </c>
      <c r="T51" s="64">
        <f>IFERROR(RadSpec!$F$21*T21,".")*$B$51</f>
        <v>1.4059559243835616E-15</v>
      </c>
      <c r="U51" s="73">
        <f t="shared" si="97"/>
        <v>0</v>
      </c>
      <c r="V51" s="73">
        <f t="shared" si="98"/>
        <v>5.8557839538623706E-13</v>
      </c>
      <c r="W51" s="73">
        <f t="shared" si="99"/>
        <v>1.4059559243835616E-15</v>
      </c>
      <c r="X51" s="73">
        <f t="shared" si="100"/>
        <v>5.869843513106206E-13</v>
      </c>
      <c r="Y51" s="56">
        <f t="shared" ref="Y51:AO51" si="107">IFERROR(Y21/$B51,0)</f>
        <v>711259850.08274543</v>
      </c>
      <c r="Z51" s="56">
        <f t="shared" si="107"/>
        <v>1712681920.3997734</v>
      </c>
      <c r="AA51" s="56">
        <f t="shared" si="107"/>
        <v>814059125.29001737</v>
      </c>
      <c r="AB51" s="56">
        <f t="shared" si="107"/>
        <v>713695671.48713851</v>
      </c>
      <c r="AC51" s="56">
        <f t="shared" si="107"/>
        <v>918057868.16847777</v>
      </c>
      <c r="AD51" s="64">
        <f>IFERROR(RadSpec!$F$21*AD21,".")*$B$51</f>
        <v>1.4059559243835616E-15</v>
      </c>
      <c r="AE51" s="64">
        <f>IFERROR(RadSpec!$M$21*AE21,".")*$B$51</f>
        <v>6.4875508865753427E-16</v>
      </c>
      <c r="AF51" s="64">
        <f>IFERROR(RadSpec!$N$21*AF21,".")*$B$51</f>
        <v>1.2284120021917808E-15</v>
      </c>
      <c r="AG51" s="64">
        <f>IFERROR(RadSpec!$O$21*AG21,".")*$B$51</f>
        <v>1.4011574399999999E-15</v>
      </c>
      <c r="AH51" s="64">
        <f>IFERROR(RadSpec!$K$21*AH21,".")*$B$51</f>
        <v>9.8033035956164383E-16</v>
      </c>
      <c r="AI51" s="73">
        <f t="shared" si="102"/>
        <v>1.4059559243835616E-15</v>
      </c>
      <c r="AJ51" s="73">
        <f t="shared" si="102"/>
        <v>6.4875508865753427E-16</v>
      </c>
      <c r="AK51" s="73">
        <f t="shared" si="102"/>
        <v>1.2284120021917808E-15</v>
      </c>
      <c r="AL51" s="73">
        <f t="shared" si="102"/>
        <v>1.4011574399999999E-15</v>
      </c>
      <c r="AM51" s="73">
        <f t="shared" si="102"/>
        <v>9.8033035956164383E-16</v>
      </c>
      <c r="AN51" s="56">
        <f t="shared" si="107"/>
        <v>14.388489208633091</v>
      </c>
      <c r="AO51" s="56">
        <f t="shared" si="107"/>
        <v>110981788441.90532</v>
      </c>
      <c r="AP51" s="56">
        <f t="shared" si="103"/>
        <v>14.388489206767664</v>
      </c>
      <c r="AQ51" s="64">
        <f>IFERROR(RadSpec!$G$21*AQ21,".")*$B$51</f>
        <v>6.9500000000000007E-8</v>
      </c>
      <c r="AR51" s="64">
        <f>IFERROR(RadSpec!$J$21*AR21,".")*$B$51</f>
        <v>9.0104873424657536E-18</v>
      </c>
      <c r="AS51" s="73">
        <f t="shared" si="104"/>
        <v>6.9500000000000007E-8</v>
      </c>
      <c r="AT51" s="73">
        <f t="shared" si="104"/>
        <v>9.0104873424657536E-18</v>
      </c>
      <c r="AU51" s="73">
        <f t="shared" si="105"/>
        <v>6.9500000009010492E-8</v>
      </c>
    </row>
    <row r="52" spans="1:47" x14ac:dyDescent="0.25">
      <c r="A52" s="55" t="s">
        <v>308</v>
      </c>
      <c r="B52" s="58">
        <v>0.99980000000000002</v>
      </c>
      <c r="C52" s="56">
        <f>IFERROR(C17/$B52,0)</f>
        <v>54977.493418201688</v>
      </c>
      <c r="D52" s="56">
        <f>IFERROR(D17/$B52,0)</f>
        <v>1998.158725190445</v>
      </c>
      <c r="E52" s="56">
        <f>IFERROR(E17/$B52,0)</f>
        <v>54.255805326677596</v>
      </c>
      <c r="F52" s="56">
        <f t="shared" si="63"/>
        <v>52.770845673270706</v>
      </c>
      <c r="G52" s="64">
        <f>IFERROR(RadSpec!$I$17*G17,".")*$B$52</f>
        <v>1.818926142E-11</v>
      </c>
      <c r="H52" s="64">
        <f>IFERROR(RadSpec!$G$17*H17,".")*$B$52</f>
        <v>5.0046074287951759E-10</v>
      </c>
      <c r="I52" s="64">
        <f>IFERROR(RadSpec!$F$17*I17,".")*$B$52</f>
        <v>1.843120738838798E-8</v>
      </c>
      <c r="J52" s="73">
        <f t="shared" si="94"/>
        <v>1.818926142E-11</v>
      </c>
      <c r="K52" s="73">
        <f t="shared" si="94"/>
        <v>5.0046074287951759E-10</v>
      </c>
      <c r="L52" s="73">
        <f t="shared" si="94"/>
        <v>1.843120738838798E-8</v>
      </c>
      <c r="M52" s="73">
        <f t="shared" si="95"/>
        <v>1.8949857392687497E-8</v>
      </c>
      <c r="N52" s="56">
        <f>IFERROR(N17/$B52,0)</f>
        <v>54977.493418201688</v>
      </c>
      <c r="O52" s="56">
        <f>IFERROR(O17/$B52,0)</f>
        <v>305559.36847379373</v>
      </c>
      <c r="P52" s="56">
        <f>IFERROR(P17/$B52,0)</f>
        <v>54.255805326677596</v>
      </c>
      <c r="Q52" s="56">
        <f t="shared" si="96"/>
        <v>54.192701434038419</v>
      </c>
      <c r="R52" s="64">
        <f>IFERROR(RadSpec!$I$17*R17,".")*$B$52</f>
        <v>1.818926142E-11</v>
      </c>
      <c r="S52" s="64">
        <f>IFERROR(RadSpec!$G$17*S17,".")*$B$52</f>
        <v>3.2726864340464973E-12</v>
      </c>
      <c r="T52" s="64">
        <f>IFERROR(RadSpec!$F$17*T17,".")*$B$52</f>
        <v>1.843120738838798E-8</v>
      </c>
      <c r="U52" s="73">
        <f t="shared" si="97"/>
        <v>1.818926142E-11</v>
      </c>
      <c r="V52" s="73">
        <f t="shared" si="98"/>
        <v>3.2726864340464973E-12</v>
      </c>
      <c r="W52" s="73">
        <f t="shared" si="99"/>
        <v>1.843120738838798E-8</v>
      </c>
      <c r="X52" s="73">
        <f t="shared" si="100"/>
        <v>1.8452669336242027E-8</v>
      </c>
      <c r="Y52" s="56">
        <f t="shared" ref="Y52:AO52" si="108">IFERROR(Y17/$B52,0)</f>
        <v>54.255805326677596</v>
      </c>
      <c r="Z52" s="56">
        <f t="shared" si="108"/>
        <v>382.26267619099622</v>
      </c>
      <c r="AA52" s="56">
        <f t="shared" si="108"/>
        <v>95.770647683319865</v>
      </c>
      <c r="AB52" s="56">
        <f t="shared" si="108"/>
        <v>56.023996643168807</v>
      </c>
      <c r="AC52" s="56">
        <f t="shared" si="108"/>
        <v>478.98185531237988</v>
      </c>
      <c r="AD52" s="64">
        <f>IFERROR(RadSpec!$F$17*AD17,".")*$B$52</f>
        <v>1.843120738838798E-8</v>
      </c>
      <c r="AE52" s="64">
        <f>IFERROR(RadSpec!$M$17*AE17,".")*$B$52</f>
        <v>2.6160021950465116E-9</v>
      </c>
      <c r="AF52" s="64">
        <f>IFERROR(RadSpec!$N$17*AF17,".")*$B$52</f>
        <v>1.044161258370781E-8</v>
      </c>
      <c r="AG52" s="64">
        <f>IFERROR(RadSpec!$O$17*AG17,".")*$B$52</f>
        <v>1.7849494143897949E-8</v>
      </c>
      <c r="AH52" s="64">
        <f>IFERROR(RadSpec!$K$17*AH17,".")*$B$52</f>
        <v>2.0877617573797762E-9</v>
      </c>
      <c r="AI52" s="73">
        <f t="shared" si="102"/>
        <v>1.843120738838798E-8</v>
      </c>
      <c r="AJ52" s="73">
        <f t="shared" si="102"/>
        <v>2.6160021950465116E-9</v>
      </c>
      <c r="AK52" s="73">
        <f t="shared" si="102"/>
        <v>1.044161258370781E-8</v>
      </c>
      <c r="AL52" s="73">
        <f t="shared" si="102"/>
        <v>1.7849494143897949E-8</v>
      </c>
      <c r="AM52" s="73">
        <f t="shared" si="102"/>
        <v>2.0877617573797762E-9</v>
      </c>
      <c r="AN52" s="56">
        <f t="shared" si="108"/>
        <v>2.5745174774980732</v>
      </c>
      <c r="AO52" s="56">
        <f t="shared" si="108"/>
        <v>4297.748953383345</v>
      </c>
      <c r="AP52" s="56">
        <f t="shared" si="103"/>
        <v>2.572976165481232</v>
      </c>
      <c r="AQ52" s="64">
        <f>IFERROR(RadSpec!$G$17*AQ17,".")*$B$52</f>
        <v>3.8842230000000001E-7</v>
      </c>
      <c r="AR52" s="64">
        <f>IFERROR(RadSpec!$J$17*AR17,".")*$B$52</f>
        <v>2.3267994730421919E-10</v>
      </c>
      <c r="AS52" s="73">
        <f t="shared" si="104"/>
        <v>3.8842230000000001E-7</v>
      </c>
      <c r="AT52" s="73">
        <f t="shared" si="104"/>
        <v>2.3267994730421919E-10</v>
      </c>
      <c r="AU52" s="73">
        <f t="shared" si="105"/>
        <v>3.8865497994730422E-7</v>
      </c>
    </row>
    <row r="53" spans="1:47" x14ac:dyDescent="0.25">
      <c r="A53" s="55" t="s">
        <v>309</v>
      </c>
      <c r="B53" s="50">
        <v>2.0000000000000001E-4</v>
      </c>
      <c r="C53" s="56">
        <f>IFERROR(C5/$B53,0)</f>
        <v>0</v>
      </c>
      <c r="D53" s="56">
        <f>IFERROR(D5/$B53,0)</f>
        <v>0</v>
      </c>
      <c r="E53" s="56">
        <f>IFERROR(E5/$B53,0)</f>
        <v>886804834.35848677</v>
      </c>
      <c r="F53" s="56">
        <f t="shared" si="63"/>
        <v>886804834.35848677</v>
      </c>
      <c r="G53" s="64">
        <f>IFERROR(RadSpec!$I$5*G5,".")*$B$53</f>
        <v>0</v>
      </c>
      <c r="H53" s="64">
        <f>IFERROR(RadSpec!$G$5*H5,".")*$B$53</f>
        <v>0</v>
      </c>
      <c r="I53" s="64">
        <f>IFERROR(RadSpec!$F$5*I5,".")*$B$53</f>
        <v>1.1276438301369863E-15</v>
      </c>
      <c r="J53" s="73">
        <f t="shared" si="94"/>
        <v>0</v>
      </c>
      <c r="K53" s="73">
        <f t="shared" si="94"/>
        <v>0</v>
      </c>
      <c r="L53" s="73">
        <f t="shared" si="94"/>
        <v>1.1276438301369863E-15</v>
      </c>
      <c r="M53" s="73">
        <f t="shared" si="95"/>
        <v>1.1276438301369863E-15</v>
      </c>
      <c r="N53" s="56">
        <f>IFERROR(N5/$B53,0)</f>
        <v>0</v>
      </c>
      <c r="O53" s="56">
        <f>IFERROR(O5/$B53,0)</f>
        <v>0</v>
      </c>
      <c r="P53" s="56">
        <f>IFERROR(P5/$B53,0)</f>
        <v>886804834.35848677</v>
      </c>
      <c r="Q53" s="56">
        <f t="shared" si="96"/>
        <v>886804834.35848677</v>
      </c>
      <c r="R53" s="64">
        <f>IFERROR(RadSpec!$I$5*R5,".")*$B$53</f>
        <v>0</v>
      </c>
      <c r="S53" s="64">
        <f>IFERROR(RadSpec!$G$5*S5,".")*$B$53</f>
        <v>0</v>
      </c>
      <c r="T53" s="64">
        <f>IFERROR(RadSpec!$F$5*T5,".")*$B$53</f>
        <v>1.1276438301369863E-15</v>
      </c>
      <c r="U53" s="73">
        <f t="shared" si="97"/>
        <v>0</v>
      </c>
      <c r="V53" s="73">
        <f t="shared" si="98"/>
        <v>0</v>
      </c>
      <c r="W53" s="73">
        <f t="shared" si="99"/>
        <v>1.1276438301369863E-15</v>
      </c>
      <c r="X53" s="73">
        <f t="shared" si="100"/>
        <v>1.1276438301369863E-15</v>
      </c>
      <c r="Y53" s="56">
        <f t="shared" ref="Y53:AO53" si="109">IFERROR(Y5/$B53,0)</f>
        <v>886804834.35848677</v>
      </c>
      <c r="Z53" s="56">
        <f t="shared" si="109"/>
        <v>3223198714.3381038</v>
      </c>
      <c r="AA53" s="56">
        <f t="shared" si="109"/>
        <v>1319817201.2301738</v>
      </c>
      <c r="AB53" s="56">
        <f t="shared" si="109"/>
        <v>951594228.64951766</v>
      </c>
      <c r="AC53" s="56">
        <f t="shared" si="109"/>
        <v>1218708398.0949967</v>
      </c>
      <c r="AD53" s="64">
        <f>IFERROR(RadSpec!$F$5*AD5,".")*$B$53</f>
        <v>1.1276438301369863E-15</v>
      </c>
      <c r="AE53" s="64">
        <f>IFERROR(RadSpec!$M$5*AE5,".")*$B$53</f>
        <v>3.4472311811506848E-16</v>
      </c>
      <c r="AF53" s="64">
        <f>IFERROR(RadSpec!$N$5*AF5,".")*$B$53</f>
        <v>7.576806841643836E-16</v>
      </c>
      <c r="AG53" s="64">
        <f>IFERROR(RadSpec!$O$5*AG5,".")*$B$53</f>
        <v>1.05086808E-15</v>
      </c>
      <c r="AH53" s="64">
        <f>IFERROR(RadSpec!$K$5*AH5,".")*$B$53</f>
        <v>7.3848674663013697E-16</v>
      </c>
      <c r="AI53" s="73">
        <f t="shared" si="102"/>
        <v>1.1276438301369863E-15</v>
      </c>
      <c r="AJ53" s="73">
        <f t="shared" si="102"/>
        <v>3.4472311811506848E-16</v>
      </c>
      <c r="AK53" s="73">
        <f t="shared" si="102"/>
        <v>7.576806841643836E-16</v>
      </c>
      <c r="AL53" s="73">
        <f t="shared" si="102"/>
        <v>1.05086808E-15</v>
      </c>
      <c r="AM53" s="73">
        <f t="shared" si="102"/>
        <v>7.3848674663013697E-16</v>
      </c>
      <c r="AN53" s="56">
        <f t="shared" si="109"/>
        <v>0</v>
      </c>
      <c r="AO53" s="56">
        <f t="shared" si="109"/>
        <v>710451600253.10608</v>
      </c>
      <c r="AP53" s="56">
        <f t="shared" si="103"/>
        <v>710451600253.10608</v>
      </c>
      <c r="AQ53" s="64">
        <f>IFERROR(RadSpec!$G$5*AQ5,".")*$B$53</f>
        <v>0</v>
      </c>
      <c r="AR53" s="64">
        <f>IFERROR(RadSpec!$J$5*AR5,".")*$B$53</f>
        <v>1.4075554191780823E-18</v>
      </c>
      <c r="AS53" s="73">
        <f t="shared" si="104"/>
        <v>0</v>
      </c>
      <c r="AT53" s="73">
        <f t="shared" si="104"/>
        <v>1.4075554191780823E-18</v>
      </c>
      <c r="AU53" s="73">
        <f t="shared" si="105"/>
        <v>1.4075554191780823E-18</v>
      </c>
    </row>
    <row r="54" spans="1:47" x14ac:dyDescent="0.25">
      <c r="A54" s="55" t="s">
        <v>310</v>
      </c>
      <c r="B54" s="50">
        <v>0.99999979999999999</v>
      </c>
      <c r="C54" s="56">
        <f>IFERROR(C9/$B54,0)</f>
        <v>82311.656562916149</v>
      </c>
      <c r="D54" s="56">
        <f>IFERROR(D9/$B54,0)</f>
        <v>2511.7461586713703</v>
      </c>
      <c r="E54" s="56">
        <f>IFERROR(E9/$B54,0)</f>
        <v>6.3674269989090542</v>
      </c>
      <c r="F54" s="56">
        <f t="shared" si="63"/>
        <v>6.3508359642144478</v>
      </c>
      <c r="G54" s="64">
        <f>IFERROR(RadSpec!$I$9*G9,".")*$B$54</f>
        <v>1.2148947570209999E-11</v>
      </c>
      <c r="H54" s="64">
        <f>IFERROR(RadSpec!$G$9*H9,".")*$B$54</f>
        <v>3.9812940354170445E-10</v>
      </c>
      <c r="I54" s="64">
        <f>IFERROR(RadSpec!$F$9*I9,".")*$B$54</f>
        <v>1.5704930738449488E-7</v>
      </c>
      <c r="J54" s="73">
        <f t="shared" si="94"/>
        <v>1.2148947570209999E-11</v>
      </c>
      <c r="K54" s="73">
        <f t="shared" si="94"/>
        <v>3.9812940354170445E-10</v>
      </c>
      <c r="L54" s="73">
        <f t="shared" si="94"/>
        <v>1.5704930738449488E-7</v>
      </c>
      <c r="M54" s="73">
        <f t="shared" si="95"/>
        <v>1.5745958573560678E-7</v>
      </c>
      <c r="N54" s="56">
        <f>IFERROR(N9/$B54,0)</f>
        <v>82311.656562916149</v>
      </c>
      <c r="O54" s="56">
        <f>IFERROR(O9/$B54,0)</f>
        <v>384097.39943805104</v>
      </c>
      <c r="P54" s="56">
        <f>IFERROR(P9/$B54,0)</f>
        <v>6.3674269989090542</v>
      </c>
      <c r="Q54" s="56">
        <f t="shared" si="96"/>
        <v>6.3668289297315326</v>
      </c>
      <c r="R54" s="64">
        <f>IFERROR(RadSpec!$I$9*R9,".")*$B$54</f>
        <v>1.2148947570209999E-11</v>
      </c>
      <c r="S54" s="64">
        <f>IFERROR(RadSpec!$G$9*S9,".")*$B$54</f>
        <v>2.6035063019511139E-12</v>
      </c>
      <c r="T54" s="64">
        <f>IFERROR(RadSpec!$F$9*T9,".")*$B$54</f>
        <v>1.5704930738449488E-7</v>
      </c>
      <c r="U54" s="73">
        <f t="shared" si="97"/>
        <v>1.2148947570209999E-11</v>
      </c>
      <c r="V54" s="73">
        <f t="shared" si="98"/>
        <v>2.6035063019511139E-12</v>
      </c>
      <c r="W54" s="73">
        <f t="shared" si="99"/>
        <v>1.5704930738449488E-7</v>
      </c>
      <c r="X54" s="73">
        <f t="shared" si="100"/>
        <v>1.5706405983836704E-7</v>
      </c>
      <c r="Y54" s="56">
        <f t="shared" ref="Y54:AO54" si="110">IFERROR(Y9/$B54,0)</f>
        <v>6.3674269989090542</v>
      </c>
      <c r="Z54" s="56">
        <f t="shared" si="110"/>
        <v>76.80970919212298</v>
      </c>
      <c r="AA54" s="56">
        <f t="shared" si="110"/>
        <v>17.716623545444758</v>
      </c>
      <c r="AB54" s="56">
        <f t="shared" si="110"/>
        <v>8.4658172049737903</v>
      </c>
      <c r="AC54" s="56">
        <f t="shared" si="110"/>
        <v>117.7405498047933</v>
      </c>
      <c r="AD54" s="64">
        <f>IFERROR(RadSpec!$F$9*AD9,".")*$B$54</f>
        <v>1.5704930738449488E-7</v>
      </c>
      <c r="AE54" s="64">
        <f>IFERROR(RadSpec!$M$9*AE9,".")*$B$54</f>
        <v>1.3019187424583458E-8</v>
      </c>
      <c r="AF54" s="64">
        <f>IFERROR(RadSpec!$N$9*AF9,".")*$B$54</f>
        <v>5.6444163721992999E-8</v>
      </c>
      <c r="AG54" s="64">
        <f>IFERROR(RadSpec!$O$9*AG9,".")*$B$54</f>
        <v>1.1812208742382077E-7</v>
      </c>
      <c r="AH54" s="64">
        <f>IFERROR(RadSpec!$K$9*AH9,".")*$B$54</f>
        <v>8.4932506401400319E-9</v>
      </c>
      <c r="AI54" s="73">
        <f t="shared" si="102"/>
        <v>1.5704930738449488E-7</v>
      </c>
      <c r="AJ54" s="73">
        <f t="shared" si="102"/>
        <v>1.3019187424583458E-8</v>
      </c>
      <c r="AK54" s="73">
        <f t="shared" si="102"/>
        <v>5.6444163721992999E-8</v>
      </c>
      <c r="AL54" s="73">
        <f t="shared" si="102"/>
        <v>1.1812208742382077E-7</v>
      </c>
      <c r="AM54" s="73">
        <f t="shared" si="102"/>
        <v>8.4932506401400319E-9</v>
      </c>
      <c r="AN54" s="56">
        <f t="shared" si="110"/>
        <v>3.2362466019418772</v>
      </c>
      <c r="AO54" s="56">
        <f t="shared" si="110"/>
        <v>654.65710289239792</v>
      </c>
      <c r="AP54" s="56">
        <f t="shared" si="103"/>
        <v>3.2203271644272249</v>
      </c>
      <c r="AQ54" s="64">
        <f>IFERROR(RadSpec!$G$9*AQ9,".")*$B$54</f>
        <v>3.0899993819999995E-7</v>
      </c>
      <c r="AR54" s="64">
        <f>IFERROR(RadSpec!$J$9*AR9,".")*$B$54</f>
        <v>1.5275172232636175E-9</v>
      </c>
      <c r="AS54" s="73">
        <f t="shared" si="104"/>
        <v>3.0899993819999995E-7</v>
      </c>
      <c r="AT54" s="73">
        <f t="shared" si="104"/>
        <v>1.5275172232636175E-9</v>
      </c>
      <c r="AU54" s="73">
        <f t="shared" si="105"/>
        <v>3.1052745542326358E-7</v>
      </c>
    </row>
    <row r="55" spans="1:47" x14ac:dyDescent="0.25">
      <c r="A55" s="55" t="s">
        <v>311</v>
      </c>
      <c r="B55" s="50">
        <v>1.9999999999999999E-7</v>
      </c>
      <c r="C55" s="56">
        <f>IFERROR(C24/$B55,0)</f>
        <v>0</v>
      </c>
      <c r="D55" s="56">
        <f>IFERROR(D24/$B55,0)</f>
        <v>0</v>
      </c>
      <c r="E55" s="56">
        <f>IFERROR(E24/$B55,0)</f>
        <v>75174878686.880417</v>
      </c>
      <c r="F55" s="56">
        <f t="shared" si="63"/>
        <v>75174878686.880417</v>
      </c>
      <c r="G55" s="64">
        <f>IFERROR(RadSpec!$I$24*G24,".")*$B$55</f>
        <v>0</v>
      </c>
      <c r="H55" s="64">
        <f>IFERROR(RadSpec!$G$24*H24,".")*$B$55</f>
        <v>0</v>
      </c>
      <c r="I55" s="64">
        <f>IFERROR(RadSpec!$F$24*I24,".")*$B$55</f>
        <v>1.3302316112344068E-17</v>
      </c>
      <c r="J55" s="73">
        <f t="shared" si="94"/>
        <v>0</v>
      </c>
      <c r="K55" s="73">
        <f t="shared" si="94"/>
        <v>0</v>
      </c>
      <c r="L55" s="73">
        <f t="shared" si="94"/>
        <v>1.3302316112344068E-17</v>
      </c>
      <c r="M55" s="73">
        <f t="shared" si="95"/>
        <v>1.3302316112344068E-17</v>
      </c>
      <c r="N55" s="56">
        <f>IFERROR(N24/$B55,0)</f>
        <v>0</v>
      </c>
      <c r="O55" s="56">
        <f>IFERROR(O24/$B55,0)</f>
        <v>0</v>
      </c>
      <c r="P55" s="56">
        <f>IFERROR(P24/$B55,0)</f>
        <v>75174878686.880417</v>
      </c>
      <c r="Q55" s="56">
        <f t="shared" si="96"/>
        <v>75174878686.880417</v>
      </c>
      <c r="R55" s="64">
        <f>IFERROR(RadSpec!$I$24*R24,".")*$B$55</f>
        <v>0</v>
      </c>
      <c r="S55" s="64">
        <f>IFERROR(RadSpec!$G$24*S24,".")*$B$55</f>
        <v>0</v>
      </c>
      <c r="T55" s="64">
        <f>IFERROR(RadSpec!$F$24*T24,".")*$B$55</f>
        <v>1.3302316112344068E-17</v>
      </c>
      <c r="U55" s="73">
        <f t="shared" si="97"/>
        <v>0</v>
      </c>
      <c r="V55" s="73">
        <f t="shared" si="98"/>
        <v>0</v>
      </c>
      <c r="W55" s="73">
        <f t="shared" si="99"/>
        <v>1.3302316112344068E-17</v>
      </c>
      <c r="X55" s="73">
        <f t="shared" si="100"/>
        <v>1.3302316112344068E-17</v>
      </c>
      <c r="Y55" s="56">
        <f t="shared" ref="Y55:AO55" si="111">IFERROR(Y24/$B55,0)</f>
        <v>75174878686.880417</v>
      </c>
      <c r="Z55" s="56">
        <f t="shared" si="111"/>
        <v>674242113924.53638</v>
      </c>
      <c r="AA55" s="56">
        <f t="shared" si="111"/>
        <v>164362413868.07968</v>
      </c>
      <c r="AB55" s="56">
        <f t="shared" si="111"/>
        <v>82443614271.129669</v>
      </c>
      <c r="AC55" s="56">
        <f t="shared" si="111"/>
        <v>1023438952067.791</v>
      </c>
      <c r="AD55" s="64">
        <f>IFERROR(RadSpec!$F$24*AD24,".")*$B$55</f>
        <v>1.3302316112344068E-17</v>
      </c>
      <c r="AE55" s="64">
        <f>IFERROR(RadSpec!$M$24*AE24,".")*$B$55</f>
        <v>1.483146750029209E-18</v>
      </c>
      <c r="AF55" s="64">
        <f>IFERROR(RadSpec!$N$24*AF24,".")*$B$55</f>
        <v>6.0841160485913679E-18</v>
      </c>
      <c r="AG55" s="64">
        <f>IFERROR(RadSpec!$O$24*AG24,".")*$B$55</f>
        <v>1.2129502191780823E-17</v>
      </c>
      <c r="AH55" s="64">
        <f>IFERROR(RadSpec!$K$24*AH24,".")*$B$55</f>
        <v>9.770978503207892E-19</v>
      </c>
      <c r="AI55" s="73">
        <f t="shared" si="102"/>
        <v>1.3302316112344068E-17</v>
      </c>
      <c r="AJ55" s="73">
        <f t="shared" si="102"/>
        <v>1.483146750029209E-18</v>
      </c>
      <c r="AK55" s="73">
        <f t="shared" si="102"/>
        <v>6.0841160485913679E-18</v>
      </c>
      <c r="AL55" s="73">
        <f t="shared" si="102"/>
        <v>1.2129502191780823E-17</v>
      </c>
      <c r="AM55" s="73">
        <f t="shared" si="102"/>
        <v>9.770978503207892E-19</v>
      </c>
      <c r="AN55" s="56">
        <f t="shared" si="111"/>
        <v>0</v>
      </c>
      <c r="AO55" s="56">
        <f t="shared" si="111"/>
        <v>6870301189260.8057</v>
      </c>
      <c r="AP55" s="56">
        <f t="shared" si="103"/>
        <v>6870301189260.8057</v>
      </c>
      <c r="AQ55" s="64">
        <f>IFERROR(RadSpec!$G$24*AQ24,".")*$B$55</f>
        <v>0</v>
      </c>
      <c r="AR55" s="64">
        <f>IFERROR(RadSpec!$J$24*AR24,".")*$B$55</f>
        <v>1.4555402630136986E-19</v>
      </c>
      <c r="AS55" s="73">
        <f t="shared" si="104"/>
        <v>0</v>
      </c>
      <c r="AT55" s="73">
        <f t="shared" si="104"/>
        <v>1.4555402630136986E-19</v>
      </c>
      <c r="AU55" s="73">
        <f t="shared" si="105"/>
        <v>1.4555402630136986E-19</v>
      </c>
    </row>
    <row r="56" spans="1:47" x14ac:dyDescent="0.25">
      <c r="A56" s="55" t="s">
        <v>312</v>
      </c>
      <c r="B56" s="50">
        <v>0.99979000004200003</v>
      </c>
      <c r="C56" s="56">
        <f>IFERROR(C20/$B56,0)</f>
        <v>0</v>
      </c>
      <c r="D56" s="56">
        <f>IFERROR(D20/$B56,0)</f>
        <v>0</v>
      </c>
      <c r="E56" s="56">
        <f>IFERROR(E20/$B56,0)</f>
        <v>121192.58050196047</v>
      </c>
      <c r="F56" s="56">
        <f t="shared" si="63"/>
        <v>121192.58050196049</v>
      </c>
      <c r="G56" s="64">
        <f>IFERROR(RadSpec!$I$20*G20,".")*$B$56</f>
        <v>0</v>
      </c>
      <c r="H56" s="64">
        <f>IFERROR(RadSpec!$G$20*H20,".")*$B$56</f>
        <v>0</v>
      </c>
      <c r="I56" s="64">
        <f>IFERROR(RadSpec!$F$20*I20,".")*$B$56</f>
        <v>8.2513302040286485E-12</v>
      </c>
      <c r="J56" s="73">
        <f t="shared" si="94"/>
        <v>0</v>
      </c>
      <c r="K56" s="73">
        <f t="shared" si="94"/>
        <v>0</v>
      </c>
      <c r="L56" s="73">
        <f t="shared" si="94"/>
        <v>8.2513302040286485E-12</v>
      </c>
      <c r="M56" s="73">
        <f t="shared" si="95"/>
        <v>8.2513302040286485E-12</v>
      </c>
      <c r="N56" s="56">
        <f>IFERROR(N20/$B56,0)</f>
        <v>0</v>
      </c>
      <c r="O56" s="56">
        <f>IFERROR(O20/$B56,0)</f>
        <v>0</v>
      </c>
      <c r="P56" s="56">
        <f>IFERROR(P20/$B56,0)</f>
        <v>121192.58050196047</v>
      </c>
      <c r="Q56" s="56">
        <f t="shared" si="96"/>
        <v>121192.58050196049</v>
      </c>
      <c r="R56" s="64">
        <f>IFERROR(RadSpec!$I$20*R20,".")*$B$56</f>
        <v>0</v>
      </c>
      <c r="S56" s="64">
        <f>IFERROR(RadSpec!$G$20*S20,".")*$B$56</f>
        <v>0</v>
      </c>
      <c r="T56" s="64">
        <f>IFERROR(RadSpec!$F$20*T20,".")*$B$56</f>
        <v>8.2513302040286485E-12</v>
      </c>
      <c r="U56" s="73">
        <f t="shared" si="97"/>
        <v>0</v>
      </c>
      <c r="V56" s="73">
        <f t="shared" si="98"/>
        <v>0</v>
      </c>
      <c r="W56" s="73">
        <f t="shared" si="99"/>
        <v>8.2513302040286485E-12</v>
      </c>
      <c r="X56" s="73">
        <f t="shared" si="100"/>
        <v>8.2513302040286485E-12</v>
      </c>
      <c r="Y56" s="56">
        <f t="shared" ref="Y56:AO56" si="112">IFERROR(Y20/$B56,0)</f>
        <v>121192.58050196047</v>
      </c>
      <c r="Z56" s="56">
        <f t="shared" si="112"/>
        <v>1271956.8056890443</v>
      </c>
      <c r="AA56" s="56">
        <f t="shared" si="112"/>
        <v>300865.70838385436</v>
      </c>
      <c r="AB56" s="56">
        <f t="shared" si="112"/>
        <v>148372.60952546223</v>
      </c>
      <c r="AC56" s="56">
        <f t="shared" si="112"/>
        <v>1972953.9375905271</v>
      </c>
      <c r="AD56" s="64">
        <f>IFERROR(RadSpec!$F$20*AD20,".")*$B$56</f>
        <v>8.2513302040286485E-12</v>
      </c>
      <c r="AE56" s="64">
        <f>IFERROR(RadSpec!$M$20*AE20,".")*$B$56</f>
        <v>7.8619021929622843E-13</v>
      </c>
      <c r="AF56" s="64">
        <f>IFERROR(RadSpec!$N$20*AF20,".")*$B$56</f>
        <v>3.3237420288661389E-12</v>
      </c>
      <c r="AG56" s="64">
        <f>IFERROR(RadSpec!$O$20*AG20,".")*$B$56</f>
        <v>6.7397884501612815E-12</v>
      </c>
      <c r="AH56" s="64">
        <f>IFERROR(RadSpec!$K$20*AH20,".")*$B$56</f>
        <v>5.0685420523362617E-13</v>
      </c>
      <c r="AI56" s="73">
        <f t="shared" si="102"/>
        <v>8.2513302040286485E-12</v>
      </c>
      <c r="AJ56" s="73">
        <f t="shared" si="102"/>
        <v>7.8619021929622843E-13</v>
      </c>
      <c r="AK56" s="73">
        <f t="shared" si="102"/>
        <v>3.3237420288661389E-12</v>
      </c>
      <c r="AL56" s="73">
        <f t="shared" si="102"/>
        <v>6.7397884501612815E-12</v>
      </c>
      <c r="AM56" s="73">
        <f t="shared" si="102"/>
        <v>5.0685420523362617E-13</v>
      </c>
      <c r="AN56" s="56">
        <f t="shared" si="112"/>
        <v>0</v>
      </c>
      <c r="AO56" s="56">
        <f t="shared" si="112"/>
        <v>12261347.592729168</v>
      </c>
      <c r="AP56" s="56">
        <f t="shared" si="103"/>
        <v>12261347.592729168</v>
      </c>
      <c r="AQ56" s="64">
        <f>IFERROR(RadSpec!$G$20*AQ20,".")*$B$56</f>
        <v>0</v>
      </c>
      <c r="AR56" s="64">
        <f>IFERROR(RadSpec!$J$20*AR20,".")*$B$56</f>
        <v>8.1557103934724751E-14</v>
      </c>
      <c r="AS56" s="73">
        <f t="shared" si="104"/>
        <v>0</v>
      </c>
      <c r="AT56" s="73">
        <f t="shared" si="104"/>
        <v>8.1557103934724751E-14</v>
      </c>
      <c r="AU56" s="73">
        <f t="shared" si="105"/>
        <v>8.1557103934724751E-14</v>
      </c>
    </row>
    <row r="57" spans="1:47" x14ac:dyDescent="0.25">
      <c r="A57" s="55" t="s">
        <v>313</v>
      </c>
      <c r="B57" s="50">
        <v>2.0999995799999999E-4</v>
      </c>
      <c r="C57" s="56">
        <f>IFERROR(C29/$B57,0)</f>
        <v>0</v>
      </c>
      <c r="D57" s="56">
        <f>IFERROR(D29/$B57,0)</f>
        <v>0</v>
      </c>
      <c r="E57" s="56">
        <f>IFERROR(E29/$B57,0)</f>
        <v>16827.262800018885</v>
      </c>
      <c r="F57" s="56">
        <f t="shared" si="63"/>
        <v>16827.262800018885</v>
      </c>
      <c r="G57" s="64">
        <f>IFERROR(RadSpec!$I$29*G29,".")*$B$57</f>
        <v>0</v>
      </c>
      <c r="H57" s="64">
        <f>IFERROR(RadSpec!$G$29*H29,".")*$B$57</f>
        <v>0</v>
      </c>
      <c r="I57" s="64">
        <f>IFERROR(RadSpec!$F$29*I29,".")*$B$57</f>
        <v>5.9427371634017483E-11</v>
      </c>
      <c r="J57" s="73">
        <f t="shared" si="94"/>
        <v>0</v>
      </c>
      <c r="K57" s="73">
        <f t="shared" si="94"/>
        <v>0</v>
      </c>
      <c r="L57" s="73">
        <f t="shared" si="94"/>
        <v>5.9427371634017483E-11</v>
      </c>
      <c r="M57" s="73">
        <f t="shared" si="95"/>
        <v>5.9427371634017483E-11</v>
      </c>
      <c r="N57" s="56">
        <f>IFERROR(N29/$B57,0)</f>
        <v>0</v>
      </c>
      <c r="O57" s="56">
        <f>IFERROR(O29/$B57,0)</f>
        <v>0</v>
      </c>
      <c r="P57" s="56">
        <f>IFERROR(P29/$B57,0)</f>
        <v>16827.262800018885</v>
      </c>
      <c r="Q57" s="56">
        <f t="shared" si="96"/>
        <v>16827.262800018885</v>
      </c>
      <c r="R57" s="64">
        <f>IFERROR(RadSpec!$I$29*R29,".")*$B$57</f>
        <v>0</v>
      </c>
      <c r="S57" s="64">
        <f>IFERROR(RadSpec!$G$29*S29,".")*$B$57</f>
        <v>0</v>
      </c>
      <c r="T57" s="64">
        <f>IFERROR(RadSpec!$F$29*T29,".")*$B$57</f>
        <v>5.9427371634017483E-11</v>
      </c>
      <c r="U57" s="73">
        <f t="shared" si="97"/>
        <v>0</v>
      </c>
      <c r="V57" s="73">
        <f t="shared" si="98"/>
        <v>0</v>
      </c>
      <c r="W57" s="73">
        <f t="shared" si="99"/>
        <v>5.9427371634017483E-11</v>
      </c>
      <c r="X57" s="73">
        <f t="shared" si="100"/>
        <v>5.9427371634017483E-11</v>
      </c>
      <c r="Y57" s="56">
        <f t="shared" ref="Y57:AO57" si="113">IFERROR(Y29/$B57,0)</f>
        <v>16827.262800018885</v>
      </c>
      <c r="Z57" s="56">
        <f t="shared" si="113"/>
        <v>190092.11507554376</v>
      </c>
      <c r="AA57" s="56">
        <f t="shared" si="113"/>
        <v>44661.759630914792</v>
      </c>
      <c r="AB57" s="56">
        <f t="shared" si="113"/>
        <v>21767.447695243925</v>
      </c>
      <c r="AC57" s="56">
        <f t="shared" si="113"/>
        <v>283051.3506393765</v>
      </c>
      <c r="AD57" s="64">
        <f>IFERROR(RadSpec!$F$29*AD29,".")*$B$57</f>
        <v>5.9427371634017483E-11</v>
      </c>
      <c r="AE57" s="64">
        <f>IFERROR(RadSpec!$M$29*AE29,".")*$B$57</f>
        <v>5.260607467082967E-12</v>
      </c>
      <c r="AF57" s="64">
        <f>IFERROR(RadSpec!$N$29*AF29,".")*$B$57</f>
        <v>2.2390519501784286E-11</v>
      </c>
      <c r="AG57" s="64">
        <f>IFERROR(RadSpec!$O$29*AG29,".")*$B$57</f>
        <v>4.5940158625877621E-11</v>
      </c>
      <c r="AH57" s="64">
        <f>IFERROR(RadSpec!$K$29*AH29,".")*$B$57</f>
        <v>3.532927851222503E-12</v>
      </c>
      <c r="AI57" s="73">
        <f t="shared" si="102"/>
        <v>5.9427371634017483E-11</v>
      </c>
      <c r="AJ57" s="73">
        <f t="shared" si="102"/>
        <v>5.260607467082967E-12</v>
      </c>
      <c r="AK57" s="73">
        <f t="shared" si="102"/>
        <v>2.2390519501784286E-11</v>
      </c>
      <c r="AL57" s="73">
        <f t="shared" si="102"/>
        <v>4.5940158625877621E-11</v>
      </c>
      <c r="AM57" s="73">
        <f t="shared" si="102"/>
        <v>3.532927851222503E-12</v>
      </c>
      <c r="AN57" s="56">
        <f t="shared" si="113"/>
        <v>0</v>
      </c>
      <c r="AO57" s="56">
        <f t="shared" si="113"/>
        <v>1685168.5532674931</v>
      </c>
      <c r="AP57" s="56">
        <f t="shared" si="103"/>
        <v>1685168.5532674931</v>
      </c>
      <c r="AQ57" s="64">
        <f>IFERROR(RadSpec!$G$29*AQ29,".")*$B$57</f>
        <v>0</v>
      </c>
      <c r="AR57" s="64">
        <f>IFERROR(RadSpec!$J$29*AR29,".")*$B$57</f>
        <v>5.934124500846094E-13</v>
      </c>
      <c r="AS57" s="73">
        <f t="shared" si="104"/>
        <v>0</v>
      </c>
      <c r="AT57" s="73">
        <f t="shared" si="104"/>
        <v>5.934124500846094E-13</v>
      </c>
      <c r="AU57" s="73">
        <f t="shared" si="105"/>
        <v>5.934124500846094E-13</v>
      </c>
    </row>
    <row r="58" spans="1:47" x14ac:dyDescent="0.25">
      <c r="A58" s="55" t="s">
        <v>314</v>
      </c>
      <c r="B58" s="50">
        <v>1</v>
      </c>
      <c r="C58" s="56">
        <f>IFERROR(C16/$B58,0)</f>
        <v>20.222242444464666</v>
      </c>
      <c r="D58" s="56">
        <f>IFERROR(D16/$B58,0)</f>
        <v>9.7792403175649323</v>
      </c>
      <c r="E58" s="56">
        <f>IFERROR(E16/$B58,0)</f>
        <v>22453.378967774097</v>
      </c>
      <c r="F58" s="56">
        <f t="shared" si="63"/>
        <v>6.5896786364943001</v>
      </c>
      <c r="G58" s="64">
        <f>IFERROR(RadSpec!$I$16*G16,".")*$B$58</f>
        <v>4.9450500000000003E-8</v>
      </c>
      <c r="H58" s="64">
        <f>IFERROR(RadSpec!$G$16*H16,".")*$B$58</f>
        <v>1.0225743181746492E-7</v>
      </c>
      <c r="I58" s="64">
        <f>IFERROR(RadSpec!$F$16*I16,".")*$B$58</f>
        <v>4.4536726585127182E-11</v>
      </c>
      <c r="J58" s="73">
        <f t="shared" si="94"/>
        <v>4.9450500000000003E-8</v>
      </c>
      <c r="K58" s="73">
        <f t="shared" si="94"/>
        <v>1.0225743181746492E-7</v>
      </c>
      <c r="L58" s="73">
        <f t="shared" si="94"/>
        <v>4.4536726585127182E-11</v>
      </c>
      <c r="M58" s="73">
        <f t="shared" si="95"/>
        <v>1.5175246854405005E-7</v>
      </c>
      <c r="N58" s="56">
        <f>IFERROR(N16/$B58,0)</f>
        <v>20.222242444464666</v>
      </c>
      <c r="O58" s="56">
        <f>IFERROR(O16/$B58,0)</f>
        <v>1495.4460113291564</v>
      </c>
      <c r="P58" s="56">
        <f>IFERROR(P16/$B58,0)</f>
        <v>22453.378967774097</v>
      </c>
      <c r="Q58" s="56">
        <f t="shared" si="96"/>
        <v>19.934720348678365</v>
      </c>
      <c r="R58" s="64">
        <f>IFERROR(RadSpec!$I$16*R16,".")*$B$58</f>
        <v>4.9450500000000003E-8</v>
      </c>
      <c r="S58" s="64">
        <f>IFERROR(RadSpec!$G$16*S16,".")*$B$58</f>
        <v>6.6869682517739136E-10</v>
      </c>
      <c r="T58" s="64">
        <f>IFERROR(RadSpec!$F$16*T16,".")*$B$58</f>
        <v>4.4536726585127182E-11</v>
      </c>
      <c r="U58" s="73">
        <f t="shared" si="97"/>
        <v>4.9450500000000003E-8</v>
      </c>
      <c r="V58" s="73">
        <f t="shared" si="98"/>
        <v>6.6869682517739136E-10</v>
      </c>
      <c r="W58" s="73">
        <f t="shared" si="99"/>
        <v>4.4536726585127182E-11</v>
      </c>
      <c r="X58" s="73">
        <f t="shared" si="100"/>
        <v>5.0163733551762525E-8</v>
      </c>
      <c r="Y58" s="56">
        <f t="shared" ref="Y58:AO58" si="114">IFERROR(Y16/$B58,0)</f>
        <v>22453.378967774097</v>
      </c>
      <c r="Z58" s="56">
        <f t="shared" si="114"/>
        <v>30546.11950004657</v>
      </c>
      <c r="AA58" s="56">
        <f t="shared" si="114"/>
        <v>21667.575968753372</v>
      </c>
      <c r="AB58" s="56">
        <f t="shared" si="114"/>
        <v>20318.367045906627</v>
      </c>
      <c r="AC58" s="56">
        <f t="shared" si="114"/>
        <v>20175.686643105069</v>
      </c>
      <c r="AD58" s="64">
        <f>IFERROR(RadSpec!$F$16*AD16,".")*$B$58</f>
        <v>4.4536726585127182E-11</v>
      </c>
      <c r="AE58" s="64">
        <f>IFERROR(RadSpec!$M$16*AE16,".")*$B$58</f>
        <v>3.2737382566662033E-11</v>
      </c>
      <c r="AF58" s="64">
        <f>IFERROR(RadSpec!$N$16*AF16,".")*$B$58</f>
        <v>4.6151909260274028E-11</v>
      </c>
      <c r="AG58" s="64">
        <f>IFERROR(RadSpec!$O$16*AG16,".")*$B$58</f>
        <v>4.9216553561643706E-11</v>
      </c>
      <c r="AH58" s="64">
        <f>IFERROR(RadSpec!$K$16*AH16,".")*$B$58</f>
        <v>4.9564608020007314E-11</v>
      </c>
      <c r="AI58" s="73">
        <f t="shared" si="102"/>
        <v>4.4536726585127182E-11</v>
      </c>
      <c r="AJ58" s="73">
        <f t="shared" si="102"/>
        <v>3.2737382566662033E-11</v>
      </c>
      <c r="AK58" s="73">
        <f t="shared" si="102"/>
        <v>4.6151909260274028E-11</v>
      </c>
      <c r="AL58" s="73">
        <f t="shared" si="102"/>
        <v>4.9216553561643706E-11</v>
      </c>
      <c r="AM58" s="73">
        <f t="shared" si="102"/>
        <v>4.9564608020007314E-11</v>
      </c>
      <c r="AN58" s="56">
        <f t="shared" si="114"/>
        <v>1.2600012600012603E-2</v>
      </c>
      <c r="AO58" s="56">
        <f t="shared" si="114"/>
        <v>1113111.11256273</v>
      </c>
      <c r="AP58" s="56">
        <f t="shared" si="103"/>
        <v>1.2600012457385049E-2</v>
      </c>
      <c r="AQ58" s="64">
        <f>IFERROR(RadSpec!$G$16*AQ16,".")*$B$58</f>
        <v>7.9364999999999997E-5</v>
      </c>
      <c r="AR58" s="64">
        <f>IFERROR(RadSpec!$J$16*AR16,".")*$B$58</f>
        <v>8.9838290958904098E-13</v>
      </c>
      <c r="AS58" s="73">
        <f t="shared" si="104"/>
        <v>7.9364999999999997E-5</v>
      </c>
      <c r="AT58" s="73">
        <f t="shared" si="104"/>
        <v>8.9838290958904098E-13</v>
      </c>
      <c r="AU58" s="73">
        <f t="shared" si="105"/>
        <v>7.93650008983829E-5</v>
      </c>
    </row>
    <row r="59" spans="1:47" x14ac:dyDescent="0.25">
      <c r="A59" s="55" t="s">
        <v>315</v>
      </c>
      <c r="B59" s="50">
        <v>1</v>
      </c>
      <c r="C59" s="56">
        <f>IFERROR(C7/$B59,0)</f>
        <v>3243.5676000032436</v>
      </c>
      <c r="D59" s="56">
        <f>IFERROR(D7/$B59,0)</f>
        <v>341.08082083214276</v>
      </c>
      <c r="E59" s="56">
        <f>IFERROR(E7/$B59,0)</f>
        <v>21193.132482126541</v>
      </c>
      <c r="F59" s="56">
        <f t="shared" si="63"/>
        <v>304.19694133378039</v>
      </c>
      <c r="G59" s="64">
        <f>IFERROR(RadSpec!$I$7*G7,".")*$B$59</f>
        <v>3.0830249999999998E-10</v>
      </c>
      <c r="H59" s="64">
        <f>IFERROR(RadSpec!$G$7*H7,".")*$B$59</f>
        <v>2.9318564367245187E-9</v>
      </c>
      <c r="I59" s="64">
        <f>IFERROR(RadSpec!$F$7*I7,".")*$B$59</f>
        <v>4.7185096438356185E-11</v>
      </c>
      <c r="J59" s="73">
        <f t="shared" si="94"/>
        <v>3.0830249999999998E-10</v>
      </c>
      <c r="K59" s="73">
        <f t="shared" si="94"/>
        <v>2.9318564367245187E-9</v>
      </c>
      <c r="L59" s="73">
        <f t="shared" si="94"/>
        <v>4.7185096438356185E-11</v>
      </c>
      <c r="M59" s="73">
        <f t="shared" si="95"/>
        <v>3.2873440331628747E-9</v>
      </c>
      <c r="N59" s="56">
        <f>IFERROR(N7/$B59,0)</f>
        <v>3243.5676000032436</v>
      </c>
      <c r="O59" s="56">
        <f>IFERROR(O7/$B59,0)</f>
        <v>52158.238931724234</v>
      </c>
      <c r="P59" s="56">
        <f>IFERROR(P7/$B59,0)</f>
        <v>21193.132482126541</v>
      </c>
      <c r="Q59" s="56">
        <f t="shared" si="96"/>
        <v>2669.0864754514046</v>
      </c>
      <c r="R59" s="64">
        <f>IFERROR(RadSpec!$I$7*R7,".")*$B$59</f>
        <v>3.0830249999999998E-10</v>
      </c>
      <c r="S59" s="64">
        <f>IFERROR(RadSpec!$G$7*S7,".")*$B$59</f>
        <v>1.9172426456134998E-11</v>
      </c>
      <c r="T59" s="64">
        <f>IFERROR(RadSpec!$F$7*T7,".")*$B$59</f>
        <v>4.7185096438356185E-11</v>
      </c>
      <c r="U59" s="73">
        <f t="shared" si="97"/>
        <v>3.0830249999999998E-10</v>
      </c>
      <c r="V59" s="73">
        <f t="shared" si="98"/>
        <v>1.9172426456134998E-11</v>
      </c>
      <c r="W59" s="73">
        <f t="shared" si="99"/>
        <v>4.7185096438356185E-11</v>
      </c>
      <c r="X59" s="73">
        <f t="shared" si="100"/>
        <v>3.7466002289449114E-10</v>
      </c>
      <c r="Y59" s="56">
        <f t="shared" ref="Y59:AO59" si="115">IFERROR(Y7/$B59,0)</f>
        <v>21193.132482126541</v>
      </c>
      <c r="Z59" s="56">
        <f t="shared" si="115"/>
        <v>91760.872048346384</v>
      </c>
      <c r="AA59" s="56">
        <f t="shared" si="115"/>
        <v>29612.628647717978</v>
      </c>
      <c r="AB59" s="56">
        <f t="shared" si="115"/>
        <v>19664.089806193639</v>
      </c>
      <c r="AC59" s="56">
        <f t="shared" si="115"/>
        <v>23777.190491776219</v>
      </c>
      <c r="AD59" s="64">
        <f>IFERROR(RadSpec!$F$7*AD7,".")*$B$59</f>
        <v>4.7185096438356185E-11</v>
      </c>
      <c r="AE59" s="64">
        <f>IFERROR(RadSpec!$M$7*AE7,".")*$B$59</f>
        <v>1.08978912E-11</v>
      </c>
      <c r="AF59" s="64">
        <f>IFERROR(RadSpec!$N$7*AF7,".")*$B$59</f>
        <v>3.3769376298752278E-11</v>
      </c>
      <c r="AG59" s="64">
        <f>IFERROR(RadSpec!$O$7*AG7,".")*$B$59</f>
        <v>5.0854120880033199E-11</v>
      </c>
      <c r="AH59" s="64">
        <f>IFERROR(RadSpec!$K$7*AH7,".")*$B$59</f>
        <v>4.2057113532646698E-11</v>
      </c>
      <c r="AI59" s="73">
        <f t="shared" si="102"/>
        <v>4.7185096438356185E-11</v>
      </c>
      <c r="AJ59" s="73">
        <f t="shared" si="102"/>
        <v>1.08978912E-11</v>
      </c>
      <c r="AK59" s="73">
        <f t="shared" si="102"/>
        <v>3.3769376298752278E-11</v>
      </c>
      <c r="AL59" s="73">
        <f t="shared" si="102"/>
        <v>5.0854120880033199E-11</v>
      </c>
      <c r="AM59" s="73">
        <f t="shared" si="102"/>
        <v>4.2057113532646698E-11</v>
      </c>
      <c r="AN59" s="56">
        <f t="shared" si="115"/>
        <v>0.43946385409800048</v>
      </c>
      <c r="AO59" s="56">
        <f t="shared" si="115"/>
        <v>828076.03738110373</v>
      </c>
      <c r="AP59" s="56">
        <f t="shared" si="103"/>
        <v>0.43946362087258656</v>
      </c>
      <c r="AQ59" s="64">
        <f>IFERROR(RadSpec!$G$7*AQ7,".")*$B$59</f>
        <v>2.2755000000000001E-6</v>
      </c>
      <c r="AR59" s="64">
        <f>IFERROR(RadSpec!$J$7*AR7,".")*$B$59</f>
        <v>1.2076185698630138E-12</v>
      </c>
      <c r="AS59" s="73">
        <f t="shared" si="104"/>
        <v>2.2755000000000001E-6</v>
      </c>
      <c r="AT59" s="73">
        <f t="shared" si="104"/>
        <v>1.2076185698630138E-12</v>
      </c>
      <c r="AU59" s="73">
        <f t="shared" si="105"/>
        <v>2.2755012076185698E-6</v>
      </c>
    </row>
    <row r="60" spans="1:47" x14ac:dyDescent="0.25">
      <c r="A60" s="55" t="s">
        <v>316</v>
      </c>
      <c r="B60" s="59">
        <v>1.9000000000000001E-8</v>
      </c>
      <c r="C60" s="56">
        <f>IFERROR(C12/$B60,0)</f>
        <v>0</v>
      </c>
      <c r="D60" s="56">
        <f>IFERROR(D12/$B60,0)</f>
        <v>0</v>
      </c>
      <c r="E60" s="56">
        <f>IFERROR(E12/$B60,0)</f>
        <v>6042592642.7285414</v>
      </c>
      <c r="F60" s="56">
        <f t="shared" si="63"/>
        <v>6042592642.7285414</v>
      </c>
      <c r="G60" s="64">
        <f>IFERROR(RadSpec!$I$12*G12,".")*$B$60</f>
        <v>0</v>
      </c>
      <c r="H60" s="64">
        <f>IFERROR(RadSpec!$G$12*H12,".")*$B$60</f>
        <v>0</v>
      </c>
      <c r="I60" s="64">
        <f>IFERROR(RadSpec!$F$12*I12,".")*$B$60</f>
        <v>1.6549187726618763E-16</v>
      </c>
      <c r="J60" s="73">
        <f t="shared" si="94"/>
        <v>0</v>
      </c>
      <c r="K60" s="73">
        <f t="shared" si="94"/>
        <v>0</v>
      </c>
      <c r="L60" s="73">
        <f t="shared" si="94"/>
        <v>1.6549187726618763E-16</v>
      </c>
      <c r="M60" s="73">
        <f t="shared" si="95"/>
        <v>1.6549187726618763E-16</v>
      </c>
      <c r="N60" s="56">
        <f>IFERROR(N12/$B60,0)</f>
        <v>0</v>
      </c>
      <c r="O60" s="56">
        <f>IFERROR(O12/$B60,0)</f>
        <v>0</v>
      </c>
      <c r="P60" s="56">
        <f>IFERROR(P12/$B60,0)</f>
        <v>6042592642.7285414</v>
      </c>
      <c r="Q60" s="56">
        <f t="shared" si="96"/>
        <v>6042592642.7285414</v>
      </c>
      <c r="R60" s="64">
        <f>IFERROR(RadSpec!$I$12*R12,".")*$B$60</f>
        <v>0</v>
      </c>
      <c r="S60" s="64">
        <f>IFERROR(RadSpec!$G$12*S12,".")*$B$60</f>
        <v>0</v>
      </c>
      <c r="T60" s="64">
        <f>IFERROR(RadSpec!$F$12*T12,".")*$B$60</f>
        <v>1.6549187726618763E-16</v>
      </c>
      <c r="U60" s="73">
        <f t="shared" si="97"/>
        <v>0</v>
      </c>
      <c r="V60" s="73">
        <f t="shared" si="98"/>
        <v>0</v>
      </c>
      <c r="W60" s="73">
        <f t="shared" si="99"/>
        <v>1.6549187726618763E-16</v>
      </c>
      <c r="X60" s="73">
        <f t="shared" si="100"/>
        <v>1.6549187726618763E-16</v>
      </c>
      <c r="Y60" s="56">
        <f t="shared" ref="Y60:AO60" si="116">IFERROR(Y12/$B60,0)</f>
        <v>6042592642.7285414</v>
      </c>
      <c r="Z60" s="56">
        <f t="shared" si="116"/>
        <v>42136064402.639709</v>
      </c>
      <c r="AA60" s="56">
        <f t="shared" si="116"/>
        <v>10492706233.598509</v>
      </c>
      <c r="AB60" s="56">
        <f t="shared" si="116"/>
        <v>6069109183.7770042</v>
      </c>
      <c r="AC60" s="56">
        <f t="shared" si="116"/>
        <v>54501106679.768967</v>
      </c>
      <c r="AD60" s="64">
        <f>IFERROR(RadSpec!$F$12*AD12,".")*$B$60</f>
        <v>1.6549187726618763E-16</v>
      </c>
      <c r="AE60" s="64">
        <f>IFERROR(RadSpec!$M$12*AE12,".")*$B$60</f>
        <v>2.3732638873063637E-17</v>
      </c>
      <c r="AF60" s="64">
        <f>IFERROR(RadSpec!$N$12*AF12,".")*$B$60</f>
        <v>9.5304297836712279E-17</v>
      </c>
      <c r="AG60" s="64">
        <f>IFERROR(RadSpec!$O$12*AG12,".")*$B$60</f>
        <v>1.6476882681119723E-16</v>
      </c>
      <c r="AH60" s="64">
        <f>IFERROR(RadSpec!$K$12*AH12,".")*$B$60</f>
        <v>1.8348251272688452E-17</v>
      </c>
      <c r="AI60" s="73">
        <f t="shared" si="102"/>
        <v>1.6549187726618763E-16</v>
      </c>
      <c r="AJ60" s="73">
        <f t="shared" si="102"/>
        <v>2.3732638873063637E-17</v>
      </c>
      <c r="AK60" s="73">
        <f t="shared" si="102"/>
        <v>9.5304297836712279E-17</v>
      </c>
      <c r="AL60" s="73">
        <f t="shared" si="102"/>
        <v>1.6476882681119723E-16</v>
      </c>
      <c r="AM60" s="73">
        <f t="shared" si="102"/>
        <v>1.8348251272688452E-17</v>
      </c>
      <c r="AN60" s="56">
        <f t="shared" si="116"/>
        <v>0</v>
      </c>
      <c r="AO60" s="56">
        <f t="shared" si="116"/>
        <v>464542965862.09283</v>
      </c>
      <c r="AP60" s="56">
        <f t="shared" si="103"/>
        <v>464542965862.09283</v>
      </c>
      <c r="AQ60" s="64">
        <f>IFERROR(RadSpec!$G$12*AQ12,".")*$B$60</f>
        <v>0</v>
      </c>
      <c r="AR60" s="64">
        <f>IFERROR(RadSpec!$J$12*AR12,".")*$B$60</f>
        <v>2.1526534109589039E-18</v>
      </c>
      <c r="AS60" s="73">
        <f t="shared" si="104"/>
        <v>0</v>
      </c>
      <c r="AT60" s="73">
        <f t="shared" si="104"/>
        <v>2.1526534109589039E-18</v>
      </c>
      <c r="AU60" s="73">
        <f t="shared" si="105"/>
        <v>2.1526534109589039E-18</v>
      </c>
    </row>
    <row r="61" spans="1:47" x14ac:dyDescent="0.25">
      <c r="A61" s="55" t="s">
        <v>317</v>
      </c>
      <c r="B61" s="50">
        <v>1</v>
      </c>
      <c r="C61" s="56">
        <f>IFERROR(C18/$B61,0)</f>
        <v>8.4433074123795766</v>
      </c>
      <c r="D61" s="56">
        <f>IFERROR(D18/$B61,0)</f>
        <v>10.702280857743254</v>
      </c>
      <c r="E61" s="56">
        <f>IFERROR(E18/$B61,0)</f>
        <v>1033258.7518648753</v>
      </c>
      <c r="F61" s="56">
        <f t="shared" si="63"/>
        <v>4.7197418674302423</v>
      </c>
      <c r="G61" s="64">
        <f>IFERROR(RadSpec!$I$18*G18,".")*$B$61</f>
        <v>1.18437E-7</v>
      </c>
      <c r="H61" s="64">
        <f>IFERROR(RadSpec!$G$18*H18,".")*$B$61</f>
        <v>9.3438026276098497E-8</v>
      </c>
      <c r="I61" s="64">
        <f>IFERROR(RadSpec!$F$18*I18,".")*$B$61</f>
        <v>9.6781178789451498E-13</v>
      </c>
      <c r="J61" s="73">
        <f t="shared" si="94"/>
        <v>1.18437E-7</v>
      </c>
      <c r="K61" s="73">
        <f t="shared" si="94"/>
        <v>9.3438026276098497E-8</v>
      </c>
      <c r="L61" s="73">
        <f t="shared" si="94"/>
        <v>9.6781178789451498E-13</v>
      </c>
      <c r="M61" s="73">
        <f t="shared" si="95"/>
        <v>2.1187599408788641E-7</v>
      </c>
      <c r="N61" s="56">
        <f>IFERROR(N18/$B61,0)</f>
        <v>8.4433074123795766</v>
      </c>
      <c r="O61" s="56">
        <f>IFERROR(O18/$B61,0)</f>
        <v>1636.5978032148166</v>
      </c>
      <c r="P61" s="56">
        <f>IFERROR(P18/$B61,0)</f>
        <v>1033258.7518648753</v>
      </c>
      <c r="Q61" s="56">
        <f t="shared" si="96"/>
        <v>8.3999031619904603</v>
      </c>
      <c r="R61" s="64">
        <f>IFERROR(RadSpec!$I$18*R18,".")*$B$61</f>
        <v>1.18437E-7</v>
      </c>
      <c r="S61" s="64">
        <f>IFERROR(RadSpec!$G$18*S18,".")*$B$61</f>
        <v>6.1102367242316422E-10</v>
      </c>
      <c r="T61" s="64">
        <f>IFERROR(RadSpec!$F$18*T18,".")*$B$61</f>
        <v>9.6781178789451498E-13</v>
      </c>
      <c r="U61" s="73">
        <f t="shared" si="97"/>
        <v>1.18437E-7</v>
      </c>
      <c r="V61" s="73">
        <f t="shared" si="98"/>
        <v>6.1102367242316422E-10</v>
      </c>
      <c r="W61" s="73">
        <f t="shared" si="99"/>
        <v>9.6781178789451498E-13</v>
      </c>
      <c r="X61" s="73">
        <f t="shared" si="100"/>
        <v>1.1904899148421106E-7</v>
      </c>
      <c r="Y61" s="56">
        <f t="shared" ref="Y61:AO61" si="117">IFERROR(Y18/$B61,0)</f>
        <v>1033258.7518648753</v>
      </c>
      <c r="Z61" s="56">
        <f t="shared" si="117"/>
        <v>10822557.207707774</v>
      </c>
      <c r="AA61" s="56">
        <f t="shared" si="117"/>
        <v>2546908.3221597336</v>
      </c>
      <c r="AB61" s="56">
        <f t="shared" si="117"/>
        <v>1266767.6633191966</v>
      </c>
      <c r="AC61" s="56">
        <f t="shared" si="117"/>
        <v>16831369.280441687</v>
      </c>
      <c r="AD61" s="64">
        <f>IFERROR(RadSpec!$F$18*AD18,".")*$B$61</f>
        <v>9.6781178789451498E-13</v>
      </c>
      <c r="AE61" s="64">
        <f>IFERROR(RadSpec!$M$18*AE18,".")*$B$61</f>
        <v>9.2399603976018223E-14</v>
      </c>
      <c r="AF61" s="64">
        <f>IFERROR(RadSpec!$N$18*AF18,".")*$B$61</f>
        <v>3.9263289977866867E-13</v>
      </c>
      <c r="AG61" s="64">
        <f>IFERROR(RadSpec!$O$18*AG18,".")*$B$61</f>
        <v>7.8941074117710771E-13</v>
      </c>
      <c r="AH61" s="64">
        <f>IFERROR(RadSpec!$K$18*AH18,".")*$B$61</f>
        <v>5.9412872674715506E-14</v>
      </c>
      <c r="AI61" s="73">
        <f t="shared" si="102"/>
        <v>9.6781178789451498E-13</v>
      </c>
      <c r="AJ61" s="73">
        <f t="shared" si="102"/>
        <v>9.2399603976018223E-14</v>
      </c>
      <c r="AK61" s="73">
        <f t="shared" si="102"/>
        <v>3.9263289977866867E-13</v>
      </c>
      <c r="AL61" s="73">
        <f t="shared" si="102"/>
        <v>7.8941074117710771E-13</v>
      </c>
      <c r="AM61" s="73">
        <f t="shared" si="102"/>
        <v>5.9412872674715506E-14</v>
      </c>
      <c r="AN61" s="56">
        <f t="shared" si="117"/>
        <v>1.3789299503585218E-2</v>
      </c>
      <c r="AO61" s="56">
        <f t="shared" si="117"/>
        <v>104781688.52894972</v>
      </c>
      <c r="AP61" s="56">
        <f t="shared" si="103"/>
        <v>1.3789299501770543E-2</v>
      </c>
      <c r="AQ61" s="64">
        <f>IFERROR(RadSpec!$G$18*AQ18,".")*$B$61</f>
        <v>7.2520000000000004E-5</v>
      </c>
      <c r="AR61" s="64">
        <f>IFERROR(RadSpec!$J$18*AR18,".")*$B$61</f>
        <v>9.5436522739726025E-15</v>
      </c>
      <c r="AS61" s="73">
        <f t="shared" si="104"/>
        <v>7.2520000000000004E-5</v>
      </c>
      <c r="AT61" s="73">
        <f t="shared" si="104"/>
        <v>9.5436522739726025E-15</v>
      </c>
      <c r="AU61" s="73">
        <f t="shared" si="105"/>
        <v>7.2520000009543653E-5</v>
      </c>
    </row>
    <row r="62" spans="1:47" x14ac:dyDescent="0.25">
      <c r="A62" s="55" t="s">
        <v>318</v>
      </c>
      <c r="B62" s="50">
        <v>1.339E-6</v>
      </c>
      <c r="C62" s="56">
        <f>IFERROR(C27/$B62,0)</f>
        <v>0</v>
      </c>
      <c r="D62" s="56">
        <f>IFERROR(D27/$B62,0)</f>
        <v>0</v>
      </c>
      <c r="E62" s="56">
        <f>IFERROR(E27/$B62,0)</f>
        <v>5848105570.9794712</v>
      </c>
      <c r="F62" s="56">
        <f t="shared" ref="F62" si="118">IFERROR(SUM(C62:E62),0)</f>
        <v>5848105570.9794712</v>
      </c>
      <c r="G62" s="64">
        <f>IFERROR(RadSpec!$I$27*G27,".")*$B$62</f>
        <v>0</v>
      </c>
      <c r="H62" s="64">
        <f>IFERROR(RadSpec!$G$27*H27,".")*$B$62</f>
        <v>0</v>
      </c>
      <c r="I62" s="64">
        <f>IFERROR(RadSpec!$F$27*I27,".")*$B$62</f>
        <v>1.7099554511505078E-16</v>
      </c>
      <c r="J62" s="73">
        <f t="shared" si="94"/>
        <v>0</v>
      </c>
      <c r="K62" s="73">
        <f t="shared" si="94"/>
        <v>0</v>
      </c>
      <c r="L62" s="73">
        <f t="shared" si="94"/>
        <v>1.7099554511505078E-16</v>
      </c>
      <c r="M62" s="73">
        <f t="shared" si="95"/>
        <v>1.7099554511505078E-16</v>
      </c>
      <c r="N62" s="56">
        <f>IFERROR(N27/$B62,0)</f>
        <v>0</v>
      </c>
      <c r="O62" s="56">
        <f>IFERROR(O27/$B62,0)</f>
        <v>0</v>
      </c>
      <c r="P62" s="56">
        <f>IFERROR(P27/$B62,0)</f>
        <v>5848105570.9794712</v>
      </c>
      <c r="Q62" s="56">
        <f t="shared" ref="Q62" si="119">IFERROR(SUM(N62:P62),0)</f>
        <v>5848105570.9794712</v>
      </c>
      <c r="R62" s="64">
        <f>IFERROR(RadSpec!$I$27*R27,".")*$B$62</f>
        <v>0</v>
      </c>
      <c r="S62" s="64">
        <f>IFERROR(RadSpec!$G$27*S27,".")*$B$62</f>
        <v>0</v>
      </c>
      <c r="T62" s="64">
        <f>IFERROR(RadSpec!$F$27*T27,".")*$B$62</f>
        <v>1.7099554511505078E-16</v>
      </c>
      <c r="U62" s="73">
        <f t="shared" si="97"/>
        <v>0</v>
      </c>
      <c r="V62" s="73">
        <f t="shared" si="98"/>
        <v>0</v>
      </c>
      <c r="W62" s="73">
        <f t="shared" si="99"/>
        <v>1.7099554511505078E-16</v>
      </c>
      <c r="X62" s="73">
        <f t="shared" si="100"/>
        <v>1.7099554511505078E-16</v>
      </c>
      <c r="Y62" s="56">
        <f t="shared" ref="Y62:AO62" si="120">IFERROR(Y27/$B62,0)</f>
        <v>5848105570.9794712</v>
      </c>
      <c r="Z62" s="56">
        <f t="shared" si="120"/>
        <v>26459798385.942795</v>
      </c>
      <c r="AA62" s="56">
        <f t="shared" si="120"/>
        <v>9837403809.1372757</v>
      </c>
      <c r="AB62" s="56">
        <f t="shared" si="120"/>
        <v>6561613651.1776857</v>
      </c>
      <c r="AC62" s="56">
        <f t="shared" si="120"/>
        <v>5643312397.1997566</v>
      </c>
      <c r="AD62" s="64">
        <f>IFERROR(RadSpec!$F$27*AD27,".")*$B$62</f>
        <v>1.7099554511505078E-16</v>
      </c>
      <c r="AE62" s="64">
        <f>IFERROR(RadSpec!$M$27*AE27,".")*$B$62</f>
        <v>3.7793182903890393E-17</v>
      </c>
      <c r="AF62" s="64">
        <f>IFERROR(RadSpec!$N$27*AF27,".")*$B$62</f>
        <v>1.0165283639888504E-16</v>
      </c>
      <c r="AG62" s="64">
        <f>IFERROR(RadSpec!$O$27*AG27,".")*$B$62</f>
        <v>1.5240153614050698E-16</v>
      </c>
      <c r="AH62" s="64">
        <f>IFERROR(RadSpec!$K$27*AH27,".")*$B$62</f>
        <v>1.7720089366241813E-16</v>
      </c>
      <c r="AI62" s="73">
        <f t="shared" si="102"/>
        <v>1.7099554511505078E-16</v>
      </c>
      <c r="AJ62" s="73">
        <f t="shared" si="102"/>
        <v>3.7793182903890393E-17</v>
      </c>
      <c r="AK62" s="73">
        <f t="shared" si="102"/>
        <v>1.0165283639888504E-16</v>
      </c>
      <c r="AL62" s="73">
        <f t="shared" si="102"/>
        <v>1.5240153614050698E-16</v>
      </c>
      <c r="AM62" s="73">
        <f t="shared" si="102"/>
        <v>1.7720089366241813E-16</v>
      </c>
      <c r="AN62" s="56">
        <f t="shared" si="120"/>
        <v>0</v>
      </c>
      <c r="AO62" s="56">
        <f t="shared" si="120"/>
        <v>348010191098.05682</v>
      </c>
      <c r="AP62" s="56">
        <f t="shared" si="103"/>
        <v>348010191098.05682</v>
      </c>
      <c r="AQ62" s="64">
        <f>IFERROR(RadSpec!$G$27*AQ27,".")*$B$62</f>
        <v>0</v>
      </c>
      <c r="AR62" s="64">
        <f>IFERROR(RadSpec!$J$27*AR27,".")*$B$62</f>
        <v>2.8734790692328767E-18</v>
      </c>
      <c r="AS62" s="73">
        <f t="shared" si="104"/>
        <v>0</v>
      </c>
      <c r="AT62" s="73">
        <f t="shared" si="104"/>
        <v>2.8734790692328767E-18</v>
      </c>
      <c r="AU62" s="73">
        <f t="shared" si="105"/>
        <v>2.8734790692328767E-18</v>
      </c>
    </row>
    <row r="63" spans="1:47" x14ac:dyDescent="0.25">
      <c r="A63" s="52" t="s">
        <v>35</v>
      </c>
      <c r="B63" s="52" t="s">
        <v>289</v>
      </c>
      <c r="C63" s="53">
        <f>1/SUM(1/C66,1/C68,1/C72,1/C73,1/C75)</f>
        <v>5.9443793680666577</v>
      </c>
      <c r="D63" s="53">
        <f>1/SUM(1/D64,1/D65,1/D66,1/D68,1/D72,1/D73,1/D75)</f>
        <v>5.0092636344578265</v>
      </c>
      <c r="E63" s="53">
        <f>1/SUM(1/E64,1/E65,1/E66,1/E67,1/E68,1/E69,1/E70,1/E71,1/E72,1/E73,1/E74,1/E75,1/E76)</f>
        <v>5.6923461431604414</v>
      </c>
      <c r="F63" s="54">
        <f>1/SUM(1/F64,1/F65,1/F66,1/F67,1/F68,1/F69,1/F70,1/F71,1/F72,1/F73,1/F74,1/F75,1/F76)</f>
        <v>1.8398222436294005</v>
      </c>
      <c r="G63" s="71"/>
      <c r="H63" s="71"/>
      <c r="I63" s="71"/>
      <c r="J63" s="72">
        <f>IFERROR(IF(SUM(G64:G76)&gt;0.01,1-EXP(-SUM(G64:G76)),SUM(G64:G76)),".")</f>
        <v>1.6822614070899021E-7</v>
      </c>
      <c r="K63" s="72">
        <f>IFERROR(IF(SUM(H64:H76)&gt;0.01,1-EXP(-SUM(H64:H76)),SUM(H64:H76)),".")</f>
        <v>1.9963013987149316E-7</v>
      </c>
      <c r="L63" s="72">
        <f>IFERROR(IF(SUM(I64:I76)&gt;0.01,1-EXP(-SUM(I64:I76)),SUM(I64:I76)),".")</f>
        <v>1.7567448901566462E-7</v>
      </c>
      <c r="M63" s="72">
        <f>IFERROR(IF(SUM(G64:I76)&gt;0.01,1-EXP(-SUM(G64:I76)),SUM(G64:I76)),".")</f>
        <v>5.4353076959614802E-7</v>
      </c>
      <c r="N63" s="53">
        <f>1/SUM(1/N66,1/N68,1/N72,1/N73,1/N75)</f>
        <v>5.9443793680666577</v>
      </c>
      <c r="O63" s="53">
        <f>1/SUM(1/O64,1/O65,1/O66,1/O68,1/O72,1/O73,1/O75)</f>
        <v>766.01894202263111</v>
      </c>
      <c r="P63" s="53">
        <f>1/SUM(1/P64,1/P65,1/P66,1/P67,1/P68,1/P69,1/P70,1/P71,1/P72,1/P73,1/P74,1/P75,1/P76)</f>
        <v>5.6923461431604414</v>
      </c>
      <c r="Q63" s="54">
        <f>1/SUM(1/Q64,1/Q65,1/Q66,1/Q67,1/Q68,1/Q69,1/Q70,1/Q71,1/Q72,1/Q73,1/Q74,1/Q75,1/Q76)</f>
        <v>2.8968203533205483</v>
      </c>
      <c r="R63" s="71"/>
      <c r="S63" s="71"/>
      <c r="T63" s="71"/>
      <c r="U63" s="72">
        <f>IFERROR(IF(SUM(R64:R76)&gt;0.01,1-EXP(-SUM(R64:R76)),SUM(R64:R76)),".")</f>
        <v>1.6822614070899021E-7</v>
      </c>
      <c r="V63" s="72">
        <f>IFERROR(IF(SUM(S64:S76)&gt;0.01,1-EXP(-SUM(S64:S76)),SUM(S64:S76)),".")</f>
        <v>1.3054507468960946E-9</v>
      </c>
      <c r="W63" s="72">
        <f>IFERROR(IF(SUM(T64:T76)&gt;0.01,1-EXP(-SUM(T64:T76)),SUM(T64:T76)),".")</f>
        <v>1.7567448901566462E-7</v>
      </c>
      <c r="X63" s="72">
        <f>IFERROR(IF(SUM(R64:T76)&gt;0.01,1-EXP(-SUM(R64:T76)),SUM(R64:T76)),".")</f>
        <v>3.4520608047155094E-7</v>
      </c>
      <c r="Y63" s="53">
        <f t="shared" ref="Y63:AC63" si="121">1/SUM(1/Y64,1/Y65,1/Y66,1/Y67,1/Y68,1/Y69,1/Y70,1/Y71,1/Y72,1/Y73,1/Y74,1/Y75,1/Y76)</f>
        <v>5.6923461431604414</v>
      </c>
      <c r="Z63" s="53">
        <f t="shared" si="121"/>
        <v>63.739612496863266</v>
      </c>
      <c r="AA63" s="53">
        <f t="shared" si="121"/>
        <v>14.923632310815218</v>
      </c>
      <c r="AB63" s="53">
        <f t="shared" si="121"/>
        <v>7.344547153003953</v>
      </c>
      <c r="AC63" s="53">
        <f t="shared" si="121"/>
        <v>93.639572369454257</v>
      </c>
      <c r="AD63" s="71"/>
      <c r="AE63" s="71"/>
      <c r="AF63" s="71"/>
      <c r="AG63" s="71"/>
      <c r="AH63" s="71"/>
      <c r="AI63" s="72">
        <f>IFERROR(IF(SUM(AD64:AD76)&gt;0.01,1-EXP(-SUM(AD64:AD76)),SUM(AD64:AD76)),".")</f>
        <v>1.7567448901566462E-7</v>
      </c>
      <c r="AJ63" s="72">
        <f t="shared" ref="AJ63:AM63" si="122">IFERROR(IF(SUM(AE64:AE76)&gt;0.01,1-EXP(-SUM(AE64:AE76)),SUM(AE64:AE76)),".")</f>
        <v>1.568883096648264E-8</v>
      </c>
      <c r="AK63" s="72">
        <f t="shared" si="122"/>
        <v>6.7007815468308983E-8</v>
      </c>
      <c r="AL63" s="72">
        <f t="shared" si="122"/>
        <v>1.3615543329870177E-7</v>
      </c>
      <c r="AM63" s="72">
        <f t="shared" si="122"/>
        <v>1.0679245502865517E-8</v>
      </c>
      <c r="AN63" s="53">
        <f>1/SUM(1/AN64,1/AN65,1/AN66,1/AN68,1/AN72,1/AN73,1/AN75)</f>
        <v>6.4541603295694295E-3</v>
      </c>
      <c r="AO63" s="53">
        <f t="shared" ref="AO63:AP63" si="123">1/SUM(1/AO64,1/AO65,1/AO66,1/AO67,1/AO68,1/AO69,1/AO70,1/AO71,1/AO72,1/AO73,1/AO74,1/AO75,1/AO76)</f>
        <v>567.09973695535837</v>
      </c>
      <c r="AP63" s="54">
        <f t="shared" si="123"/>
        <v>6.4540868756269177E-3</v>
      </c>
      <c r="AQ63" s="71"/>
      <c r="AR63" s="71"/>
      <c r="AS63" s="72">
        <f>IFERROR(IF(SUM(AQ64:AQ76)&gt;0.01,1-EXP(-SUM(AQ64:AQ76)),SUM(AQ64:AQ76)),".")</f>
        <v>1.549388222382E-4</v>
      </c>
      <c r="AT63" s="72">
        <f>IFERROR(IF(SUM(AR64:AR76)&gt;0.01,1-EXP(-SUM(AR64:AR76)),SUM(AR64:AR76)),".")</f>
        <v>1.7633582504707084E-9</v>
      </c>
      <c r="AU63" s="72">
        <f>IFERROR(IF(SUM(AQ64:AR76)&gt;0.01,1-EXP(-SUM(AQ64:AR76)),SUM(AQ64:AR76)),".")</f>
        <v>1.5494058559645049E-4</v>
      </c>
    </row>
    <row r="64" spans="1:47" x14ac:dyDescent="0.25">
      <c r="A64" s="55" t="s">
        <v>306</v>
      </c>
      <c r="B64" s="60">
        <v>1</v>
      </c>
      <c r="C64" s="56">
        <f>IFERROR(C25/$B50,0)</f>
        <v>0</v>
      </c>
      <c r="D64" s="56">
        <f>IFERROR(D25/$B50,0)</f>
        <v>68081.527000310583</v>
      </c>
      <c r="E64" s="56">
        <f>IFERROR(E25/$B50,0)</f>
        <v>29759.22754488196</v>
      </c>
      <c r="F64" s="56">
        <f t="shared" ref="F64:F76" si="124">IF(AND(C64&lt;&gt;0,D64&lt;&gt;0,E64&lt;&gt;0),1/((1/C64)+(1/D64)+(1/E64)),IF(AND(C64&lt;&gt;0,D64&lt;&gt;0,E64=0), 1/((1/C64)+(1/D64)),IF(AND(C64&lt;&gt;0,D64=0,E64&lt;&gt;0),1/((1/C64)+(1/E64)),IF(AND(C64=0,D64&lt;&gt;0,E64&lt;&gt;0),1/((1/D64)+(1/E64)),IF(AND(C64&lt;&gt;0,D64=0,E64=0),1/((1/C64)),IF(AND(C64=0,D64&lt;&gt;0,E64=0),1/((1/D64)),IF(AND(C64=0,D64=0,E64&lt;&gt;0),1/((1/E64)),IF(AND(C64=0,D64=0,E64=0),0))))))))</f>
        <v>20707.66587015062</v>
      </c>
      <c r="G64" s="64">
        <f>IFERROR(RadSpec!$I$25*G25,".")*$B$64</f>
        <v>0</v>
      </c>
      <c r="H64" s="64">
        <f>IFERROR(RadSpec!$G$25*H25,".")*$B$64</f>
        <v>1.4688272194532857E-11</v>
      </c>
      <c r="I64" s="64">
        <f>IFERROR(RadSpec!$F$25*I25,".")*$B$64</f>
        <v>3.3603022742839357E-11</v>
      </c>
      <c r="J64" s="73">
        <f t="shared" ref="J64:L76" si="125">IFERROR(IF(G64&gt;0.01,1-EXP(-G64),G64),".")</f>
        <v>0</v>
      </c>
      <c r="K64" s="73">
        <f t="shared" si="125"/>
        <v>1.4688272194532857E-11</v>
      </c>
      <c r="L64" s="73">
        <f t="shared" si="125"/>
        <v>3.3603022742839357E-11</v>
      </c>
      <c r="M64" s="73">
        <f t="shared" ref="M64:M76" si="126">IFERROR(IF(SUM(G64:I64)&gt;0.01,1-EXP(-SUM(G64:I64)),SUM(G64:I64)),".")</f>
        <v>4.8291294937372217E-11</v>
      </c>
      <c r="N64" s="56">
        <f>IFERROR(N25/$B50,0)</f>
        <v>0</v>
      </c>
      <c r="O64" s="56">
        <f>IFERROR(O25/$B50,0)</f>
        <v>10411059.007819165</v>
      </c>
      <c r="P64" s="56">
        <f>IFERROR(P25/$B50,0)</f>
        <v>29759.22754488196</v>
      </c>
      <c r="Q64" s="56">
        <f t="shared" ref="Q64:Q76" si="127">IF(AND(N64&lt;&gt;0,O64&lt;&gt;0,P64&lt;&gt;0),1/((1/N64)+(1/O64)+(1/P64)),IF(AND(N64&lt;&gt;0,O64&lt;&gt;0,P64=0), 1/((1/N64)+(1/O64)),IF(AND(N64&lt;&gt;0,O64=0,P64&lt;&gt;0),1/((1/N64)+(1/P64)),IF(AND(N64=0,O64&lt;&gt;0,P64&lt;&gt;0),1/((1/O64)+(1/P64)),IF(AND(N64&lt;&gt;0,O64=0,P64=0),1/((1/N64)),IF(AND(N64=0,O64&lt;&gt;0,P64=0),1/((1/O64)),IF(AND(N64=0,O64=0,P64&lt;&gt;0),1/((1/P64)),IF(AND(N64=0,O64=0,P64=0),0))))))))</f>
        <v>29674.405493189839</v>
      </c>
      <c r="R64" s="64">
        <f>IFERROR(RadSpec!$I$25*R25,".")*$B$64</f>
        <v>0</v>
      </c>
      <c r="S64" s="64">
        <f>IFERROR(RadSpec!$G$25*S25,".")*$B$64</f>
        <v>9.6051708020188516E-14</v>
      </c>
      <c r="T64" s="64">
        <f>IFERROR(RadSpec!$F$25*T25,".")*$B$64</f>
        <v>3.3603022742839357E-11</v>
      </c>
      <c r="U64" s="73">
        <f t="shared" ref="U64:U76" si="128">IFERROR(IF(R64&gt;0.01,1-EXP(-R64),R64),".")</f>
        <v>0</v>
      </c>
      <c r="V64" s="73">
        <f t="shared" ref="V64:V76" si="129">IFERROR(IF(S64&gt;0.01,1-EXP(-S64),S64),".")</f>
        <v>9.6051708020188516E-14</v>
      </c>
      <c r="W64" s="73">
        <f t="shared" ref="W64:W76" si="130">IFERROR(IF(T64&gt;0.01,1-EXP(-T64),T64),".")</f>
        <v>3.3603022742839357E-11</v>
      </c>
      <c r="X64" s="73">
        <f t="shared" ref="X64:X76" si="131">IFERROR(IF(SUM(R64:T64)&gt;0.01,1-EXP(-SUM(R64:T64)),SUM(R64:T64)),".")</f>
        <v>3.3699074450859548E-11</v>
      </c>
      <c r="Y64" s="56">
        <f t="shared" ref="Y64:AO64" si="132">IFERROR(Y25/$B50,0)</f>
        <v>29759.22754488196</v>
      </c>
      <c r="Z64" s="56">
        <f t="shared" si="132"/>
        <v>258677.37734364095</v>
      </c>
      <c r="AA64" s="56">
        <f t="shared" si="132"/>
        <v>62465.669317942309</v>
      </c>
      <c r="AB64" s="56">
        <f t="shared" si="132"/>
        <v>32993.590197953672</v>
      </c>
      <c r="AC64" s="56">
        <f t="shared" si="132"/>
        <v>398362.96395730542</v>
      </c>
      <c r="AD64" s="64">
        <f>IFERROR(RadSpec!$F$25*AD25,".")*$B$64</f>
        <v>3.3603022742839357E-11</v>
      </c>
      <c r="AE64" s="64">
        <f>IFERROR(RadSpec!$M$25*AE25,".")*$B$64</f>
        <v>3.8658193084722138E-12</v>
      </c>
      <c r="AF64" s="64">
        <f>IFERROR(RadSpec!$N$25*AF25,".")*$B$64</f>
        <v>1.6008793484788055E-11</v>
      </c>
      <c r="AG64" s="64">
        <f>IFERROR(RadSpec!$O$25*AG25,".")*$B$64</f>
        <v>3.0308917398811056E-11</v>
      </c>
      <c r="AH64" s="64">
        <f>IFERROR(RadSpec!$K$25*AH25,".")*$B$64</f>
        <v>2.5102735205755098E-12</v>
      </c>
      <c r="AI64" s="73">
        <f t="shared" ref="AI64:AM76" si="133">IFERROR(IF(AD64&gt;0.01,1-EXP(-AD64),AD64),".")</f>
        <v>3.3603022742839357E-11</v>
      </c>
      <c r="AJ64" s="73">
        <f t="shared" si="133"/>
        <v>3.8658193084722138E-12</v>
      </c>
      <c r="AK64" s="73">
        <f t="shared" si="133"/>
        <v>1.6008793484788055E-11</v>
      </c>
      <c r="AL64" s="73">
        <f t="shared" si="133"/>
        <v>3.0308917398811056E-11</v>
      </c>
      <c r="AM64" s="73">
        <f t="shared" si="133"/>
        <v>2.5102735205755098E-12</v>
      </c>
      <c r="AN64" s="56">
        <f t="shared" si="132"/>
        <v>87.719298245614041</v>
      </c>
      <c r="AO64" s="56">
        <f t="shared" si="132"/>
        <v>2698693.8484434532</v>
      </c>
      <c r="AP64" s="56">
        <f t="shared" ref="AP64:AP76" si="134">IFERROR(IF(AND(AN64&lt;&gt;0,AO64&lt;&gt;0),1/((1/AN64)+(1/AO64)),IF(AND(AN64&lt;&gt;0,AO64=0),1/((1/AN64)),IF(AND(AN64=0,AO64&lt;&gt;0),1/((1/AO64)),IF(AND(AN64=0,AO64=0),0)))),0)</f>
        <v>87.716447079229681</v>
      </c>
      <c r="AQ64" s="64">
        <f>IFERROR(RadSpec!$G$25*AQ25,".")*$B$64</f>
        <v>1.14E-8</v>
      </c>
      <c r="AR64" s="64">
        <f>IFERROR(RadSpec!$J$25*AR25,".")*$B$64</f>
        <v>3.7054962739726025E-13</v>
      </c>
      <c r="AS64" s="73">
        <f t="shared" ref="AS64:AT76" si="135">IFERROR(IF(AQ64&gt;0.01,1-EXP(-AQ64),AQ64),".")</f>
        <v>1.14E-8</v>
      </c>
      <c r="AT64" s="73">
        <f t="shared" si="135"/>
        <v>3.7054962739726025E-13</v>
      </c>
      <c r="AU64" s="73">
        <f t="shared" ref="AU64:AU76" si="136">IFERROR(IF(SUM(AQ64:AR64)&gt;0.01,1-EXP(-SUM(AQ64:AR64)),SUM(AQ64:AR64)),".")</f>
        <v>1.1400370549627397E-8</v>
      </c>
    </row>
    <row r="65" spans="1:47" x14ac:dyDescent="0.25">
      <c r="A65" s="55" t="s">
        <v>307</v>
      </c>
      <c r="B65" s="60">
        <v>1</v>
      </c>
      <c r="C65" s="56">
        <f>IFERROR(C21/$B51,0)</f>
        <v>0</v>
      </c>
      <c r="D65" s="56">
        <f>IFERROR(D21/$B51,0)</f>
        <v>11167.329608684038</v>
      </c>
      <c r="E65" s="56">
        <f>IFERROR(E21/$B51,0)</f>
        <v>711259850.08274543</v>
      </c>
      <c r="F65" s="56">
        <f t="shared" si="124"/>
        <v>11167.154275727209</v>
      </c>
      <c r="G65" s="64">
        <f>IFERROR(RadSpec!$I$21*G21,".")*$B$65</f>
        <v>0</v>
      </c>
      <c r="H65" s="64">
        <f>IFERROR(RadSpec!$G$21*H21,".")*$B$65</f>
        <v>8.9546922589476625E-11</v>
      </c>
      <c r="I65" s="64">
        <f>IFERROR(RadSpec!$F$21*I21,".")*$B$65</f>
        <v>1.4059559243835616E-15</v>
      </c>
      <c r="J65" s="73">
        <f t="shared" si="125"/>
        <v>0</v>
      </c>
      <c r="K65" s="73">
        <f t="shared" si="125"/>
        <v>8.9546922589476625E-11</v>
      </c>
      <c r="L65" s="73">
        <f t="shared" si="125"/>
        <v>1.4059559243835616E-15</v>
      </c>
      <c r="M65" s="73">
        <f t="shared" si="126"/>
        <v>8.9548328545401015E-11</v>
      </c>
      <c r="N65" s="56">
        <f>IFERROR(N21/$B51,0)</f>
        <v>0</v>
      </c>
      <c r="O65" s="56">
        <f>IFERROR(O21/$B51,0)</f>
        <v>1707713.2761027117</v>
      </c>
      <c r="P65" s="56">
        <f>IFERROR(P21/$B51,0)</f>
        <v>711259850.08274543</v>
      </c>
      <c r="Q65" s="56">
        <f t="shared" si="127"/>
        <v>1703622.9292436785</v>
      </c>
      <c r="R65" s="64">
        <f>IFERROR(RadSpec!$I$21*R21,".")*$B$65</f>
        <v>0</v>
      </c>
      <c r="S65" s="64">
        <f>IFERROR(RadSpec!$G$21*S21,".")*$B$65</f>
        <v>5.8557839538623706E-13</v>
      </c>
      <c r="T65" s="64">
        <f>IFERROR(RadSpec!$F$21*T21,".")*$B$65</f>
        <v>1.4059559243835616E-15</v>
      </c>
      <c r="U65" s="73">
        <f t="shared" si="128"/>
        <v>0</v>
      </c>
      <c r="V65" s="73">
        <f t="shared" si="129"/>
        <v>5.8557839538623706E-13</v>
      </c>
      <c r="W65" s="73">
        <f t="shared" si="130"/>
        <v>1.4059559243835616E-15</v>
      </c>
      <c r="X65" s="73">
        <f t="shared" si="131"/>
        <v>5.869843513106206E-13</v>
      </c>
      <c r="Y65" s="56">
        <f t="shared" ref="Y65:AO65" si="137">IFERROR(Y21/$B51,0)</f>
        <v>711259850.08274543</v>
      </c>
      <c r="Z65" s="56">
        <f t="shared" si="137"/>
        <v>1712681920.3997734</v>
      </c>
      <c r="AA65" s="56">
        <f t="shared" si="137"/>
        <v>814059125.29001737</v>
      </c>
      <c r="AB65" s="56">
        <f t="shared" si="137"/>
        <v>713695671.48713851</v>
      </c>
      <c r="AC65" s="56">
        <f t="shared" si="137"/>
        <v>918057868.16847777</v>
      </c>
      <c r="AD65" s="64">
        <f>IFERROR(RadSpec!$F$21*AD21,".")*$B$65</f>
        <v>1.4059559243835616E-15</v>
      </c>
      <c r="AE65" s="64">
        <f>IFERROR(RadSpec!$M$21*AE21,".")*$B$65</f>
        <v>6.4875508865753427E-16</v>
      </c>
      <c r="AF65" s="64">
        <f>IFERROR(RadSpec!$N$21*AF21,".")*$B$65</f>
        <v>1.2284120021917808E-15</v>
      </c>
      <c r="AG65" s="64">
        <f>IFERROR(RadSpec!$O$21*AG21,".")*$B$65</f>
        <v>1.4011574399999999E-15</v>
      </c>
      <c r="AH65" s="64">
        <f>IFERROR(RadSpec!$K$21*AH21,".")*$B$65</f>
        <v>9.8033035956164383E-16</v>
      </c>
      <c r="AI65" s="73">
        <f t="shared" si="133"/>
        <v>1.4059559243835616E-15</v>
      </c>
      <c r="AJ65" s="73">
        <f t="shared" si="133"/>
        <v>6.4875508865753427E-16</v>
      </c>
      <c r="AK65" s="73">
        <f t="shared" si="133"/>
        <v>1.2284120021917808E-15</v>
      </c>
      <c r="AL65" s="73">
        <f t="shared" si="133"/>
        <v>1.4011574399999999E-15</v>
      </c>
      <c r="AM65" s="73">
        <f t="shared" si="133"/>
        <v>9.8033035956164383E-16</v>
      </c>
      <c r="AN65" s="56">
        <f t="shared" si="137"/>
        <v>14.388489208633091</v>
      </c>
      <c r="AO65" s="56">
        <f t="shared" si="137"/>
        <v>110981788441.90532</v>
      </c>
      <c r="AP65" s="56">
        <f t="shared" si="134"/>
        <v>14.388489206767664</v>
      </c>
      <c r="AQ65" s="64">
        <f>IFERROR(RadSpec!$G$21*AQ21,".")*$B$65</f>
        <v>6.9500000000000007E-8</v>
      </c>
      <c r="AR65" s="64">
        <f>IFERROR(RadSpec!$J$21*AR21,".")*$B$65</f>
        <v>9.0104873424657536E-18</v>
      </c>
      <c r="AS65" s="73">
        <f t="shared" si="135"/>
        <v>6.9500000000000007E-8</v>
      </c>
      <c r="AT65" s="73">
        <f t="shared" si="135"/>
        <v>9.0104873424657536E-18</v>
      </c>
      <c r="AU65" s="73">
        <f t="shared" si="136"/>
        <v>6.9500000009010492E-8</v>
      </c>
    </row>
    <row r="66" spans="1:47" x14ac:dyDescent="0.25">
      <c r="A66" s="55" t="s">
        <v>308</v>
      </c>
      <c r="B66" s="61">
        <v>0.99980000000000002</v>
      </c>
      <c r="C66" s="56">
        <f>IFERROR(C17/$B52,0)</f>
        <v>54977.493418201688</v>
      </c>
      <c r="D66" s="56">
        <f>IFERROR(D17/$B52,0)</f>
        <v>1998.158725190445</v>
      </c>
      <c r="E66" s="56">
        <f>IFERROR(E17/$B52,0)</f>
        <v>54.255805326677596</v>
      </c>
      <c r="F66" s="56">
        <f t="shared" si="124"/>
        <v>52.770845673270706</v>
      </c>
      <c r="G66" s="64">
        <f>IFERROR(RadSpec!$I$17*G17,".")*$B$66</f>
        <v>1.818926142E-11</v>
      </c>
      <c r="H66" s="64">
        <f>IFERROR(RadSpec!$G$17*H17,".")*$B$66</f>
        <v>5.0046074287951759E-10</v>
      </c>
      <c r="I66" s="64">
        <f>IFERROR(RadSpec!$F$17*I17,".")*$B$66</f>
        <v>1.843120738838798E-8</v>
      </c>
      <c r="J66" s="73">
        <f t="shared" si="125"/>
        <v>1.818926142E-11</v>
      </c>
      <c r="K66" s="73">
        <f t="shared" si="125"/>
        <v>5.0046074287951759E-10</v>
      </c>
      <c r="L66" s="73">
        <f t="shared" si="125"/>
        <v>1.843120738838798E-8</v>
      </c>
      <c r="M66" s="73">
        <f t="shared" si="126"/>
        <v>1.8949857392687497E-8</v>
      </c>
      <c r="N66" s="56">
        <f>IFERROR(N17/$B52,0)</f>
        <v>54977.493418201688</v>
      </c>
      <c r="O66" s="56">
        <f>IFERROR(O17/$B52,0)</f>
        <v>305559.36847379373</v>
      </c>
      <c r="P66" s="56">
        <f>IFERROR(P17/$B52,0)</f>
        <v>54.255805326677596</v>
      </c>
      <c r="Q66" s="56">
        <f t="shared" si="127"/>
        <v>54.192701434038419</v>
      </c>
      <c r="R66" s="64">
        <f>IFERROR(RadSpec!$I$17*R17,".")*$B$66</f>
        <v>1.818926142E-11</v>
      </c>
      <c r="S66" s="64">
        <f>IFERROR(RadSpec!$G$17*S17,".")*$B$66</f>
        <v>3.2726864340464973E-12</v>
      </c>
      <c r="T66" s="64">
        <f>IFERROR(RadSpec!$F$17*T17,".")*$B$66</f>
        <v>1.843120738838798E-8</v>
      </c>
      <c r="U66" s="73">
        <f t="shared" si="128"/>
        <v>1.818926142E-11</v>
      </c>
      <c r="V66" s="73">
        <f t="shared" si="129"/>
        <v>3.2726864340464973E-12</v>
      </c>
      <c r="W66" s="73">
        <f t="shared" si="130"/>
        <v>1.843120738838798E-8</v>
      </c>
      <c r="X66" s="73">
        <f t="shared" si="131"/>
        <v>1.8452669336242027E-8</v>
      </c>
      <c r="Y66" s="56">
        <f t="shared" ref="Y66:AO66" si="138">IFERROR(Y17/$B52,0)</f>
        <v>54.255805326677596</v>
      </c>
      <c r="Z66" s="56">
        <f t="shared" si="138"/>
        <v>382.26267619099622</v>
      </c>
      <c r="AA66" s="56">
        <f t="shared" si="138"/>
        <v>95.770647683319865</v>
      </c>
      <c r="AB66" s="56">
        <f t="shared" si="138"/>
        <v>56.023996643168807</v>
      </c>
      <c r="AC66" s="56">
        <f t="shared" si="138"/>
        <v>478.98185531237988</v>
      </c>
      <c r="AD66" s="64">
        <f>IFERROR(RadSpec!$F$17*AD17,".")*$B$66</f>
        <v>1.843120738838798E-8</v>
      </c>
      <c r="AE66" s="64">
        <f>IFERROR(RadSpec!$M$17*AE17,".")*$B$66</f>
        <v>2.6160021950465116E-9</v>
      </c>
      <c r="AF66" s="64">
        <f>IFERROR(RadSpec!$N$17*AF17,".")*$B$66</f>
        <v>1.044161258370781E-8</v>
      </c>
      <c r="AG66" s="64">
        <f>IFERROR(RadSpec!$O$17*AG17,".")*$B$66</f>
        <v>1.7849494143897949E-8</v>
      </c>
      <c r="AH66" s="64">
        <f>IFERROR(RadSpec!$K$17*AH17,".")*$B$66</f>
        <v>2.0877617573797762E-9</v>
      </c>
      <c r="AI66" s="73">
        <f t="shared" si="133"/>
        <v>1.843120738838798E-8</v>
      </c>
      <c r="AJ66" s="73">
        <f t="shared" si="133"/>
        <v>2.6160021950465116E-9</v>
      </c>
      <c r="AK66" s="73">
        <f t="shared" si="133"/>
        <v>1.044161258370781E-8</v>
      </c>
      <c r="AL66" s="73">
        <f t="shared" si="133"/>
        <v>1.7849494143897949E-8</v>
      </c>
      <c r="AM66" s="73">
        <f t="shared" si="133"/>
        <v>2.0877617573797762E-9</v>
      </c>
      <c r="AN66" s="56">
        <f t="shared" si="138"/>
        <v>2.5745174774980732</v>
      </c>
      <c r="AO66" s="56">
        <f t="shared" si="138"/>
        <v>4297.748953383345</v>
      </c>
      <c r="AP66" s="56">
        <f t="shared" si="134"/>
        <v>2.572976165481232</v>
      </c>
      <c r="AQ66" s="64">
        <f>IFERROR(RadSpec!$G$17*AQ17,".")*$B$66</f>
        <v>3.8842230000000001E-7</v>
      </c>
      <c r="AR66" s="64">
        <f>IFERROR(RadSpec!$J$17*AR17,".")*$B$66</f>
        <v>2.3267994730421919E-10</v>
      </c>
      <c r="AS66" s="73">
        <f t="shared" si="135"/>
        <v>3.8842230000000001E-7</v>
      </c>
      <c r="AT66" s="73">
        <f t="shared" si="135"/>
        <v>2.3267994730421919E-10</v>
      </c>
      <c r="AU66" s="73">
        <f t="shared" si="136"/>
        <v>3.8865497994730422E-7</v>
      </c>
    </row>
    <row r="67" spans="1:47" x14ac:dyDescent="0.25">
      <c r="A67" s="55" t="s">
        <v>309</v>
      </c>
      <c r="B67" s="60">
        <v>2.0000000000000001E-4</v>
      </c>
      <c r="C67" s="56">
        <f>IFERROR(C5/$B53,0)</f>
        <v>0</v>
      </c>
      <c r="D67" s="56">
        <f>IFERROR(D5/$B53,0)</f>
        <v>0</v>
      </c>
      <c r="E67" s="56">
        <f>IFERROR(E5/$B53,0)</f>
        <v>886804834.35848677</v>
      </c>
      <c r="F67" s="56">
        <f t="shared" si="124"/>
        <v>886804834.35848677</v>
      </c>
      <c r="G67" s="64">
        <f>IFERROR(RadSpec!$I$5*G5,".")*$B$67</f>
        <v>0</v>
      </c>
      <c r="H67" s="64">
        <f>IFERROR(RadSpec!$G$5*H5,".")*$B$67</f>
        <v>0</v>
      </c>
      <c r="I67" s="64">
        <f>IFERROR(RadSpec!$F$5*I5,".")*$B$67</f>
        <v>1.1276438301369863E-15</v>
      </c>
      <c r="J67" s="73">
        <f t="shared" si="125"/>
        <v>0</v>
      </c>
      <c r="K67" s="73">
        <f t="shared" si="125"/>
        <v>0</v>
      </c>
      <c r="L67" s="73">
        <f t="shared" si="125"/>
        <v>1.1276438301369863E-15</v>
      </c>
      <c r="M67" s="73">
        <f t="shared" si="126"/>
        <v>1.1276438301369863E-15</v>
      </c>
      <c r="N67" s="56">
        <f>IFERROR(N5/$B53,0)</f>
        <v>0</v>
      </c>
      <c r="O67" s="56">
        <f>IFERROR(O5/$B53,0)</f>
        <v>0</v>
      </c>
      <c r="P67" s="56">
        <f>IFERROR(P5/$B53,0)</f>
        <v>886804834.35848677</v>
      </c>
      <c r="Q67" s="56">
        <f t="shared" si="127"/>
        <v>886804834.35848677</v>
      </c>
      <c r="R67" s="64">
        <f>IFERROR(RadSpec!$I$5*R5,".")*$B$67</f>
        <v>0</v>
      </c>
      <c r="S67" s="64">
        <f>IFERROR(RadSpec!$G$5*S5,".")*$B$67</f>
        <v>0</v>
      </c>
      <c r="T67" s="64">
        <f>IFERROR(RadSpec!$F$5*T5,".")*$B$67</f>
        <v>1.1276438301369863E-15</v>
      </c>
      <c r="U67" s="73">
        <f t="shared" si="128"/>
        <v>0</v>
      </c>
      <c r="V67" s="73">
        <f t="shared" si="129"/>
        <v>0</v>
      </c>
      <c r="W67" s="73">
        <f t="shared" si="130"/>
        <v>1.1276438301369863E-15</v>
      </c>
      <c r="X67" s="73">
        <f t="shared" si="131"/>
        <v>1.1276438301369863E-15</v>
      </c>
      <c r="Y67" s="56">
        <f t="shared" ref="Y67:AO67" si="139">IFERROR(Y5/$B53,0)</f>
        <v>886804834.35848677</v>
      </c>
      <c r="Z67" s="56">
        <f t="shared" si="139"/>
        <v>3223198714.3381038</v>
      </c>
      <c r="AA67" s="56">
        <f t="shared" si="139"/>
        <v>1319817201.2301738</v>
      </c>
      <c r="AB67" s="56">
        <f t="shared" si="139"/>
        <v>951594228.64951766</v>
      </c>
      <c r="AC67" s="56">
        <f t="shared" si="139"/>
        <v>1218708398.0949967</v>
      </c>
      <c r="AD67" s="64">
        <f>IFERROR(RadSpec!$F$5*AD5,".")*$B$67</f>
        <v>1.1276438301369863E-15</v>
      </c>
      <c r="AE67" s="64">
        <f>IFERROR(RadSpec!$M$5*AE5,".")*$B$67</f>
        <v>3.4472311811506848E-16</v>
      </c>
      <c r="AF67" s="64">
        <f>IFERROR(RadSpec!$N$5*AF5,".")*$B$67</f>
        <v>7.576806841643836E-16</v>
      </c>
      <c r="AG67" s="64">
        <f>IFERROR(RadSpec!$O$5*AG5,".")*$B$67</f>
        <v>1.05086808E-15</v>
      </c>
      <c r="AH67" s="64">
        <f>IFERROR(RadSpec!$K$5*AH5,".")*$B$67</f>
        <v>7.3848674663013697E-16</v>
      </c>
      <c r="AI67" s="73">
        <f t="shared" si="133"/>
        <v>1.1276438301369863E-15</v>
      </c>
      <c r="AJ67" s="73">
        <f t="shared" si="133"/>
        <v>3.4472311811506848E-16</v>
      </c>
      <c r="AK67" s="73">
        <f t="shared" si="133"/>
        <v>7.576806841643836E-16</v>
      </c>
      <c r="AL67" s="73">
        <f t="shared" si="133"/>
        <v>1.05086808E-15</v>
      </c>
      <c r="AM67" s="73">
        <f t="shared" si="133"/>
        <v>7.3848674663013697E-16</v>
      </c>
      <c r="AN67" s="56">
        <f t="shared" si="139"/>
        <v>0</v>
      </c>
      <c r="AO67" s="56">
        <f t="shared" si="139"/>
        <v>710451600253.10608</v>
      </c>
      <c r="AP67" s="56">
        <f t="shared" si="134"/>
        <v>710451600253.10608</v>
      </c>
      <c r="AQ67" s="64">
        <f>IFERROR(RadSpec!$G$5*AQ5,".")*$B$67</f>
        <v>0</v>
      </c>
      <c r="AR67" s="64">
        <f>IFERROR(RadSpec!$J$5*AR5,".")*$B$67</f>
        <v>1.4075554191780823E-18</v>
      </c>
      <c r="AS67" s="73">
        <f t="shared" si="135"/>
        <v>0</v>
      </c>
      <c r="AT67" s="73">
        <f t="shared" si="135"/>
        <v>1.4075554191780823E-18</v>
      </c>
      <c r="AU67" s="73">
        <f t="shared" si="136"/>
        <v>1.4075554191780823E-18</v>
      </c>
    </row>
    <row r="68" spans="1:47" x14ac:dyDescent="0.25">
      <c r="A68" s="55" t="s">
        <v>310</v>
      </c>
      <c r="B68" s="60">
        <v>0.99999979999999999</v>
      </c>
      <c r="C68" s="56">
        <f>IFERROR(C9/$B54,0)</f>
        <v>82311.656562916149</v>
      </c>
      <c r="D68" s="56">
        <f>IFERROR(D9/$B54,0)</f>
        <v>2511.7461586713703</v>
      </c>
      <c r="E68" s="56">
        <f>IFERROR(E9/$B54,0)</f>
        <v>6.3674269989090542</v>
      </c>
      <c r="F68" s="56">
        <f t="shared" si="124"/>
        <v>6.3508359642144478</v>
      </c>
      <c r="G68" s="64">
        <f>IFERROR(RadSpec!$I$9*G9,".")*$B$68</f>
        <v>1.2148947570209999E-11</v>
      </c>
      <c r="H68" s="64">
        <f>IFERROR(RadSpec!$G$9*H9,".")*$B$68</f>
        <v>3.9812940354170445E-10</v>
      </c>
      <c r="I68" s="64">
        <f>IFERROR(RadSpec!$F$9*I9,".")*$B$68</f>
        <v>1.5704930738449488E-7</v>
      </c>
      <c r="J68" s="73">
        <f t="shared" si="125"/>
        <v>1.2148947570209999E-11</v>
      </c>
      <c r="K68" s="73">
        <f t="shared" si="125"/>
        <v>3.9812940354170445E-10</v>
      </c>
      <c r="L68" s="73">
        <f t="shared" si="125"/>
        <v>1.5704930738449488E-7</v>
      </c>
      <c r="M68" s="73">
        <f t="shared" si="126"/>
        <v>1.5745958573560678E-7</v>
      </c>
      <c r="N68" s="56">
        <f>IFERROR(N9/$B54,0)</f>
        <v>82311.656562916149</v>
      </c>
      <c r="O68" s="56">
        <f>IFERROR(O9/$B54,0)</f>
        <v>384097.39943805104</v>
      </c>
      <c r="P68" s="56">
        <f>IFERROR(P9/$B54,0)</f>
        <v>6.3674269989090542</v>
      </c>
      <c r="Q68" s="56">
        <f t="shared" si="127"/>
        <v>6.3668289297315326</v>
      </c>
      <c r="R68" s="64">
        <f>IFERROR(RadSpec!$I$9*R9,".")*$B$68</f>
        <v>1.2148947570209999E-11</v>
      </c>
      <c r="S68" s="64">
        <f>IFERROR(RadSpec!$G$9*S9,".")*$B$68</f>
        <v>2.6035063019511139E-12</v>
      </c>
      <c r="T68" s="64">
        <f>IFERROR(RadSpec!$F$9*T9,".")*$B$68</f>
        <v>1.5704930738449488E-7</v>
      </c>
      <c r="U68" s="73">
        <f t="shared" si="128"/>
        <v>1.2148947570209999E-11</v>
      </c>
      <c r="V68" s="73">
        <f t="shared" si="129"/>
        <v>2.6035063019511139E-12</v>
      </c>
      <c r="W68" s="73">
        <f t="shared" si="130"/>
        <v>1.5704930738449488E-7</v>
      </c>
      <c r="X68" s="73">
        <f t="shared" si="131"/>
        <v>1.5706405983836704E-7</v>
      </c>
      <c r="Y68" s="56">
        <f t="shared" ref="Y68:AO68" si="140">IFERROR(Y9/$B54,0)</f>
        <v>6.3674269989090542</v>
      </c>
      <c r="Z68" s="56">
        <f t="shared" si="140"/>
        <v>76.80970919212298</v>
      </c>
      <c r="AA68" s="56">
        <f t="shared" si="140"/>
        <v>17.716623545444758</v>
      </c>
      <c r="AB68" s="56">
        <f t="shared" si="140"/>
        <v>8.4658172049737903</v>
      </c>
      <c r="AC68" s="56">
        <f t="shared" si="140"/>
        <v>117.7405498047933</v>
      </c>
      <c r="AD68" s="64">
        <f>IFERROR(RadSpec!$F$9*AD9,".")*$B$68</f>
        <v>1.5704930738449488E-7</v>
      </c>
      <c r="AE68" s="64">
        <f>IFERROR(RadSpec!$M$9*AE9,".")*$B$68</f>
        <v>1.3019187424583458E-8</v>
      </c>
      <c r="AF68" s="64">
        <f>IFERROR(RadSpec!$N$9*AF9,".")*$B$68</f>
        <v>5.6444163721992999E-8</v>
      </c>
      <c r="AG68" s="64">
        <f>IFERROR(RadSpec!$O$9*AG9,".")*$B$68</f>
        <v>1.1812208742382077E-7</v>
      </c>
      <c r="AH68" s="64">
        <f>IFERROR(RadSpec!$K$9*AH9,".")*$B$68</f>
        <v>8.4932506401400319E-9</v>
      </c>
      <c r="AI68" s="73">
        <f t="shared" si="133"/>
        <v>1.5704930738449488E-7</v>
      </c>
      <c r="AJ68" s="73">
        <f t="shared" si="133"/>
        <v>1.3019187424583458E-8</v>
      </c>
      <c r="AK68" s="73">
        <f t="shared" si="133"/>
        <v>5.6444163721992999E-8</v>
      </c>
      <c r="AL68" s="73">
        <f t="shared" si="133"/>
        <v>1.1812208742382077E-7</v>
      </c>
      <c r="AM68" s="73">
        <f t="shared" si="133"/>
        <v>8.4932506401400319E-9</v>
      </c>
      <c r="AN68" s="56">
        <f t="shared" si="140"/>
        <v>3.2362466019418772</v>
      </c>
      <c r="AO68" s="56">
        <f t="shared" si="140"/>
        <v>654.65710289239792</v>
      </c>
      <c r="AP68" s="56">
        <f t="shared" si="134"/>
        <v>3.2203271644272249</v>
      </c>
      <c r="AQ68" s="64">
        <f>IFERROR(RadSpec!$G$9*AQ9,".")*$B$68</f>
        <v>3.0899993819999995E-7</v>
      </c>
      <c r="AR68" s="64">
        <f>IFERROR(RadSpec!$J$9*AR9,".")*$B$68</f>
        <v>1.5275172232636175E-9</v>
      </c>
      <c r="AS68" s="73">
        <f t="shared" si="135"/>
        <v>3.0899993819999995E-7</v>
      </c>
      <c r="AT68" s="73">
        <f t="shared" si="135"/>
        <v>1.5275172232636175E-9</v>
      </c>
      <c r="AU68" s="73">
        <f t="shared" si="136"/>
        <v>3.1052745542326358E-7</v>
      </c>
    </row>
    <row r="69" spans="1:47" x14ac:dyDescent="0.25">
      <c r="A69" s="55" t="s">
        <v>311</v>
      </c>
      <c r="B69" s="60">
        <v>1.9999999999999999E-7</v>
      </c>
      <c r="C69" s="56">
        <f>IFERROR(C24/$B55,0)</f>
        <v>0</v>
      </c>
      <c r="D69" s="56">
        <f>IFERROR(D24/$B55,0)</f>
        <v>0</v>
      </c>
      <c r="E69" s="56">
        <f>IFERROR(E24/$B55,0)</f>
        <v>75174878686.880417</v>
      </c>
      <c r="F69" s="56">
        <f t="shared" si="124"/>
        <v>75174878686.880417</v>
      </c>
      <c r="G69" s="64">
        <f>IFERROR(RadSpec!$I$24*G24,".")*$B$69</f>
        <v>0</v>
      </c>
      <c r="H69" s="64">
        <f>IFERROR(RadSpec!$G$24*H24,".")*$B$69</f>
        <v>0</v>
      </c>
      <c r="I69" s="64">
        <f>IFERROR(RadSpec!$F$24*I24,".")*$B$69</f>
        <v>1.3302316112344068E-17</v>
      </c>
      <c r="J69" s="73">
        <f t="shared" si="125"/>
        <v>0</v>
      </c>
      <c r="K69" s="73">
        <f t="shared" si="125"/>
        <v>0</v>
      </c>
      <c r="L69" s="73">
        <f t="shared" si="125"/>
        <v>1.3302316112344068E-17</v>
      </c>
      <c r="M69" s="73">
        <f t="shared" si="126"/>
        <v>1.3302316112344068E-17</v>
      </c>
      <c r="N69" s="56">
        <f>IFERROR(N24/$B55,0)</f>
        <v>0</v>
      </c>
      <c r="O69" s="56">
        <f>IFERROR(O24/$B55,0)</f>
        <v>0</v>
      </c>
      <c r="P69" s="56">
        <f>IFERROR(P24/$B55,0)</f>
        <v>75174878686.880417</v>
      </c>
      <c r="Q69" s="56">
        <f t="shared" si="127"/>
        <v>75174878686.880417</v>
      </c>
      <c r="R69" s="64">
        <f>IFERROR(RadSpec!$I$24*R24,".")*$B$69</f>
        <v>0</v>
      </c>
      <c r="S69" s="64">
        <f>IFERROR(RadSpec!$G$24*S24,".")*$B$69</f>
        <v>0</v>
      </c>
      <c r="T69" s="64">
        <f>IFERROR(RadSpec!$F$24*T24,".")*$B$69</f>
        <v>1.3302316112344068E-17</v>
      </c>
      <c r="U69" s="73">
        <f t="shared" si="128"/>
        <v>0</v>
      </c>
      <c r="V69" s="73">
        <f t="shared" si="129"/>
        <v>0</v>
      </c>
      <c r="W69" s="73">
        <f t="shared" si="130"/>
        <v>1.3302316112344068E-17</v>
      </c>
      <c r="X69" s="73">
        <f t="shared" si="131"/>
        <v>1.3302316112344068E-17</v>
      </c>
      <c r="Y69" s="56">
        <f t="shared" ref="Y69:AO69" si="141">IFERROR(Y24/$B55,0)</f>
        <v>75174878686.880417</v>
      </c>
      <c r="Z69" s="56">
        <f t="shared" si="141"/>
        <v>674242113924.53638</v>
      </c>
      <c r="AA69" s="56">
        <f t="shared" si="141"/>
        <v>164362413868.07968</v>
      </c>
      <c r="AB69" s="56">
        <f t="shared" si="141"/>
        <v>82443614271.129669</v>
      </c>
      <c r="AC69" s="56">
        <f t="shared" si="141"/>
        <v>1023438952067.791</v>
      </c>
      <c r="AD69" s="64">
        <f>IFERROR(RadSpec!$F$24*AD24,".")*$B$69</f>
        <v>1.3302316112344068E-17</v>
      </c>
      <c r="AE69" s="64">
        <f>IFERROR(RadSpec!$M$24*AE24,".")*$B$69</f>
        <v>1.483146750029209E-18</v>
      </c>
      <c r="AF69" s="64">
        <f>IFERROR(RadSpec!$N$24*AF24,".")*$B$69</f>
        <v>6.0841160485913679E-18</v>
      </c>
      <c r="AG69" s="64">
        <f>IFERROR(RadSpec!$O$24*AG24,".")*$B$69</f>
        <v>1.2129502191780823E-17</v>
      </c>
      <c r="AH69" s="64">
        <f>IFERROR(RadSpec!$K$24*AH24,".")*$B$69</f>
        <v>9.770978503207892E-19</v>
      </c>
      <c r="AI69" s="73">
        <f t="shared" si="133"/>
        <v>1.3302316112344068E-17</v>
      </c>
      <c r="AJ69" s="73">
        <f t="shared" si="133"/>
        <v>1.483146750029209E-18</v>
      </c>
      <c r="AK69" s="73">
        <f t="shared" si="133"/>
        <v>6.0841160485913679E-18</v>
      </c>
      <c r="AL69" s="73">
        <f t="shared" si="133"/>
        <v>1.2129502191780823E-17</v>
      </c>
      <c r="AM69" s="73">
        <f t="shared" si="133"/>
        <v>9.770978503207892E-19</v>
      </c>
      <c r="AN69" s="56">
        <f t="shared" si="141"/>
        <v>0</v>
      </c>
      <c r="AO69" s="56">
        <f t="shared" si="141"/>
        <v>6870301189260.8057</v>
      </c>
      <c r="AP69" s="56">
        <f t="shared" si="134"/>
        <v>6870301189260.8057</v>
      </c>
      <c r="AQ69" s="64">
        <f>IFERROR(RadSpec!$G$24*AQ24,".")*$B$69</f>
        <v>0</v>
      </c>
      <c r="AR69" s="64">
        <f>IFERROR(RadSpec!$J$24*AR24,".")*$B$69</f>
        <v>1.4555402630136986E-19</v>
      </c>
      <c r="AS69" s="73">
        <f t="shared" si="135"/>
        <v>0</v>
      </c>
      <c r="AT69" s="73">
        <f t="shared" si="135"/>
        <v>1.4555402630136986E-19</v>
      </c>
      <c r="AU69" s="73">
        <f t="shared" si="136"/>
        <v>1.4555402630136986E-19</v>
      </c>
    </row>
    <row r="70" spans="1:47" x14ac:dyDescent="0.25">
      <c r="A70" s="55" t="s">
        <v>312</v>
      </c>
      <c r="B70" s="60">
        <v>0.99979000004200003</v>
      </c>
      <c r="C70" s="56">
        <f>IFERROR(C20/$B56,0)</f>
        <v>0</v>
      </c>
      <c r="D70" s="56">
        <f>IFERROR(D20/$B56,0)</f>
        <v>0</v>
      </c>
      <c r="E70" s="56">
        <f>IFERROR(E20/$B56,0)</f>
        <v>121192.58050196047</v>
      </c>
      <c r="F70" s="56">
        <f t="shared" si="124"/>
        <v>121192.58050196049</v>
      </c>
      <c r="G70" s="64">
        <f>IFERROR(RadSpec!$I$20*G20,".")*$B$70</f>
        <v>0</v>
      </c>
      <c r="H70" s="64">
        <f>IFERROR(RadSpec!$G$20*H20,".")*$B$70</f>
        <v>0</v>
      </c>
      <c r="I70" s="64">
        <f>IFERROR(RadSpec!$F$20*I20,".")*$B$70</f>
        <v>8.2513302040286485E-12</v>
      </c>
      <c r="J70" s="73">
        <f t="shared" si="125"/>
        <v>0</v>
      </c>
      <c r="K70" s="73">
        <f t="shared" si="125"/>
        <v>0</v>
      </c>
      <c r="L70" s="73">
        <f t="shared" si="125"/>
        <v>8.2513302040286485E-12</v>
      </c>
      <c r="M70" s="73">
        <f t="shared" si="126"/>
        <v>8.2513302040286485E-12</v>
      </c>
      <c r="N70" s="56">
        <f>IFERROR(N20/$B56,0)</f>
        <v>0</v>
      </c>
      <c r="O70" s="56">
        <f>IFERROR(O20/$B56,0)</f>
        <v>0</v>
      </c>
      <c r="P70" s="56">
        <f>IFERROR(P20/$B56,0)</f>
        <v>121192.58050196047</v>
      </c>
      <c r="Q70" s="56">
        <f t="shared" si="127"/>
        <v>121192.58050196049</v>
      </c>
      <c r="R70" s="64">
        <f>IFERROR(RadSpec!$I$20*R20,".")*$B$70</f>
        <v>0</v>
      </c>
      <c r="S70" s="64">
        <f>IFERROR(RadSpec!$G$20*S20,".")*$B$70</f>
        <v>0</v>
      </c>
      <c r="T70" s="64">
        <f>IFERROR(RadSpec!$F$20*T20,".")*$B$70</f>
        <v>8.2513302040286485E-12</v>
      </c>
      <c r="U70" s="73">
        <f t="shared" si="128"/>
        <v>0</v>
      </c>
      <c r="V70" s="73">
        <f t="shared" si="129"/>
        <v>0</v>
      </c>
      <c r="W70" s="73">
        <f t="shared" si="130"/>
        <v>8.2513302040286485E-12</v>
      </c>
      <c r="X70" s="73">
        <f t="shared" si="131"/>
        <v>8.2513302040286485E-12</v>
      </c>
      <c r="Y70" s="56">
        <f t="shared" ref="Y70:AO70" si="142">IFERROR(Y20/$B56,0)</f>
        <v>121192.58050196047</v>
      </c>
      <c r="Z70" s="56">
        <f t="shared" si="142"/>
        <v>1271956.8056890443</v>
      </c>
      <c r="AA70" s="56">
        <f t="shared" si="142"/>
        <v>300865.70838385436</v>
      </c>
      <c r="AB70" s="56">
        <f t="shared" si="142"/>
        <v>148372.60952546223</v>
      </c>
      <c r="AC70" s="56">
        <f t="shared" si="142"/>
        <v>1972953.9375905271</v>
      </c>
      <c r="AD70" s="64">
        <f>IFERROR(RadSpec!$F$20*AD20,".")*$B$70</f>
        <v>8.2513302040286485E-12</v>
      </c>
      <c r="AE70" s="64">
        <f>IFERROR(RadSpec!$M$20*AE20,".")*$B$70</f>
        <v>7.8619021929622843E-13</v>
      </c>
      <c r="AF70" s="64">
        <f>IFERROR(RadSpec!$N$20*AF20,".")*$B$70</f>
        <v>3.3237420288661389E-12</v>
      </c>
      <c r="AG70" s="64">
        <f>IFERROR(RadSpec!$O$20*AG20,".")*$B$70</f>
        <v>6.7397884501612815E-12</v>
      </c>
      <c r="AH70" s="64">
        <f>IFERROR(RadSpec!$K$20*AH20,".")*$B$70</f>
        <v>5.0685420523362617E-13</v>
      </c>
      <c r="AI70" s="73">
        <f t="shared" si="133"/>
        <v>8.2513302040286485E-12</v>
      </c>
      <c r="AJ70" s="73">
        <f t="shared" si="133"/>
        <v>7.8619021929622843E-13</v>
      </c>
      <c r="AK70" s="73">
        <f t="shared" si="133"/>
        <v>3.3237420288661389E-12</v>
      </c>
      <c r="AL70" s="73">
        <f t="shared" si="133"/>
        <v>6.7397884501612815E-12</v>
      </c>
      <c r="AM70" s="73">
        <f t="shared" si="133"/>
        <v>5.0685420523362617E-13</v>
      </c>
      <c r="AN70" s="56">
        <f t="shared" si="142"/>
        <v>0</v>
      </c>
      <c r="AO70" s="56">
        <f t="shared" si="142"/>
        <v>12261347.592729168</v>
      </c>
      <c r="AP70" s="56">
        <f t="shared" si="134"/>
        <v>12261347.592729168</v>
      </c>
      <c r="AQ70" s="64">
        <f>IFERROR(RadSpec!$G$20*AQ20,".")*$B$70</f>
        <v>0</v>
      </c>
      <c r="AR70" s="64">
        <f>IFERROR(RadSpec!$J$20*AR20,".")*$B$70</f>
        <v>8.1557103934724751E-14</v>
      </c>
      <c r="AS70" s="73">
        <f t="shared" si="135"/>
        <v>0</v>
      </c>
      <c r="AT70" s="73">
        <f t="shared" si="135"/>
        <v>8.1557103934724751E-14</v>
      </c>
      <c r="AU70" s="73">
        <f t="shared" si="136"/>
        <v>8.1557103934724751E-14</v>
      </c>
    </row>
    <row r="71" spans="1:47" x14ac:dyDescent="0.25">
      <c r="A71" s="55" t="s">
        <v>313</v>
      </c>
      <c r="B71" s="60">
        <v>2.0999995799999999E-4</v>
      </c>
      <c r="C71" s="56">
        <f>IFERROR(C29/$B57,0)</f>
        <v>0</v>
      </c>
      <c r="D71" s="56">
        <f>IFERROR(D29/$B57,0)</f>
        <v>0</v>
      </c>
      <c r="E71" s="56">
        <f>IFERROR(E29/$B57,0)</f>
        <v>16827.262800018885</v>
      </c>
      <c r="F71" s="56">
        <f t="shared" si="124"/>
        <v>16827.262800018885</v>
      </c>
      <c r="G71" s="64">
        <f>IFERROR(RadSpec!$I$29*G29,".")*$B$71</f>
        <v>0</v>
      </c>
      <c r="H71" s="64">
        <f>IFERROR(RadSpec!$G$29*H29,".")*$B$71</f>
        <v>0</v>
      </c>
      <c r="I71" s="64">
        <f>IFERROR(RadSpec!$F$29*I29,".")*$B$71</f>
        <v>5.9427371634017483E-11</v>
      </c>
      <c r="J71" s="73">
        <f t="shared" si="125"/>
        <v>0</v>
      </c>
      <c r="K71" s="73">
        <f t="shared" si="125"/>
        <v>0</v>
      </c>
      <c r="L71" s="73">
        <f t="shared" si="125"/>
        <v>5.9427371634017483E-11</v>
      </c>
      <c r="M71" s="73">
        <f t="shared" si="126"/>
        <v>5.9427371634017483E-11</v>
      </c>
      <c r="N71" s="56">
        <f>IFERROR(N29/$B57,0)</f>
        <v>0</v>
      </c>
      <c r="O71" s="56">
        <f>IFERROR(O29/$B57,0)</f>
        <v>0</v>
      </c>
      <c r="P71" s="56">
        <f>IFERROR(P29/$B57,0)</f>
        <v>16827.262800018885</v>
      </c>
      <c r="Q71" s="56">
        <f t="shared" si="127"/>
        <v>16827.262800018885</v>
      </c>
      <c r="R71" s="64">
        <f>IFERROR(RadSpec!$I$29*R29,".")*$B$71</f>
        <v>0</v>
      </c>
      <c r="S71" s="64">
        <f>IFERROR(RadSpec!$G$29*S29,".")*$B$71</f>
        <v>0</v>
      </c>
      <c r="T71" s="64">
        <f>IFERROR(RadSpec!$F$29*T29,".")*$B$71</f>
        <v>5.9427371634017483E-11</v>
      </c>
      <c r="U71" s="73">
        <f t="shared" si="128"/>
        <v>0</v>
      </c>
      <c r="V71" s="73">
        <f t="shared" si="129"/>
        <v>0</v>
      </c>
      <c r="W71" s="73">
        <f t="shared" si="130"/>
        <v>5.9427371634017483E-11</v>
      </c>
      <c r="X71" s="73">
        <f t="shared" si="131"/>
        <v>5.9427371634017483E-11</v>
      </c>
      <c r="Y71" s="56">
        <f t="shared" ref="Y71:AO71" si="143">IFERROR(Y29/$B57,0)</f>
        <v>16827.262800018885</v>
      </c>
      <c r="Z71" s="56">
        <f t="shared" si="143"/>
        <v>190092.11507554376</v>
      </c>
      <c r="AA71" s="56">
        <f t="shared" si="143"/>
        <v>44661.759630914792</v>
      </c>
      <c r="AB71" s="56">
        <f t="shared" si="143"/>
        <v>21767.447695243925</v>
      </c>
      <c r="AC71" s="56">
        <f t="shared" si="143"/>
        <v>283051.3506393765</v>
      </c>
      <c r="AD71" s="64">
        <f>IFERROR(RadSpec!$F$29*AD29,".")*$B$71</f>
        <v>5.9427371634017483E-11</v>
      </c>
      <c r="AE71" s="64">
        <f>IFERROR(RadSpec!$M$29*AE29,".")*$B$71</f>
        <v>5.260607467082967E-12</v>
      </c>
      <c r="AF71" s="64">
        <f>IFERROR(RadSpec!$N$29*AF29,".")*$B$71</f>
        <v>2.2390519501784286E-11</v>
      </c>
      <c r="AG71" s="64">
        <f>IFERROR(RadSpec!$O$29*AG29,".")*$B$71</f>
        <v>4.5940158625877621E-11</v>
      </c>
      <c r="AH71" s="64">
        <f>IFERROR(RadSpec!$K$29*AH29,".")*$B$71</f>
        <v>3.532927851222503E-12</v>
      </c>
      <c r="AI71" s="73">
        <f t="shared" si="133"/>
        <v>5.9427371634017483E-11</v>
      </c>
      <c r="AJ71" s="73">
        <f t="shared" si="133"/>
        <v>5.260607467082967E-12</v>
      </c>
      <c r="AK71" s="73">
        <f t="shared" si="133"/>
        <v>2.2390519501784286E-11</v>
      </c>
      <c r="AL71" s="73">
        <f t="shared" si="133"/>
        <v>4.5940158625877621E-11</v>
      </c>
      <c r="AM71" s="73">
        <f t="shared" si="133"/>
        <v>3.532927851222503E-12</v>
      </c>
      <c r="AN71" s="56">
        <f t="shared" si="143"/>
        <v>0</v>
      </c>
      <c r="AO71" s="56">
        <f t="shared" si="143"/>
        <v>1685168.5532674931</v>
      </c>
      <c r="AP71" s="56">
        <f t="shared" si="134"/>
        <v>1685168.5532674931</v>
      </c>
      <c r="AQ71" s="64">
        <f>IFERROR(RadSpec!$G$29*AQ29,".")*$B$71</f>
        <v>0</v>
      </c>
      <c r="AR71" s="64">
        <f>IFERROR(RadSpec!$J$29*AR29,".")*$B$71</f>
        <v>5.934124500846094E-13</v>
      </c>
      <c r="AS71" s="73">
        <f t="shared" si="135"/>
        <v>0</v>
      </c>
      <c r="AT71" s="73">
        <f t="shared" si="135"/>
        <v>5.934124500846094E-13</v>
      </c>
      <c r="AU71" s="73">
        <f t="shared" si="136"/>
        <v>5.934124500846094E-13</v>
      </c>
    </row>
    <row r="72" spans="1:47" x14ac:dyDescent="0.25">
      <c r="A72" s="55" t="s">
        <v>314</v>
      </c>
      <c r="B72" s="60">
        <v>1</v>
      </c>
      <c r="C72" s="56">
        <f>IFERROR(C16/$B58,0)</f>
        <v>20.222242444464666</v>
      </c>
      <c r="D72" s="56">
        <f>IFERROR(D16/$B58,0)</f>
        <v>9.7792403175649323</v>
      </c>
      <c r="E72" s="56">
        <f>IFERROR(E16/$B58,0)</f>
        <v>22453.378967774097</v>
      </c>
      <c r="F72" s="56">
        <f t="shared" si="124"/>
        <v>6.5896786364943001</v>
      </c>
      <c r="G72" s="64">
        <f>IFERROR(RadSpec!$I$16*G16,".")*$B$72</f>
        <v>4.9450500000000003E-8</v>
      </c>
      <c r="H72" s="64">
        <f>IFERROR(RadSpec!$G$16*H16,".")*$B$72</f>
        <v>1.0225743181746492E-7</v>
      </c>
      <c r="I72" s="64">
        <f>IFERROR(RadSpec!$F$16*I16,".")*$B$72</f>
        <v>4.4536726585127182E-11</v>
      </c>
      <c r="J72" s="73">
        <f t="shared" si="125"/>
        <v>4.9450500000000003E-8</v>
      </c>
      <c r="K72" s="73">
        <f t="shared" si="125"/>
        <v>1.0225743181746492E-7</v>
      </c>
      <c r="L72" s="73">
        <f t="shared" si="125"/>
        <v>4.4536726585127182E-11</v>
      </c>
      <c r="M72" s="73">
        <f t="shared" si="126"/>
        <v>1.5175246854405005E-7</v>
      </c>
      <c r="N72" s="56">
        <f>IFERROR(N16/$B58,0)</f>
        <v>20.222242444464666</v>
      </c>
      <c r="O72" s="56">
        <f>IFERROR(O16/$B58,0)</f>
        <v>1495.4460113291564</v>
      </c>
      <c r="P72" s="56">
        <f>IFERROR(P16/$B58,0)</f>
        <v>22453.378967774097</v>
      </c>
      <c r="Q72" s="56">
        <f t="shared" si="127"/>
        <v>19.934720348678365</v>
      </c>
      <c r="R72" s="64">
        <f>IFERROR(RadSpec!$I$16*R16,".")*$B$72</f>
        <v>4.9450500000000003E-8</v>
      </c>
      <c r="S72" s="64">
        <f>IFERROR(RadSpec!$G$16*S16,".")*$B$72</f>
        <v>6.6869682517739136E-10</v>
      </c>
      <c r="T72" s="64">
        <f>IFERROR(RadSpec!$F$16*T16,".")*$B$72</f>
        <v>4.4536726585127182E-11</v>
      </c>
      <c r="U72" s="73">
        <f t="shared" si="128"/>
        <v>4.9450500000000003E-8</v>
      </c>
      <c r="V72" s="73">
        <f t="shared" si="129"/>
        <v>6.6869682517739136E-10</v>
      </c>
      <c r="W72" s="73">
        <f t="shared" si="130"/>
        <v>4.4536726585127182E-11</v>
      </c>
      <c r="X72" s="73">
        <f t="shared" si="131"/>
        <v>5.0163733551762525E-8</v>
      </c>
      <c r="Y72" s="56">
        <f t="shared" ref="Y72:AO72" si="144">IFERROR(Y16/$B58,0)</f>
        <v>22453.378967774097</v>
      </c>
      <c r="Z72" s="56">
        <f t="shared" si="144"/>
        <v>30546.11950004657</v>
      </c>
      <c r="AA72" s="56">
        <f t="shared" si="144"/>
        <v>21667.575968753372</v>
      </c>
      <c r="AB72" s="56">
        <f t="shared" si="144"/>
        <v>20318.367045906627</v>
      </c>
      <c r="AC72" s="56">
        <f t="shared" si="144"/>
        <v>20175.686643105069</v>
      </c>
      <c r="AD72" s="64">
        <f>IFERROR(RadSpec!$F$16*AD16,".")*$B$72</f>
        <v>4.4536726585127182E-11</v>
      </c>
      <c r="AE72" s="64">
        <f>IFERROR(RadSpec!$M$16*AE16,".")*$B$72</f>
        <v>3.2737382566662033E-11</v>
      </c>
      <c r="AF72" s="64">
        <f>IFERROR(RadSpec!$N$16*AF16,".")*$B$72</f>
        <v>4.6151909260274028E-11</v>
      </c>
      <c r="AG72" s="64">
        <f>IFERROR(RadSpec!$O$16*AG16,".")*$B$72</f>
        <v>4.9216553561643706E-11</v>
      </c>
      <c r="AH72" s="64">
        <f>IFERROR(RadSpec!$K$16*AH16,".")*$B$72</f>
        <v>4.9564608020007314E-11</v>
      </c>
      <c r="AI72" s="73">
        <f t="shared" si="133"/>
        <v>4.4536726585127182E-11</v>
      </c>
      <c r="AJ72" s="73">
        <f t="shared" si="133"/>
        <v>3.2737382566662033E-11</v>
      </c>
      <c r="AK72" s="73">
        <f t="shared" si="133"/>
        <v>4.6151909260274028E-11</v>
      </c>
      <c r="AL72" s="73">
        <f t="shared" si="133"/>
        <v>4.9216553561643706E-11</v>
      </c>
      <c r="AM72" s="73">
        <f t="shared" si="133"/>
        <v>4.9564608020007314E-11</v>
      </c>
      <c r="AN72" s="56">
        <f t="shared" si="144"/>
        <v>1.2600012600012603E-2</v>
      </c>
      <c r="AO72" s="56">
        <f t="shared" si="144"/>
        <v>1113111.11256273</v>
      </c>
      <c r="AP72" s="56">
        <f t="shared" si="134"/>
        <v>1.2600012457385049E-2</v>
      </c>
      <c r="AQ72" s="64">
        <f>IFERROR(RadSpec!$G$16*AQ16,".")*$B$72</f>
        <v>7.9364999999999997E-5</v>
      </c>
      <c r="AR72" s="64">
        <f>IFERROR(RadSpec!$J$16*AR16,".")*$B$72</f>
        <v>8.9838290958904098E-13</v>
      </c>
      <c r="AS72" s="73">
        <f t="shared" si="135"/>
        <v>7.9364999999999997E-5</v>
      </c>
      <c r="AT72" s="73">
        <f t="shared" si="135"/>
        <v>8.9838290958904098E-13</v>
      </c>
      <c r="AU72" s="73">
        <f t="shared" si="136"/>
        <v>7.93650008983829E-5</v>
      </c>
    </row>
    <row r="73" spans="1:47" x14ac:dyDescent="0.25">
      <c r="A73" s="55" t="s">
        <v>315</v>
      </c>
      <c r="B73" s="60">
        <v>1</v>
      </c>
      <c r="C73" s="56">
        <f>IFERROR(C7/$B59,0)</f>
        <v>3243.5676000032436</v>
      </c>
      <c r="D73" s="56">
        <f>IFERROR(D7/$B59,0)</f>
        <v>341.08082083214276</v>
      </c>
      <c r="E73" s="56">
        <f>IFERROR(E7/$B59,0)</f>
        <v>21193.132482126541</v>
      </c>
      <c r="F73" s="56">
        <f t="shared" si="124"/>
        <v>304.19694133378039</v>
      </c>
      <c r="G73" s="64">
        <f>IFERROR(RadSpec!$I$7*G7,".")*$B$73</f>
        <v>3.0830249999999998E-10</v>
      </c>
      <c r="H73" s="64">
        <f>IFERROR(RadSpec!$G$7*H7,".")*$B$73</f>
        <v>2.9318564367245187E-9</v>
      </c>
      <c r="I73" s="64">
        <f>IFERROR(RadSpec!$F$7*I7,".")*$B$73</f>
        <v>4.7185096438356185E-11</v>
      </c>
      <c r="J73" s="73">
        <f t="shared" si="125"/>
        <v>3.0830249999999998E-10</v>
      </c>
      <c r="K73" s="73">
        <f t="shared" si="125"/>
        <v>2.9318564367245187E-9</v>
      </c>
      <c r="L73" s="73">
        <f t="shared" si="125"/>
        <v>4.7185096438356185E-11</v>
      </c>
      <c r="M73" s="73">
        <f t="shared" si="126"/>
        <v>3.2873440331628747E-9</v>
      </c>
      <c r="N73" s="56">
        <f>IFERROR(N7/$B59,0)</f>
        <v>3243.5676000032436</v>
      </c>
      <c r="O73" s="56">
        <f>IFERROR(O7/$B59,0)</f>
        <v>52158.238931724234</v>
      </c>
      <c r="P73" s="56">
        <f>IFERROR(P7/$B59,0)</f>
        <v>21193.132482126541</v>
      </c>
      <c r="Q73" s="56">
        <f t="shared" si="127"/>
        <v>2669.0864754514046</v>
      </c>
      <c r="R73" s="64">
        <f>IFERROR(RadSpec!$I$7*R7,".")*$B$73</f>
        <v>3.0830249999999998E-10</v>
      </c>
      <c r="S73" s="64">
        <f>IFERROR(RadSpec!$G$7*S7,".")*$B$73</f>
        <v>1.9172426456134998E-11</v>
      </c>
      <c r="T73" s="64">
        <f>IFERROR(RadSpec!$F$7*T7,".")*$B$73</f>
        <v>4.7185096438356185E-11</v>
      </c>
      <c r="U73" s="73">
        <f t="shared" si="128"/>
        <v>3.0830249999999998E-10</v>
      </c>
      <c r="V73" s="73">
        <f t="shared" si="129"/>
        <v>1.9172426456134998E-11</v>
      </c>
      <c r="W73" s="73">
        <f t="shared" si="130"/>
        <v>4.7185096438356185E-11</v>
      </c>
      <c r="X73" s="73">
        <f t="shared" si="131"/>
        <v>3.7466002289449114E-10</v>
      </c>
      <c r="Y73" s="56">
        <f t="shared" ref="Y73:AO73" si="145">IFERROR(Y7/$B59,0)</f>
        <v>21193.132482126541</v>
      </c>
      <c r="Z73" s="56">
        <f t="shared" si="145"/>
        <v>91760.872048346384</v>
      </c>
      <c r="AA73" s="56">
        <f t="shared" si="145"/>
        <v>29612.628647717978</v>
      </c>
      <c r="AB73" s="56">
        <f t="shared" si="145"/>
        <v>19664.089806193639</v>
      </c>
      <c r="AC73" s="56">
        <f t="shared" si="145"/>
        <v>23777.190491776219</v>
      </c>
      <c r="AD73" s="64">
        <f>IFERROR(RadSpec!$F$7*AD7,".")*$B$73</f>
        <v>4.7185096438356185E-11</v>
      </c>
      <c r="AE73" s="64">
        <f>IFERROR(RadSpec!$M$7*AE7,".")*$B$73</f>
        <v>1.08978912E-11</v>
      </c>
      <c r="AF73" s="64">
        <f>IFERROR(RadSpec!$N$7*AF7,".")*$B$73</f>
        <v>3.3769376298752278E-11</v>
      </c>
      <c r="AG73" s="64">
        <f>IFERROR(RadSpec!$O$7*AG7,".")*$B$73</f>
        <v>5.0854120880033199E-11</v>
      </c>
      <c r="AH73" s="64">
        <f>IFERROR(RadSpec!$K$7*AH7,".")*$B$73</f>
        <v>4.2057113532646698E-11</v>
      </c>
      <c r="AI73" s="73">
        <f t="shared" si="133"/>
        <v>4.7185096438356185E-11</v>
      </c>
      <c r="AJ73" s="73">
        <f t="shared" si="133"/>
        <v>1.08978912E-11</v>
      </c>
      <c r="AK73" s="73">
        <f t="shared" si="133"/>
        <v>3.3769376298752278E-11</v>
      </c>
      <c r="AL73" s="73">
        <f t="shared" si="133"/>
        <v>5.0854120880033199E-11</v>
      </c>
      <c r="AM73" s="73">
        <f t="shared" si="133"/>
        <v>4.2057113532646698E-11</v>
      </c>
      <c r="AN73" s="56">
        <f t="shared" si="145"/>
        <v>0.43946385409800048</v>
      </c>
      <c r="AO73" s="56">
        <f t="shared" si="145"/>
        <v>828076.03738110373</v>
      </c>
      <c r="AP73" s="56">
        <f t="shared" si="134"/>
        <v>0.43946362087258656</v>
      </c>
      <c r="AQ73" s="64">
        <f>IFERROR(RadSpec!$G$7*AQ7,".")*$B$73</f>
        <v>2.2755000000000001E-6</v>
      </c>
      <c r="AR73" s="64">
        <f>IFERROR(RadSpec!$J$7*AR7,".")*$B$73</f>
        <v>1.2076185698630138E-12</v>
      </c>
      <c r="AS73" s="73">
        <f t="shared" si="135"/>
        <v>2.2755000000000001E-6</v>
      </c>
      <c r="AT73" s="73">
        <f t="shared" si="135"/>
        <v>1.2076185698630138E-12</v>
      </c>
      <c r="AU73" s="73">
        <f t="shared" si="136"/>
        <v>2.2755012076185698E-6</v>
      </c>
    </row>
    <row r="74" spans="1:47" x14ac:dyDescent="0.25">
      <c r="A74" s="55" t="s">
        <v>316</v>
      </c>
      <c r="B74" s="62">
        <v>1.9000000000000001E-8</v>
      </c>
      <c r="C74" s="56">
        <f>IFERROR(C12/$B60,0)</f>
        <v>0</v>
      </c>
      <c r="D74" s="56">
        <f>IFERROR(D12/$B60,0)</f>
        <v>0</v>
      </c>
      <c r="E74" s="56">
        <f>IFERROR(E12/$B60,0)</f>
        <v>6042592642.7285414</v>
      </c>
      <c r="F74" s="56">
        <f t="shared" si="124"/>
        <v>6042592642.7285414</v>
      </c>
      <c r="G74" s="64">
        <f>IFERROR(RadSpec!$I$12*G12,".")*$B$74</f>
        <v>0</v>
      </c>
      <c r="H74" s="64">
        <f>IFERROR(RadSpec!$G$12*H12,".")*$B$74</f>
        <v>0</v>
      </c>
      <c r="I74" s="64">
        <f>IFERROR(RadSpec!$F$12*I12,".")*$B$74</f>
        <v>1.6549187726618763E-16</v>
      </c>
      <c r="J74" s="73">
        <f t="shared" si="125"/>
        <v>0</v>
      </c>
      <c r="K74" s="73">
        <f t="shared" si="125"/>
        <v>0</v>
      </c>
      <c r="L74" s="73">
        <f t="shared" si="125"/>
        <v>1.6549187726618763E-16</v>
      </c>
      <c r="M74" s="73">
        <f t="shared" si="126"/>
        <v>1.6549187726618763E-16</v>
      </c>
      <c r="N74" s="56">
        <f>IFERROR(N12/$B60,0)</f>
        <v>0</v>
      </c>
      <c r="O74" s="56">
        <f>IFERROR(O12/$B60,0)</f>
        <v>0</v>
      </c>
      <c r="P74" s="56">
        <f>IFERROR(P12/$B60,0)</f>
        <v>6042592642.7285414</v>
      </c>
      <c r="Q74" s="56">
        <f t="shared" si="127"/>
        <v>6042592642.7285414</v>
      </c>
      <c r="R74" s="64">
        <f>IFERROR(RadSpec!$I$12*R12,".")*$B$74</f>
        <v>0</v>
      </c>
      <c r="S74" s="64">
        <f>IFERROR(RadSpec!$G$12*S12,".")*$B$74</f>
        <v>0</v>
      </c>
      <c r="T74" s="64">
        <f>IFERROR(RadSpec!$F$12*T12,".")*$B$74</f>
        <v>1.6549187726618763E-16</v>
      </c>
      <c r="U74" s="73">
        <f t="shared" si="128"/>
        <v>0</v>
      </c>
      <c r="V74" s="73">
        <f t="shared" si="129"/>
        <v>0</v>
      </c>
      <c r="W74" s="73">
        <f t="shared" si="130"/>
        <v>1.6549187726618763E-16</v>
      </c>
      <c r="X74" s="73">
        <f t="shared" si="131"/>
        <v>1.6549187726618763E-16</v>
      </c>
      <c r="Y74" s="56">
        <f t="shared" ref="Y74:AO74" si="146">IFERROR(Y12/$B60,0)</f>
        <v>6042592642.7285414</v>
      </c>
      <c r="Z74" s="56">
        <f t="shared" si="146"/>
        <v>42136064402.639709</v>
      </c>
      <c r="AA74" s="56">
        <f t="shared" si="146"/>
        <v>10492706233.598509</v>
      </c>
      <c r="AB74" s="56">
        <f t="shared" si="146"/>
        <v>6069109183.7770042</v>
      </c>
      <c r="AC74" s="56">
        <f t="shared" si="146"/>
        <v>54501106679.768967</v>
      </c>
      <c r="AD74" s="64">
        <f>IFERROR(RadSpec!$F$12*AD12,".")*$B$74</f>
        <v>1.6549187726618763E-16</v>
      </c>
      <c r="AE74" s="64">
        <f>IFERROR(RadSpec!$M$12*AE12,".")*$B$74</f>
        <v>2.3732638873063637E-17</v>
      </c>
      <c r="AF74" s="64">
        <f>IFERROR(RadSpec!$N$12*AF12,".")*$B$74</f>
        <v>9.5304297836712279E-17</v>
      </c>
      <c r="AG74" s="64">
        <f>IFERROR(RadSpec!$O$12*AG12,".")*$B$74</f>
        <v>1.6476882681119723E-16</v>
      </c>
      <c r="AH74" s="64">
        <f>IFERROR(RadSpec!$K$12*AH12,".")*$B$74</f>
        <v>1.8348251272688452E-17</v>
      </c>
      <c r="AI74" s="73">
        <f t="shared" si="133"/>
        <v>1.6549187726618763E-16</v>
      </c>
      <c r="AJ74" s="73">
        <f t="shared" si="133"/>
        <v>2.3732638873063637E-17</v>
      </c>
      <c r="AK74" s="73">
        <f t="shared" si="133"/>
        <v>9.5304297836712279E-17</v>
      </c>
      <c r="AL74" s="73">
        <f t="shared" si="133"/>
        <v>1.6476882681119723E-16</v>
      </c>
      <c r="AM74" s="73">
        <f t="shared" si="133"/>
        <v>1.8348251272688452E-17</v>
      </c>
      <c r="AN74" s="56">
        <f t="shared" si="146"/>
        <v>0</v>
      </c>
      <c r="AO74" s="56">
        <f t="shared" si="146"/>
        <v>464542965862.09283</v>
      </c>
      <c r="AP74" s="56">
        <f t="shared" si="134"/>
        <v>464542965862.09283</v>
      </c>
      <c r="AQ74" s="64">
        <f>IFERROR(RadSpec!$G$12*AQ12,".")*$B$74</f>
        <v>0</v>
      </c>
      <c r="AR74" s="64">
        <f>IFERROR(RadSpec!$J$12*AR12,".")*$B$74</f>
        <v>2.1526534109589039E-18</v>
      </c>
      <c r="AS74" s="73">
        <f t="shared" si="135"/>
        <v>0</v>
      </c>
      <c r="AT74" s="73">
        <f t="shared" si="135"/>
        <v>2.1526534109589039E-18</v>
      </c>
      <c r="AU74" s="73">
        <f t="shared" si="136"/>
        <v>2.1526534109589039E-18</v>
      </c>
    </row>
    <row r="75" spans="1:47" x14ac:dyDescent="0.25">
      <c r="A75" s="55" t="s">
        <v>317</v>
      </c>
      <c r="B75" s="60">
        <v>1</v>
      </c>
      <c r="C75" s="56">
        <f>IFERROR(C18/$B61,0)</f>
        <v>8.4433074123795766</v>
      </c>
      <c r="D75" s="56">
        <f>IFERROR(D18/$B61,0)</f>
        <v>10.702280857743254</v>
      </c>
      <c r="E75" s="56">
        <f>IFERROR(E18/$B61,0)</f>
        <v>1033258.7518648753</v>
      </c>
      <c r="F75" s="56">
        <f t="shared" si="124"/>
        <v>4.7197418674302423</v>
      </c>
      <c r="G75" s="64">
        <f>IFERROR(RadSpec!$I$18*G18,".")*$B$75</f>
        <v>1.18437E-7</v>
      </c>
      <c r="H75" s="64">
        <f>IFERROR(RadSpec!$G$18*H18,".")*$B$75</f>
        <v>9.3438026276098497E-8</v>
      </c>
      <c r="I75" s="64">
        <f>IFERROR(RadSpec!$F$18*I18,".")*$B$75</f>
        <v>9.6781178789451498E-13</v>
      </c>
      <c r="J75" s="73">
        <f t="shared" si="125"/>
        <v>1.18437E-7</v>
      </c>
      <c r="K75" s="73">
        <f t="shared" si="125"/>
        <v>9.3438026276098497E-8</v>
      </c>
      <c r="L75" s="73">
        <f t="shared" si="125"/>
        <v>9.6781178789451498E-13</v>
      </c>
      <c r="M75" s="73">
        <f t="shared" si="126"/>
        <v>2.1187599408788641E-7</v>
      </c>
      <c r="N75" s="56">
        <f>IFERROR(N18/$B61,0)</f>
        <v>8.4433074123795766</v>
      </c>
      <c r="O75" s="56">
        <f>IFERROR(O18/$B61,0)</f>
        <v>1636.5978032148166</v>
      </c>
      <c r="P75" s="56">
        <f>IFERROR(P18/$B61,0)</f>
        <v>1033258.7518648753</v>
      </c>
      <c r="Q75" s="56">
        <f t="shared" si="127"/>
        <v>8.3999031619904603</v>
      </c>
      <c r="R75" s="64">
        <f>IFERROR(RadSpec!$I$18*R18,".")*$B$75</f>
        <v>1.18437E-7</v>
      </c>
      <c r="S75" s="64">
        <f>IFERROR(RadSpec!$G$18*S18,".")*$B$75</f>
        <v>6.1102367242316422E-10</v>
      </c>
      <c r="T75" s="64">
        <f>IFERROR(RadSpec!$F$18*T18,".")*$B$75</f>
        <v>9.6781178789451498E-13</v>
      </c>
      <c r="U75" s="73">
        <f t="shared" si="128"/>
        <v>1.18437E-7</v>
      </c>
      <c r="V75" s="73">
        <f t="shared" si="129"/>
        <v>6.1102367242316422E-10</v>
      </c>
      <c r="W75" s="73">
        <f t="shared" si="130"/>
        <v>9.6781178789451498E-13</v>
      </c>
      <c r="X75" s="73">
        <f t="shared" si="131"/>
        <v>1.1904899148421106E-7</v>
      </c>
      <c r="Y75" s="56">
        <f t="shared" ref="Y75:AO75" si="147">IFERROR(Y18/$B61,0)</f>
        <v>1033258.7518648753</v>
      </c>
      <c r="Z75" s="56">
        <f t="shared" si="147"/>
        <v>10822557.207707774</v>
      </c>
      <c r="AA75" s="56">
        <f t="shared" si="147"/>
        <v>2546908.3221597336</v>
      </c>
      <c r="AB75" s="56">
        <f t="shared" si="147"/>
        <v>1266767.6633191966</v>
      </c>
      <c r="AC75" s="56">
        <f t="shared" si="147"/>
        <v>16831369.280441687</v>
      </c>
      <c r="AD75" s="64">
        <f>IFERROR(RadSpec!$F$18*AD18,".")*$B$75</f>
        <v>9.6781178789451498E-13</v>
      </c>
      <c r="AE75" s="64">
        <f>IFERROR(RadSpec!$M$18*AE18,".")*$B$75</f>
        <v>9.2399603976018223E-14</v>
      </c>
      <c r="AF75" s="64">
        <f>IFERROR(RadSpec!$N$18*AF18,".")*$B$75</f>
        <v>3.9263289977866867E-13</v>
      </c>
      <c r="AG75" s="64">
        <f>IFERROR(RadSpec!$O$18*AG18,".")*$B$75</f>
        <v>7.8941074117710771E-13</v>
      </c>
      <c r="AH75" s="64">
        <f>IFERROR(RadSpec!$K$18*AH18,".")*$B$75</f>
        <v>5.9412872674715506E-14</v>
      </c>
      <c r="AI75" s="73">
        <f t="shared" si="133"/>
        <v>9.6781178789451498E-13</v>
      </c>
      <c r="AJ75" s="73">
        <f t="shared" si="133"/>
        <v>9.2399603976018223E-14</v>
      </c>
      <c r="AK75" s="73">
        <f t="shared" si="133"/>
        <v>3.9263289977866867E-13</v>
      </c>
      <c r="AL75" s="73">
        <f t="shared" si="133"/>
        <v>7.8941074117710771E-13</v>
      </c>
      <c r="AM75" s="73">
        <f t="shared" si="133"/>
        <v>5.9412872674715506E-14</v>
      </c>
      <c r="AN75" s="56">
        <f t="shared" si="147"/>
        <v>1.3789299503585218E-2</v>
      </c>
      <c r="AO75" s="56">
        <f t="shared" si="147"/>
        <v>104781688.52894972</v>
      </c>
      <c r="AP75" s="56">
        <f t="shared" si="134"/>
        <v>1.3789299501770543E-2</v>
      </c>
      <c r="AQ75" s="64">
        <f>IFERROR(RadSpec!$G$18*AQ18,".")*$B$75</f>
        <v>7.2520000000000004E-5</v>
      </c>
      <c r="AR75" s="64">
        <f>IFERROR(RadSpec!$J$18*AR18,".")*$B$75</f>
        <v>9.5436522739726025E-15</v>
      </c>
      <c r="AS75" s="73">
        <f t="shared" si="135"/>
        <v>7.2520000000000004E-5</v>
      </c>
      <c r="AT75" s="73">
        <f t="shared" si="135"/>
        <v>9.5436522739726025E-15</v>
      </c>
      <c r="AU75" s="73">
        <f t="shared" si="136"/>
        <v>7.2520000009543653E-5</v>
      </c>
    </row>
    <row r="76" spans="1:47" x14ac:dyDescent="0.25">
      <c r="A76" s="55" t="s">
        <v>318</v>
      </c>
      <c r="B76" s="60">
        <v>1.339E-6</v>
      </c>
      <c r="C76" s="56">
        <f>IFERROR(C27/$B62,0)</f>
        <v>0</v>
      </c>
      <c r="D76" s="56">
        <f>IFERROR(D27/$B62,0)</f>
        <v>0</v>
      </c>
      <c r="E76" s="56">
        <f>IFERROR(E27/$B62,0)</f>
        <v>5848105570.9794712</v>
      </c>
      <c r="F76" s="56">
        <f t="shared" si="124"/>
        <v>5848105570.9794712</v>
      </c>
      <c r="G76" s="64">
        <f>IFERROR(RadSpec!$I$27*G27,".")*$B$76</f>
        <v>0</v>
      </c>
      <c r="H76" s="64">
        <f>IFERROR(RadSpec!$G$27*H27,".")*$B$76</f>
        <v>0</v>
      </c>
      <c r="I76" s="64">
        <f>IFERROR(RadSpec!$F$27*I27,".")*$B$76</f>
        <v>1.7099554511505078E-16</v>
      </c>
      <c r="J76" s="73">
        <f t="shared" si="125"/>
        <v>0</v>
      </c>
      <c r="K76" s="73">
        <f t="shared" si="125"/>
        <v>0</v>
      </c>
      <c r="L76" s="73">
        <f t="shared" si="125"/>
        <v>1.7099554511505078E-16</v>
      </c>
      <c r="M76" s="73">
        <f t="shared" si="126"/>
        <v>1.7099554511505078E-16</v>
      </c>
      <c r="N76" s="56">
        <f>IFERROR(N27/$B62,0)</f>
        <v>0</v>
      </c>
      <c r="O76" s="56">
        <f>IFERROR(O27/$B62,0)</f>
        <v>0</v>
      </c>
      <c r="P76" s="56">
        <f>IFERROR(P27/$B62,0)</f>
        <v>5848105570.9794712</v>
      </c>
      <c r="Q76" s="56">
        <f t="shared" si="127"/>
        <v>5848105570.9794712</v>
      </c>
      <c r="R76" s="64">
        <f>IFERROR(RadSpec!$I$27*R27,".")*$B$76</f>
        <v>0</v>
      </c>
      <c r="S76" s="64">
        <f>IFERROR(RadSpec!$G$27*S27,".")*$B$76</f>
        <v>0</v>
      </c>
      <c r="T76" s="64">
        <f>IFERROR(RadSpec!$F$27*T27,".")*$B$76</f>
        <v>1.7099554511505078E-16</v>
      </c>
      <c r="U76" s="73">
        <f t="shared" si="128"/>
        <v>0</v>
      </c>
      <c r="V76" s="73">
        <f t="shared" si="129"/>
        <v>0</v>
      </c>
      <c r="W76" s="73">
        <f t="shared" si="130"/>
        <v>1.7099554511505078E-16</v>
      </c>
      <c r="X76" s="73">
        <f t="shared" si="131"/>
        <v>1.7099554511505078E-16</v>
      </c>
      <c r="Y76" s="56">
        <f t="shared" ref="Y76:AO76" si="148">IFERROR(Y27/$B62,0)</f>
        <v>5848105570.9794712</v>
      </c>
      <c r="Z76" s="56">
        <f t="shared" si="148"/>
        <v>26459798385.942795</v>
      </c>
      <c r="AA76" s="56">
        <f t="shared" si="148"/>
        <v>9837403809.1372757</v>
      </c>
      <c r="AB76" s="56">
        <f t="shared" si="148"/>
        <v>6561613651.1776857</v>
      </c>
      <c r="AC76" s="56">
        <f t="shared" si="148"/>
        <v>5643312397.1997566</v>
      </c>
      <c r="AD76" s="64">
        <f>IFERROR(RadSpec!$F$27*AD27,".")*$B$76</f>
        <v>1.7099554511505078E-16</v>
      </c>
      <c r="AE76" s="64">
        <f>IFERROR(RadSpec!$M$27*AE27,".")*$B$76</f>
        <v>3.7793182903890393E-17</v>
      </c>
      <c r="AF76" s="64">
        <f>IFERROR(RadSpec!$N$27*AF27,".")*$B$76</f>
        <v>1.0165283639888504E-16</v>
      </c>
      <c r="AG76" s="64">
        <f>IFERROR(RadSpec!$O$27*AG27,".")*$B$76</f>
        <v>1.5240153614050698E-16</v>
      </c>
      <c r="AH76" s="64">
        <f>IFERROR(RadSpec!$K$27*AH27,".")*$B$76</f>
        <v>1.7720089366241813E-16</v>
      </c>
      <c r="AI76" s="73">
        <f t="shared" si="133"/>
        <v>1.7099554511505078E-16</v>
      </c>
      <c r="AJ76" s="73">
        <f t="shared" si="133"/>
        <v>3.7793182903890393E-17</v>
      </c>
      <c r="AK76" s="73">
        <f t="shared" si="133"/>
        <v>1.0165283639888504E-16</v>
      </c>
      <c r="AL76" s="73">
        <f t="shared" si="133"/>
        <v>1.5240153614050698E-16</v>
      </c>
      <c r="AM76" s="73">
        <f t="shared" si="133"/>
        <v>1.7720089366241813E-16</v>
      </c>
      <c r="AN76" s="56">
        <f t="shared" si="148"/>
        <v>0</v>
      </c>
      <c r="AO76" s="56">
        <f t="shared" si="148"/>
        <v>348010191098.05682</v>
      </c>
      <c r="AP76" s="56">
        <f t="shared" si="134"/>
        <v>348010191098.05682</v>
      </c>
      <c r="AQ76" s="64">
        <f>IFERROR(RadSpec!$G$27*AQ27,".")*$B$76</f>
        <v>0</v>
      </c>
      <c r="AR76" s="64">
        <f>IFERROR(RadSpec!$J$27*AR27,".")*$B$76</f>
        <v>2.8734790692328767E-18</v>
      </c>
      <c r="AS76" s="73">
        <f t="shared" si="135"/>
        <v>0</v>
      </c>
      <c r="AT76" s="73">
        <f t="shared" si="135"/>
        <v>2.8734790692328767E-18</v>
      </c>
      <c r="AU76" s="73">
        <f t="shared" si="136"/>
        <v>2.8734790692328767E-18</v>
      </c>
    </row>
  </sheetData>
  <sheetProtection algorithmName="SHA-512" hashValue="6n9c4EGm1vybyZF6Ah21OJeHcoj9MqlJSzXo87X/nzi8soB25AsMY8Ks9XjRFAn7hrDomHNA83LxqcizbHVZtw==" saltValue="FE/RjKdbx+mtJca56J9l2Q==" spinCount="100000" sheet="1" objects="1" scenarios="1" formatColumns="0" formatRows="0" autoFilter="0"/>
  <autoFilter ref="A1:AU76" xr:uid="{A1ACB8FD-C74A-4D16-8DEB-A00AF27F9F33}"/>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8"/>
  <dimension ref="A1:H30"/>
  <sheetViews>
    <sheetView zoomScale="90" zoomScaleNormal="90" workbookViewId="0">
      <pane xSplit="2" ySplit="1" topLeftCell="C2" activePane="bottomRight" state="frozen"/>
      <selection pane="topRight" activeCell="C1" sqref="C1"/>
      <selection pane="bottomLeft" activeCell="A2" sqref="A2"/>
      <selection pane="bottomRight" activeCell="C2" sqref="C2"/>
    </sheetView>
  </sheetViews>
  <sheetFormatPr defaultRowHeight="15" x14ac:dyDescent="0.25"/>
  <cols>
    <col min="1" max="1" width="15.42578125" style="3" bestFit="1" customWidth="1"/>
    <col min="2" max="2" width="11.5703125" style="3" bestFit="1" customWidth="1"/>
    <col min="3" max="4" width="9.7109375" bestFit="1" customWidth="1"/>
    <col min="5" max="6" width="10.7109375" bestFit="1" customWidth="1"/>
    <col min="7" max="7" width="11.85546875" bestFit="1" customWidth="1"/>
    <col min="8" max="8" width="66.28515625" bestFit="1" customWidth="1"/>
  </cols>
  <sheetData>
    <row r="1" spans="1:8" x14ac:dyDescent="0.25">
      <c r="A1" s="5" t="s">
        <v>51</v>
      </c>
      <c r="B1" s="5" t="s">
        <v>274</v>
      </c>
      <c r="C1" s="8" t="s">
        <v>41</v>
      </c>
      <c r="D1" s="8" t="s">
        <v>42</v>
      </c>
      <c r="E1" s="8" t="s">
        <v>43</v>
      </c>
      <c r="F1" s="8" t="s">
        <v>44</v>
      </c>
      <c r="G1" s="8" t="s">
        <v>45</v>
      </c>
      <c r="H1" s="9" t="s">
        <v>288</v>
      </c>
    </row>
    <row r="2" spans="1:8" x14ac:dyDescent="0.25">
      <c r="A2" s="13" t="s">
        <v>12</v>
      </c>
      <c r="B2" s="3" t="s">
        <v>289</v>
      </c>
      <c r="C2" s="7">
        <v>9.5797101449275404E-2</v>
      </c>
      <c r="D2" s="7">
        <v>9.3059490084985805E-2</v>
      </c>
      <c r="E2" s="7">
        <v>9.6585365853658595E-2</v>
      </c>
      <c r="F2" s="7">
        <v>9.0705128205128202E-2</v>
      </c>
      <c r="G2" s="7">
        <v>9.6404494382022504E-2</v>
      </c>
    </row>
    <row r="3" spans="1:8" x14ac:dyDescent="0.25">
      <c r="A3" s="12" t="s">
        <v>13</v>
      </c>
      <c r="B3" s="3" t="s">
        <v>275</v>
      </c>
      <c r="C3" s="7">
        <v>8.4397163120567401E-2</v>
      </c>
      <c r="D3" s="7">
        <v>0.107692307692308</v>
      </c>
      <c r="E3" s="7">
        <v>9.4560669456066906E-2</v>
      </c>
      <c r="F3" s="7">
        <v>9.5024875621890506E-2</v>
      </c>
      <c r="G3" s="7">
        <v>9.6924829157175402E-2</v>
      </c>
    </row>
    <row r="4" spans="1:8" x14ac:dyDescent="0.25">
      <c r="A4" s="13" t="s">
        <v>14</v>
      </c>
      <c r="B4" s="3" t="s">
        <v>289</v>
      </c>
      <c r="C4" s="7">
        <v>4.2011834319526598E-2</v>
      </c>
      <c r="D4" s="7">
        <v>7.5873015873015898E-2</v>
      </c>
      <c r="E4" s="7">
        <v>5.07177033492823E-2</v>
      </c>
      <c r="F4" s="7">
        <v>7.1111111111111097E-2</v>
      </c>
      <c r="G4" s="7">
        <v>8.3791606367583205E-2</v>
      </c>
    </row>
    <row r="5" spans="1:8" x14ac:dyDescent="0.25">
      <c r="A5" s="13" t="s">
        <v>15</v>
      </c>
      <c r="B5" s="3" t="s">
        <v>289</v>
      </c>
      <c r="C5" s="7">
        <v>0.9</v>
      </c>
      <c r="D5" s="7">
        <v>0.9</v>
      </c>
      <c r="E5" s="7">
        <v>0.9</v>
      </c>
      <c r="F5" s="7">
        <v>0.9</v>
      </c>
      <c r="G5" s="7">
        <v>0.9</v>
      </c>
    </row>
    <row r="6" spans="1:8" x14ac:dyDescent="0.25">
      <c r="A6" s="13" t="s">
        <v>16</v>
      </c>
      <c r="B6" s="3" t="s">
        <v>289</v>
      </c>
      <c r="C6" s="7">
        <v>3.1283422459892997E-2</v>
      </c>
      <c r="D6" s="7">
        <v>8.7632508833922304E-2</v>
      </c>
      <c r="E6" s="7">
        <v>4.6638655462184903E-2</v>
      </c>
      <c r="F6" s="7">
        <v>6.7697594501718195E-2</v>
      </c>
      <c r="G6" s="7">
        <v>8.7261146496815295E-2</v>
      </c>
    </row>
    <row r="7" spans="1:8" x14ac:dyDescent="0.25">
      <c r="A7" s="13" t="s">
        <v>17</v>
      </c>
      <c r="B7" s="3" t="s">
        <v>289</v>
      </c>
      <c r="C7" s="7">
        <v>3.81995133819951E-2</v>
      </c>
      <c r="D7" s="7">
        <v>7.4683544303797506E-2</v>
      </c>
      <c r="E7" s="7">
        <v>0.05</v>
      </c>
      <c r="F7" s="7">
        <v>7.1974522292993601E-2</v>
      </c>
      <c r="G7" s="7">
        <v>8.2940516273849602E-2</v>
      </c>
    </row>
    <row r="8" spans="1:8" x14ac:dyDescent="0.25">
      <c r="A8" s="13" t="s">
        <v>18</v>
      </c>
      <c r="B8" s="3" t="s">
        <v>289</v>
      </c>
      <c r="C8" s="7">
        <v>3.3392857142857099E-2</v>
      </c>
      <c r="D8" s="7">
        <v>8.8172043010752696E-2</v>
      </c>
      <c r="E8" s="7">
        <v>4.81904761904762E-2</v>
      </c>
      <c r="F8" s="7">
        <v>7.1428571428571397E-2</v>
      </c>
      <c r="G8" s="7">
        <v>8.5352112676056302E-2</v>
      </c>
    </row>
    <row r="9" spans="1:8" x14ac:dyDescent="0.25">
      <c r="A9" s="13" t="s">
        <v>19</v>
      </c>
      <c r="B9" s="3" t="s">
        <v>289</v>
      </c>
      <c r="C9" s="7">
        <v>2.8963414634146301E-2</v>
      </c>
      <c r="D9" s="7">
        <v>9.3659942363112397E-2</v>
      </c>
      <c r="E9" s="7">
        <v>4.2990654205607499E-2</v>
      </c>
      <c r="F9" s="7">
        <v>6.4869029275808898E-2</v>
      </c>
      <c r="G9" s="7">
        <v>8.4239130434782594E-2</v>
      </c>
    </row>
    <row r="10" spans="1:8" x14ac:dyDescent="0.25">
      <c r="A10" s="12" t="s">
        <v>20</v>
      </c>
      <c r="B10" s="3" t="s">
        <v>275</v>
      </c>
      <c r="C10" s="7">
        <v>3.3412322274881501E-2</v>
      </c>
      <c r="D10" s="7">
        <v>7.3635307781649201E-2</v>
      </c>
      <c r="E10" s="7">
        <v>4.92028985507246E-2</v>
      </c>
      <c r="F10" s="7">
        <v>7.1668667466986802E-2</v>
      </c>
      <c r="G10" s="7">
        <v>8.2947368421052603E-2</v>
      </c>
    </row>
    <row r="11" spans="1:8" x14ac:dyDescent="0.25">
      <c r="A11" s="13" t="s">
        <v>21</v>
      </c>
      <c r="B11" s="3" t="s">
        <v>289</v>
      </c>
      <c r="C11" s="7">
        <v>4.4927536231884099E-2</v>
      </c>
      <c r="D11" s="7">
        <v>7.3856209150326799E-2</v>
      </c>
      <c r="E11" s="7">
        <v>5.2734375E-2</v>
      </c>
      <c r="F11" s="7">
        <v>7.1895424836601302E-2</v>
      </c>
      <c r="G11" s="7">
        <v>8.42105263157895E-2</v>
      </c>
    </row>
    <row r="12" spans="1:8" x14ac:dyDescent="0.25">
      <c r="A12" s="13" t="s">
        <v>22</v>
      </c>
      <c r="B12" s="3" t="s">
        <v>289</v>
      </c>
      <c r="C12" s="7">
        <v>3.7852760736196298E-2</v>
      </c>
      <c r="D12" s="7">
        <v>7.8920741989881901E-2</v>
      </c>
      <c r="E12" s="7">
        <v>4.9803921568627403E-2</v>
      </c>
      <c r="F12" s="7">
        <v>7.1707317073170698E-2</v>
      </c>
      <c r="G12" s="7">
        <v>8.4057971014492805E-2</v>
      </c>
    </row>
    <row r="13" spans="1:8" x14ac:dyDescent="0.25">
      <c r="A13" s="13" t="s">
        <v>23</v>
      </c>
      <c r="B13" s="3" t="s">
        <v>289</v>
      </c>
      <c r="C13" s="7">
        <v>9.0206185567010294E-2</v>
      </c>
      <c r="D13" s="7">
        <v>0.104379562043796</v>
      </c>
      <c r="E13" s="7">
        <v>0.10709219858155999</v>
      </c>
      <c r="F13" s="7">
        <v>0.105116279069767</v>
      </c>
      <c r="G13" s="7">
        <v>0.106057268722467</v>
      </c>
    </row>
    <row r="14" spans="1:8" x14ac:dyDescent="0.25">
      <c r="A14" s="13" t="s">
        <v>24</v>
      </c>
      <c r="B14" s="3" t="s">
        <v>289</v>
      </c>
      <c r="C14" s="7">
        <v>5.7281553398058301E-2</v>
      </c>
      <c r="D14" s="7">
        <v>8.0961538461538501E-2</v>
      </c>
      <c r="E14" s="7">
        <v>6.16504854368932E-2</v>
      </c>
      <c r="F14" s="7">
        <v>7.6956521739130396E-2</v>
      </c>
      <c r="G14" s="7">
        <v>8.5919999999999996E-2</v>
      </c>
    </row>
    <row r="15" spans="1:8" x14ac:dyDescent="0.25">
      <c r="A15" s="13" t="s">
        <v>25</v>
      </c>
      <c r="B15" s="3" t="s">
        <v>289</v>
      </c>
      <c r="C15" s="7">
        <v>0.9</v>
      </c>
      <c r="D15" s="7">
        <v>0.9</v>
      </c>
      <c r="E15" s="7">
        <v>0.9</v>
      </c>
      <c r="F15" s="7">
        <v>0.9</v>
      </c>
      <c r="G15" s="7">
        <v>0.9</v>
      </c>
    </row>
    <row r="16" spans="1:8" x14ac:dyDescent="0.25">
      <c r="A16" s="13" t="s">
        <v>26</v>
      </c>
      <c r="B16" s="3" t="s">
        <v>289</v>
      </c>
      <c r="C16" s="7">
        <v>0.12648026315789501</v>
      </c>
      <c r="D16" s="7">
        <v>0.131547619047619</v>
      </c>
      <c r="E16" s="7">
        <v>0.15049504950494999</v>
      </c>
      <c r="F16" s="7">
        <v>0.13783783783783801</v>
      </c>
      <c r="G16" s="7">
        <v>0.14537037037037001</v>
      </c>
    </row>
    <row r="17" spans="1:7" x14ac:dyDescent="0.25">
      <c r="A17" s="13" t="s">
        <v>27</v>
      </c>
      <c r="B17" s="3" t="s">
        <v>289</v>
      </c>
      <c r="C17" s="7">
        <v>4.1011235955056201E-2</v>
      </c>
      <c r="D17" s="7">
        <v>8.1260504201680697E-2</v>
      </c>
      <c r="E17" s="7">
        <v>5.06976744186046E-2</v>
      </c>
      <c r="F17" s="7">
        <v>7.2656250000000006E-2</v>
      </c>
      <c r="G17" s="7">
        <v>8.4027777777777798E-2</v>
      </c>
    </row>
    <row r="18" spans="1:7" x14ac:dyDescent="0.25">
      <c r="A18" s="13" t="s">
        <v>28</v>
      </c>
      <c r="B18" s="3" t="s">
        <v>289</v>
      </c>
      <c r="C18" s="7">
        <v>2.9915254237288101E-2</v>
      </c>
      <c r="D18" s="7">
        <v>9.4052863436123402E-2</v>
      </c>
      <c r="E18" s="7">
        <v>4.5225464190981397E-2</v>
      </c>
      <c r="F18" s="7">
        <v>6.7685589519650702E-2</v>
      </c>
      <c r="G18" s="7">
        <v>8.7351778656126505E-2</v>
      </c>
    </row>
    <row r="19" spans="1:7" x14ac:dyDescent="0.25">
      <c r="A19" s="13" t="s">
        <v>29</v>
      </c>
      <c r="B19" s="3" t="s">
        <v>289</v>
      </c>
      <c r="C19" s="7">
        <v>3.0131004366812202E-2</v>
      </c>
      <c r="D19" s="7">
        <v>9.3142857142857097E-2</v>
      </c>
      <c r="E19" s="7">
        <v>4.5547945205479501E-2</v>
      </c>
      <c r="F19" s="7">
        <v>6.7796610169491497E-2</v>
      </c>
      <c r="G19" s="7">
        <v>8.7487179487179503E-2</v>
      </c>
    </row>
    <row r="20" spans="1:7" x14ac:dyDescent="0.25">
      <c r="A20" s="13" t="s">
        <v>30</v>
      </c>
      <c r="B20" s="3" t="s">
        <v>289</v>
      </c>
      <c r="C20" s="7">
        <v>2.99009900990099E-2</v>
      </c>
      <c r="D20" s="7">
        <v>9.3814432989690694E-2</v>
      </c>
      <c r="E20" s="7">
        <v>4.5186335403726699E-2</v>
      </c>
      <c r="F20" s="7">
        <v>6.7774936061381102E-2</v>
      </c>
      <c r="G20" s="7">
        <v>8.7499999999999994E-2</v>
      </c>
    </row>
    <row r="21" spans="1:7" x14ac:dyDescent="0.25">
      <c r="A21" s="13" t="s">
        <v>31</v>
      </c>
      <c r="B21" s="3" t="s">
        <v>289</v>
      </c>
      <c r="C21" s="7">
        <v>0.9</v>
      </c>
      <c r="D21" s="7">
        <v>0.9</v>
      </c>
      <c r="E21" s="7">
        <v>0.9</v>
      </c>
      <c r="F21" s="7">
        <v>0.9</v>
      </c>
      <c r="G21" s="7">
        <v>0.9</v>
      </c>
    </row>
    <row r="22" spans="1:7" x14ac:dyDescent="0.25">
      <c r="A22" s="13" t="s">
        <v>32</v>
      </c>
      <c r="B22" s="3" t="s">
        <v>289</v>
      </c>
      <c r="C22" s="7">
        <v>7.8442280945758003E-2</v>
      </c>
      <c r="D22" s="7">
        <v>9.8879551820728301E-2</v>
      </c>
      <c r="E22" s="7">
        <v>9.1821561338289906E-2</v>
      </c>
      <c r="F22" s="7">
        <v>0.102702702702703</v>
      </c>
      <c r="G22" s="7">
        <v>0.119201995012469</v>
      </c>
    </row>
    <row r="23" spans="1:7" x14ac:dyDescent="0.25">
      <c r="A23" s="12" t="s">
        <v>33</v>
      </c>
      <c r="B23" s="3" t="s">
        <v>275</v>
      </c>
      <c r="C23" s="7">
        <v>4.9459459459459502E-2</v>
      </c>
      <c r="D23" s="7">
        <v>7.9108635097492996E-2</v>
      </c>
      <c r="E23" s="7">
        <v>5.4863221884498499E-2</v>
      </c>
      <c r="F23" s="7">
        <v>7.1611253196930902E-2</v>
      </c>
      <c r="G23" s="7">
        <v>8.6893203883495099E-2</v>
      </c>
    </row>
    <row r="24" spans="1:7" x14ac:dyDescent="0.25">
      <c r="A24" s="13" t="s">
        <v>34</v>
      </c>
      <c r="B24" s="3" t="s">
        <v>289</v>
      </c>
      <c r="C24" s="7">
        <v>3.1434599156118098E-2</v>
      </c>
      <c r="D24" s="7">
        <v>8.6033519553072604E-2</v>
      </c>
      <c r="E24" s="7">
        <v>4.6611570247933901E-2</v>
      </c>
      <c r="F24" s="7">
        <v>6.7924528301886805E-2</v>
      </c>
      <c r="G24" s="7">
        <v>8.7499999999999994E-2</v>
      </c>
    </row>
    <row r="25" spans="1:7" x14ac:dyDescent="0.25">
      <c r="A25" s="12" t="s">
        <v>35</v>
      </c>
      <c r="B25" s="3" t="s">
        <v>275</v>
      </c>
      <c r="C25" s="7">
        <v>3.1388329979879302E-2</v>
      </c>
      <c r="D25" s="7">
        <v>8.6931818181818193E-2</v>
      </c>
      <c r="E25" s="7">
        <v>4.7452229299363102E-2</v>
      </c>
      <c r="F25" s="7">
        <v>6.9633507853403095E-2</v>
      </c>
      <c r="G25" s="7">
        <v>8.61320754716981E-2</v>
      </c>
    </row>
    <row r="26" spans="1:7" x14ac:dyDescent="0.25">
      <c r="A26" s="13" t="s">
        <v>36</v>
      </c>
      <c r="B26" s="3" t="s">
        <v>289</v>
      </c>
      <c r="C26" s="7">
        <v>8.8307692307692295E-2</v>
      </c>
      <c r="D26" s="7">
        <v>8.9320388349514598E-2</v>
      </c>
      <c r="E26" s="7">
        <v>8.6249999999999993E-2</v>
      </c>
      <c r="F26" s="7">
        <v>8.6703096539162097E-2</v>
      </c>
      <c r="G26" s="7">
        <v>9.2337164750957906E-2</v>
      </c>
    </row>
    <row r="27" spans="1:7" x14ac:dyDescent="0.25">
      <c r="A27" s="13" t="s">
        <v>37</v>
      </c>
      <c r="B27" s="3" t="s">
        <v>289</v>
      </c>
      <c r="C27" s="7">
        <v>6.7632850241545903E-2</v>
      </c>
      <c r="D27" s="7">
        <v>9.1594827586206906E-2</v>
      </c>
      <c r="E27" s="7">
        <v>5.9615384615384598E-2</v>
      </c>
      <c r="F27" s="7">
        <v>7.5418060200668893E-2</v>
      </c>
      <c r="G27" s="7">
        <v>8.5049833887043194E-2</v>
      </c>
    </row>
    <row r="28" spans="1:7" x14ac:dyDescent="0.25">
      <c r="A28" s="13" t="s">
        <v>38</v>
      </c>
      <c r="B28" s="3" t="s">
        <v>289</v>
      </c>
      <c r="C28" s="7">
        <v>2.99586776859504E-2</v>
      </c>
      <c r="D28" s="7">
        <v>9.4200000000000006E-2</v>
      </c>
      <c r="E28" s="7">
        <v>4.3459119496855297E-2</v>
      </c>
      <c r="F28" s="7">
        <v>6.6041666666666707E-2</v>
      </c>
      <c r="G28" s="7">
        <v>8.38235294117647E-2</v>
      </c>
    </row>
    <row r="29" spans="1:7" x14ac:dyDescent="0.25">
      <c r="A29" s="13" t="s">
        <v>39</v>
      </c>
      <c r="B29" s="3" t="s">
        <v>289</v>
      </c>
      <c r="C29" s="7">
        <v>3.0634920634920602E-2</v>
      </c>
      <c r="D29" s="7">
        <v>9.2307692307692299E-2</v>
      </c>
      <c r="E29" s="7">
        <v>4.4158415841584198E-2</v>
      </c>
      <c r="F29" s="7">
        <v>6.5609756097561006E-2</v>
      </c>
      <c r="G29" s="7">
        <v>8.4339080459770094E-2</v>
      </c>
    </row>
    <row r="30" spans="1:7" x14ac:dyDescent="0.25">
      <c r="A30" s="13" t="s">
        <v>40</v>
      </c>
      <c r="B30" s="3" t="s">
        <v>289</v>
      </c>
      <c r="C30" s="7">
        <v>0.108125</v>
      </c>
      <c r="D30" s="7">
        <v>0.15398936170212801</v>
      </c>
      <c r="E30" s="7">
        <v>0.153198653198653</v>
      </c>
      <c r="F30" s="7">
        <v>0.14896551724137899</v>
      </c>
      <c r="G30" s="7">
        <v>0.15503875968992201</v>
      </c>
    </row>
  </sheetData>
  <sheetProtection algorithmName="SHA-512" hashValue="kZktlRTNszfxv7It/JJR7lwxQL1S9MgwUM8SGVg/2crtobes5zPDz7mgLWe52tO1SnsoQlkSFoxqP1A5H/UpmA==" saltValue="X9lxLrced8c6AhEkQveZag==" spinCount="100000" sheet="1" objects="1" scenarios="1" formatColumns="0" formatRows="0" autoFilter="0"/>
  <autoFilter ref="A1:G30" xr:uid="{00000000-0009-0000-0000-000011000000}"/>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dimension ref="A1:AK30"/>
  <sheetViews>
    <sheetView zoomScale="90" zoomScaleNormal="90" workbookViewId="0">
      <pane xSplit="2" ySplit="1" topLeftCell="C2" activePane="bottomRight" state="frozen"/>
      <selection pane="topRight" activeCell="C1" sqref="C1"/>
      <selection pane="bottomLeft" activeCell="A2" sqref="A2"/>
      <selection pane="bottomRight" activeCell="C2" sqref="C2"/>
    </sheetView>
  </sheetViews>
  <sheetFormatPr defaultColWidth="9.140625" defaultRowHeight="15" x14ac:dyDescent="0.25"/>
  <cols>
    <col min="1" max="1" width="15.42578125" style="3" bestFit="1" customWidth="1"/>
    <col min="2" max="2" width="11.5703125" style="3" bestFit="1" customWidth="1"/>
    <col min="3" max="3" width="10.28515625" style="3" bestFit="1" customWidth="1"/>
    <col min="4" max="4" width="9" style="3" bestFit="1" customWidth="1"/>
    <col min="5" max="5" width="9" style="4" bestFit="1" customWidth="1"/>
    <col min="6" max="6" width="8.7109375" style="4" bestFit="1" customWidth="1"/>
    <col min="7" max="8" width="9" style="4" bestFit="1" customWidth="1"/>
    <col min="9" max="9" width="9.85546875" style="4" bestFit="1" customWidth="1"/>
    <col min="10" max="10" width="11" style="4" bestFit="1" customWidth="1"/>
    <col min="11" max="11" width="9.7109375" style="4" bestFit="1" customWidth="1"/>
    <col min="12" max="14" width="10.7109375" style="4" bestFit="1" customWidth="1"/>
    <col min="15" max="15" width="11.85546875" style="4" bestFit="1" customWidth="1"/>
    <col min="16" max="16" width="9.7109375" style="1" customWidth="1"/>
    <col min="17" max="17" width="9.7109375" style="1" bestFit="1" customWidth="1"/>
    <col min="18" max="19" width="10.7109375" style="1" bestFit="1" customWidth="1"/>
    <col min="20" max="20" width="11.85546875" style="1" bestFit="1" customWidth="1"/>
    <col min="21" max="21" width="9.85546875" style="1" bestFit="1" customWidth="1"/>
    <col min="22" max="22" width="9.7109375" style="1" bestFit="1" customWidth="1"/>
    <col min="23" max="24" width="10.7109375" style="1" bestFit="1" customWidth="1"/>
    <col min="25" max="25" width="11.85546875" style="1" bestFit="1" customWidth="1"/>
    <col min="26" max="26" width="10.42578125" style="1" customWidth="1"/>
    <col min="27" max="27" width="10.28515625" style="1" customWidth="1"/>
    <col min="28" max="29" width="11.28515625" style="1" customWidth="1"/>
    <col min="30" max="30" width="12.42578125" style="1" bestFit="1" customWidth="1"/>
    <col min="31" max="31" width="10" style="1" bestFit="1" customWidth="1"/>
    <col min="32" max="33" width="9" style="1" bestFit="1" customWidth="1"/>
    <col min="34" max="34" width="9.5703125" style="1" bestFit="1" customWidth="1"/>
    <col min="35" max="35" width="9" style="1" bestFit="1" customWidth="1"/>
    <col min="36" max="36" width="13.28515625" style="1" bestFit="1" customWidth="1"/>
    <col min="37" max="37" width="6.140625" style="2" bestFit="1" customWidth="1"/>
    <col min="38" max="16384" width="9.140625" style="2"/>
  </cols>
  <sheetData>
    <row r="1" spans="1:37" s="6" customFormat="1" x14ac:dyDescent="0.25">
      <c r="A1" s="75" t="s">
        <v>51</v>
      </c>
      <c r="B1" s="75" t="s">
        <v>274</v>
      </c>
      <c r="C1" s="75" t="s">
        <v>278</v>
      </c>
      <c r="D1" s="76" t="s">
        <v>0</v>
      </c>
      <c r="E1" s="76" t="s">
        <v>1</v>
      </c>
      <c r="F1" s="76" t="s">
        <v>2</v>
      </c>
      <c r="G1" s="77" t="s">
        <v>3</v>
      </c>
      <c r="H1" s="76" t="s">
        <v>4</v>
      </c>
      <c r="I1" s="76" t="s">
        <v>5</v>
      </c>
      <c r="J1" s="76" t="s">
        <v>6</v>
      </c>
      <c r="K1" s="76" t="s">
        <v>7</v>
      </c>
      <c r="L1" s="76" t="s">
        <v>8</v>
      </c>
      <c r="M1" s="76" t="s">
        <v>9</v>
      </c>
      <c r="N1" s="76" t="s">
        <v>10</v>
      </c>
      <c r="O1" s="76" t="s">
        <v>11</v>
      </c>
      <c r="P1" s="93" t="s">
        <v>41</v>
      </c>
      <c r="Q1" s="93" t="s">
        <v>42</v>
      </c>
      <c r="R1" s="93" t="s">
        <v>43</v>
      </c>
      <c r="S1" s="93" t="s">
        <v>44</v>
      </c>
      <c r="T1" s="93" t="s">
        <v>45</v>
      </c>
      <c r="U1" s="93" t="s">
        <v>46</v>
      </c>
      <c r="V1" s="93" t="s">
        <v>47</v>
      </c>
      <c r="W1" s="93" t="s">
        <v>48</v>
      </c>
      <c r="X1" s="93" t="s">
        <v>49</v>
      </c>
      <c r="Y1" s="93" t="s">
        <v>50</v>
      </c>
      <c r="Z1" s="77" t="s">
        <v>279</v>
      </c>
      <c r="AA1" s="77" t="s">
        <v>280</v>
      </c>
      <c r="AB1" s="77" t="s">
        <v>281</v>
      </c>
      <c r="AC1" s="77" t="s">
        <v>282</v>
      </c>
      <c r="AD1" s="77" t="s">
        <v>283</v>
      </c>
      <c r="AE1" s="78" t="s">
        <v>269</v>
      </c>
      <c r="AF1" s="78" t="s">
        <v>270</v>
      </c>
      <c r="AG1" s="79" t="s">
        <v>86</v>
      </c>
      <c r="AH1" s="79" t="s">
        <v>271</v>
      </c>
      <c r="AI1" s="79" t="s">
        <v>272</v>
      </c>
      <c r="AJ1" s="80" t="s">
        <v>276</v>
      </c>
      <c r="AK1" s="80" t="s">
        <v>277</v>
      </c>
    </row>
    <row r="2" spans="1:37" x14ac:dyDescent="0.25">
      <c r="A2" s="49" t="s">
        <v>12</v>
      </c>
      <c r="B2" s="50" t="s">
        <v>289</v>
      </c>
      <c r="C2" s="50"/>
      <c r="D2" s="48">
        <v>4.8839999999999999E-10</v>
      </c>
      <c r="E2" s="48">
        <v>2.7158000000000001E-10</v>
      </c>
      <c r="F2" s="48">
        <v>4.1217381359999998E-8</v>
      </c>
      <c r="G2" s="48">
        <v>2.8564E-8</v>
      </c>
      <c r="H2" s="48">
        <v>1.8907E-10</v>
      </c>
      <c r="I2" s="48">
        <v>9.0279999999999997E-11</v>
      </c>
      <c r="J2" s="48">
        <v>5.1492535920000001E-11</v>
      </c>
      <c r="K2" s="48">
        <v>1.202660136E-8</v>
      </c>
      <c r="L2" s="48">
        <v>1.1407756824E-13</v>
      </c>
      <c r="M2" s="48">
        <v>1.1545537305600001E-8</v>
      </c>
      <c r="N2" s="48">
        <v>2.9891358720000003E-8</v>
      </c>
      <c r="O2" s="48">
        <v>4.0166513280000001E-8</v>
      </c>
      <c r="P2" s="94">
        <v>0.98115942028985503</v>
      </c>
      <c r="Q2" s="94">
        <v>0.94192634560906496</v>
      </c>
      <c r="R2" s="94">
        <v>0.931707317073171</v>
      </c>
      <c r="S2" s="94">
        <v>0.91452991452991494</v>
      </c>
      <c r="T2" s="94">
        <v>0.91685393258426995</v>
      </c>
      <c r="U2" s="94">
        <v>1.1999999999999999E-3</v>
      </c>
      <c r="V2" s="94">
        <v>0.02</v>
      </c>
      <c r="W2" s="94">
        <v>0.01</v>
      </c>
      <c r="X2" s="94">
        <v>1.4999999999999999E-2</v>
      </c>
      <c r="Y2" s="94">
        <v>1.7999999999999999E-2</v>
      </c>
      <c r="Z2" s="81">
        <f t="shared" ref="Z2:AD2" si="0">0.4*U2</f>
        <v>4.7999999999999996E-4</v>
      </c>
      <c r="AA2" s="81">
        <f t="shared" si="0"/>
        <v>8.0000000000000002E-3</v>
      </c>
      <c r="AB2" s="81">
        <f t="shared" si="0"/>
        <v>4.0000000000000001E-3</v>
      </c>
      <c r="AC2" s="81">
        <f t="shared" si="0"/>
        <v>6.0000000000000001E-3</v>
      </c>
      <c r="AD2" s="81">
        <f t="shared" si="0"/>
        <v>7.1999999999999998E-3</v>
      </c>
      <c r="AE2" s="48">
        <v>2.7397260273972601E-2</v>
      </c>
      <c r="AF2" s="48">
        <v>225</v>
      </c>
      <c r="AG2" s="48">
        <v>1700</v>
      </c>
      <c r="AH2" s="48">
        <v>5.0000000000000001E-4</v>
      </c>
      <c r="AI2" s="48">
        <v>25.294499999999999</v>
      </c>
      <c r="AJ2" s="50">
        <v>15</v>
      </c>
      <c r="AK2" s="50">
        <v>225</v>
      </c>
    </row>
    <row r="3" spans="1:37" x14ac:dyDescent="0.25">
      <c r="A3" s="51" t="s">
        <v>13</v>
      </c>
      <c r="B3" s="50" t="s">
        <v>275</v>
      </c>
      <c r="C3" s="50"/>
      <c r="D3" s="48">
        <v>1.8425999999999999E-10</v>
      </c>
      <c r="E3" s="48">
        <v>1.3357000000000001E-10</v>
      </c>
      <c r="F3" s="48">
        <v>2.767285944E-8</v>
      </c>
      <c r="G3" s="48">
        <v>3.7739999999999999E-8</v>
      </c>
      <c r="H3" s="48">
        <v>1.036E-10</v>
      </c>
      <c r="I3" s="48">
        <v>9.1019999999999999E-11</v>
      </c>
      <c r="J3" s="48">
        <v>5.8031270640000001E-11</v>
      </c>
      <c r="K3" s="48">
        <v>1.86820992E-8</v>
      </c>
      <c r="L3" s="48">
        <v>1.319423256E-13</v>
      </c>
      <c r="M3" s="48">
        <v>1.3754695536000001E-8</v>
      </c>
      <c r="N3" s="48">
        <v>2.5781296896000001E-8</v>
      </c>
      <c r="O3" s="48">
        <v>2.767285944E-8</v>
      </c>
      <c r="P3" s="94">
        <v>0.98581560283687897</v>
      </c>
      <c r="Q3" s="94">
        <v>0.95726495726495697</v>
      </c>
      <c r="R3" s="94">
        <v>0.93096234309623405</v>
      </c>
      <c r="S3" s="94">
        <v>0.90049751243781095</v>
      </c>
      <c r="T3" s="94">
        <v>0.87357630979498901</v>
      </c>
      <c r="U3" s="94">
        <v>6.7000000000000002E-5</v>
      </c>
      <c r="V3" s="94">
        <v>1.4999999999999999E-4</v>
      </c>
      <c r="W3" s="94">
        <v>1.1E-4</v>
      </c>
      <c r="X3" s="94">
        <v>1.4999999999999999E-4</v>
      </c>
      <c r="Y3" s="94">
        <v>1.4999999999999999E-4</v>
      </c>
      <c r="Z3" s="81">
        <f t="shared" ref="Z3:AD3" si="1">0.4*U3</f>
        <v>2.6800000000000001E-5</v>
      </c>
      <c r="AA3" s="81">
        <f t="shared" si="1"/>
        <v>5.9999999999999995E-5</v>
      </c>
      <c r="AB3" s="81">
        <f t="shared" si="1"/>
        <v>4.4000000000000006E-5</v>
      </c>
      <c r="AC3" s="81">
        <f t="shared" si="1"/>
        <v>5.9999999999999995E-5</v>
      </c>
      <c r="AD3" s="81">
        <f t="shared" si="1"/>
        <v>5.9999999999999995E-5</v>
      </c>
      <c r="AE3" s="48">
        <v>432.2</v>
      </c>
      <c r="AF3" s="48">
        <v>241</v>
      </c>
      <c r="AG3" s="48">
        <v>4</v>
      </c>
      <c r="AH3" s="48">
        <v>5.0000000000000001E-4</v>
      </c>
      <c r="AI3" s="48">
        <v>1.60342434058306E-3</v>
      </c>
      <c r="AJ3" s="50">
        <v>15</v>
      </c>
      <c r="AK3" s="50">
        <v>241</v>
      </c>
    </row>
    <row r="4" spans="1:37" x14ac:dyDescent="0.25">
      <c r="A4" s="49" t="s">
        <v>14</v>
      </c>
      <c r="B4" s="50" t="s">
        <v>289</v>
      </c>
      <c r="C4" s="50"/>
      <c r="D4" s="48">
        <v>0</v>
      </c>
      <c r="E4" s="48">
        <v>0</v>
      </c>
      <c r="F4" s="48">
        <v>9.364402224000001E-10</v>
      </c>
      <c r="G4" s="48">
        <v>0</v>
      </c>
      <c r="H4" s="48">
        <v>0</v>
      </c>
      <c r="I4" s="48">
        <v>0</v>
      </c>
      <c r="J4" s="48">
        <v>9.7613968320000008E-13</v>
      </c>
      <c r="K4" s="48">
        <v>2.125088784E-10</v>
      </c>
      <c r="L4" s="48">
        <v>2.1367650959999998E-15</v>
      </c>
      <c r="M4" s="48">
        <v>2.1671235072E-10</v>
      </c>
      <c r="N4" s="48">
        <v>5.9782717440000002E-10</v>
      </c>
      <c r="O4" s="48">
        <v>8.7805866240000002E-10</v>
      </c>
      <c r="P4" s="94">
        <v>0.914201183431953</v>
      </c>
      <c r="Q4" s="94">
        <v>0.85714285714285698</v>
      </c>
      <c r="R4" s="94">
        <v>0.90909090909090895</v>
      </c>
      <c r="S4" s="94">
        <v>0.91269841269841301</v>
      </c>
      <c r="T4" s="94">
        <v>0.89869753979739497</v>
      </c>
      <c r="U4" s="94">
        <v>1.4E-2</v>
      </c>
      <c r="V4" s="94">
        <v>4.4999999999999998E-2</v>
      </c>
      <c r="W4" s="94">
        <v>2.5999999999999999E-2</v>
      </c>
      <c r="X4" s="94">
        <v>3.5999999999999997E-2</v>
      </c>
      <c r="Y4" s="94">
        <v>4.2000000000000003E-2</v>
      </c>
      <c r="Z4" s="81">
        <f t="shared" ref="Z4:AD6" si="2">0.4*U4</f>
        <v>5.6000000000000008E-3</v>
      </c>
      <c r="AA4" s="81">
        <f t="shared" si="2"/>
        <v>1.7999999999999999E-2</v>
      </c>
      <c r="AB4" s="81">
        <f t="shared" si="2"/>
        <v>1.04E-2</v>
      </c>
      <c r="AC4" s="81">
        <f t="shared" si="2"/>
        <v>1.44E-2</v>
      </c>
      <c r="AD4" s="81">
        <f t="shared" si="2"/>
        <v>1.6800000000000002E-2</v>
      </c>
      <c r="AE4" s="48">
        <v>1.0242262810756E-9</v>
      </c>
      <c r="AF4" s="48">
        <v>217</v>
      </c>
      <c r="AG4" s="48">
        <v>10</v>
      </c>
      <c r="AH4" s="48"/>
      <c r="AI4" s="48">
        <v>676608297.21362197</v>
      </c>
      <c r="AJ4" s="50">
        <v>15</v>
      </c>
      <c r="AK4" s="50">
        <v>217</v>
      </c>
    </row>
    <row r="5" spans="1:37" x14ac:dyDescent="0.25">
      <c r="A5" s="49" t="s">
        <v>15</v>
      </c>
      <c r="B5" s="50" t="s">
        <v>289</v>
      </c>
      <c r="C5" s="50"/>
      <c r="D5" s="48">
        <v>0</v>
      </c>
      <c r="E5" s="48">
        <v>0</v>
      </c>
      <c r="F5" s="48">
        <v>2.7439333200000001E-11</v>
      </c>
      <c r="G5" s="48">
        <v>0</v>
      </c>
      <c r="H5" s="48">
        <v>0</v>
      </c>
      <c r="I5" s="48">
        <v>0</v>
      </c>
      <c r="J5" s="48">
        <v>3.0825463680000002E-14</v>
      </c>
      <c r="K5" s="48">
        <v>1.9966493520000001E-11</v>
      </c>
      <c r="L5" s="48">
        <v>5.1259009680000003E-17</v>
      </c>
      <c r="M5" s="48">
        <v>8.3882625408000002E-12</v>
      </c>
      <c r="N5" s="48">
        <v>1.8436896648E-11</v>
      </c>
      <c r="O5" s="48">
        <v>2.5571123280000002E-11</v>
      </c>
      <c r="P5" s="94">
        <v>0.9</v>
      </c>
      <c r="Q5" s="94">
        <v>0.9</v>
      </c>
      <c r="R5" s="94">
        <v>0.9</v>
      </c>
      <c r="S5" s="94">
        <v>0.9</v>
      </c>
      <c r="T5" s="94">
        <v>0.9</v>
      </c>
      <c r="U5" s="94">
        <v>0</v>
      </c>
      <c r="V5" s="94">
        <v>0</v>
      </c>
      <c r="W5" s="94">
        <v>0</v>
      </c>
      <c r="X5" s="94">
        <v>0</v>
      </c>
      <c r="Y5" s="94">
        <v>0</v>
      </c>
      <c r="Z5" s="81">
        <f t="shared" si="2"/>
        <v>0</v>
      </c>
      <c r="AA5" s="81">
        <f t="shared" si="2"/>
        <v>0</v>
      </c>
      <c r="AB5" s="81">
        <f t="shared" si="2"/>
        <v>0</v>
      </c>
      <c r="AC5" s="81">
        <f t="shared" si="2"/>
        <v>0</v>
      </c>
      <c r="AD5" s="81">
        <f t="shared" si="2"/>
        <v>0</v>
      </c>
      <c r="AE5" s="48">
        <v>4.7564687975646899E-8</v>
      </c>
      <c r="AF5" s="48">
        <v>218</v>
      </c>
      <c r="AG5" s="48">
        <v>10</v>
      </c>
      <c r="AH5" s="48"/>
      <c r="AI5" s="48">
        <v>14569632</v>
      </c>
      <c r="AJ5" s="50">
        <v>15</v>
      </c>
      <c r="AK5" s="50">
        <v>218</v>
      </c>
    </row>
    <row r="6" spans="1:37" x14ac:dyDescent="0.25">
      <c r="A6" s="49" t="s">
        <v>16</v>
      </c>
      <c r="B6" s="50" t="s">
        <v>289</v>
      </c>
      <c r="C6" s="50"/>
      <c r="D6" s="48">
        <v>0</v>
      </c>
      <c r="E6" s="48">
        <v>0</v>
      </c>
      <c r="F6" s="48">
        <v>2.6855517600000001E-6</v>
      </c>
      <c r="G6" s="48">
        <v>0</v>
      </c>
      <c r="H6" s="48">
        <v>0</v>
      </c>
      <c r="I6" s="48">
        <v>0</v>
      </c>
      <c r="J6" s="48">
        <v>2.5220833919999999E-9</v>
      </c>
      <c r="K6" s="48">
        <v>5.3594272079999995E-7</v>
      </c>
      <c r="L6" s="48">
        <v>5.4645140159999999E-12</v>
      </c>
      <c r="M6" s="48">
        <v>5.4738550656000004E-7</v>
      </c>
      <c r="N6" s="48">
        <v>1.5436084463999999E-6</v>
      </c>
      <c r="O6" s="48">
        <v>2.3936439600000001E-6</v>
      </c>
      <c r="P6" s="94">
        <v>0.88636363636363602</v>
      </c>
      <c r="Q6" s="94">
        <v>0.91519434628975305</v>
      </c>
      <c r="R6" s="94">
        <v>0.93487394957983205</v>
      </c>
      <c r="S6" s="94">
        <v>0.91752577319587603</v>
      </c>
      <c r="T6" s="94">
        <v>0.95541401273885396</v>
      </c>
      <c r="U6" s="94">
        <v>2.7E-2</v>
      </c>
      <c r="V6" s="94">
        <v>8.2000000000000003E-2</v>
      </c>
      <c r="W6" s="94">
        <v>4.2999999999999997E-2</v>
      </c>
      <c r="X6" s="94">
        <v>6.2E-2</v>
      </c>
      <c r="Y6" s="94">
        <v>7.1999999999999995E-2</v>
      </c>
      <c r="Z6" s="81">
        <f t="shared" si="2"/>
        <v>1.0800000000000001E-2</v>
      </c>
      <c r="AA6" s="81">
        <f t="shared" si="2"/>
        <v>3.2800000000000003E-2</v>
      </c>
      <c r="AB6" s="81">
        <f t="shared" si="2"/>
        <v>1.72E-2</v>
      </c>
      <c r="AC6" s="81">
        <f t="shared" si="2"/>
        <v>2.4800000000000003E-2</v>
      </c>
      <c r="AD6" s="81">
        <f t="shared" si="2"/>
        <v>2.8799999999999999E-2</v>
      </c>
      <c r="AE6" s="48">
        <v>4.8554033485540298E-6</v>
      </c>
      <c r="AF6" s="48">
        <v>137</v>
      </c>
      <c r="AG6" s="48">
        <v>0.4</v>
      </c>
      <c r="AH6" s="48"/>
      <c r="AI6" s="48">
        <v>142727.58620689699</v>
      </c>
      <c r="AJ6" s="50"/>
      <c r="AK6" s="50">
        <v>137</v>
      </c>
    </row>
    <row r="7" spans="1:37" x14ac:dyDescent="0.25">
      <c r="A7" s="49" t="s">
        <v>17</v>
      </c>
      <c r="B7" s="50" t="s">
        <v>289</v>
      </c>
      <c r="C7" s="50"/>
      <c r="D7" s="48">
        <v>2.4013E-11</v>
      </c>
      <c r="E7" s="48">
        <v>1.3023999999999999E-11</v>
      </c>
      <c r="F7" s="48">
        <v>2.7672859440000002E-9</v>
      </c>
      <c r="G7" s="48">
        <v>4.5510000000000001E-10</v>
      </c>
      <c r="H7" s="48">
        <v>8.9170000000000001E-12</v>
      </c>
      <c r="I7" s="48">
        <v>3.7369999999999999E-12</v>
      </c>
      <c r="J7" s="48">
        <v>5.2893693360000002E-12</v>
      </c>
      <c r="K7" s="48">
        <v>4.8223168560000003E-9</v>
      </c>
      <c r="L7" s="48">
        <v>7.82312904E-15</v>
      </c>
      <c r="M7" s="48">
        <v>9.5465526912000009E-10</v>
      </c>
      <c r="N7" s="48">
        <v>2.0550309120000001E-9</v>
      </c>
      <c r="O7" s="48">
        <v>2.6855517600000001E-9</v>
      </c>
      <c r="P7" s="94">
        <v>0.90997566909975702</v>
      </c>
      <c r="Q7" s="94">
        <v>0.867088607594937</v>
      </c>
      <c r="R7" s="94">
        <v>0.90839694656488501</v>
      </c>
      <c r="S7" s="94">
        <v>0.92993630573248398</v>
      </c>
      <c r="T7" s="94">
        <v>0.87429854096520798</v>
      </c>
      <c r="U7" s="94">
        <v>1.4E-2</v>
      </c>
      <c r="V7" s="94">
        <v>0.04</v>
      </c>
      <c r="W7" s="94">
        <v>2.4E-2</v>
      </c>
      <c r="X7" s="94">
        <v>3.2000000000000001E-2</v>
      </c>
      <c r="Y7" s="94">
        <v>3.6999999999999998E-2</v>
      </c>
      <c r="Z7" s="81">
        <f t="shared" ref="Z7:AD9" si="3">0.4*U7</f>
        <v>5.6000000000000008E-3</v>
      </c>
      <c r="AA7" s="81">
        <f t="shared" si="3"/>
        <v>1.6E-2</v>
      </c>
      <c r="AB7" s="81">
        <f t="shared" si="3"/>
        <v>9.6000000000000009E-3</v>
      </c>
      <c r="AC7" s="81">
        <f t="shared" si="3"/>
        <v>1.2800000000000001E-2</v>
      </c>
      <c r="AD7" s="81">
        <f t="shared" si="3"/>
        <v>1.4800000000000001E-2</v>
      </c>
      <c r="AE7" s="48">
        <v>1.37342465753425E-2</v>
      </c>
      <c r="AF7" s="48">
        <v>210</v>
      </c>
      <c r="AG7" s="48">
        <v>480</v>
      </c>
      <c r="AH7" s="48">
        <v>0.05</v>
      </c>
      <c r="AI7" s="48">
        <v>50.457809694793497</v>
      </c>
      <c r="AJ7" s="50">
        <v>15</v>
      </c>
      <c r="AK7" s="50">
        <v>210</v>
      </c>
    </row>
    <row r="8" spans="1:37" x14ac:dyDescent="0.25">
      <c r="A8" s="49" t="s">
        <v>18</v>
      </c>
      <c r="B8" s="50" t="s">
        <v>289</v>
      </c>
      <c r="C8" s="50"/>
      <c r="D8" s="48">
        <v>1.1914E-12</v>
      </c>
      <c r="E8" s="48">
        <v>7.1780000000000003E-13</v>
      </c>
      <c r="F8" s="48">
        <v>5.4294850800000002E-7</v>
      </c>
      <c r="G8" s="48">
        <v>7.4000000000000003E-11</v>
      </c>
      <c r="H8" s="48">
        <v>5.0689999999999999E-13</v>
      </c>
      <c r="I8" s="48">
        <v>3.1709000000000002E-13</v>
      </c>
      <c r="J8" s="48">
        <v>5.3243982719999998E-10</v>
      </c>
      <c r="K8" s="48">
        <v>1.2026601359999999E-7</v>
      </c>
      <c r="L8" s="48">
        <v>1.1559548879999999E-12</v>
      </c>
      <c r="M8" s="48">
        <v>1.1769722496E-7</v>
      </c>
      <c r="N8" s="48">
        <v>3.2880494591999999E-7</v>
      </c>
      <c r="O8" s="48">
        <v>4.9741089120000005E-7</v>
      </c>
      <c r="P8" s="94">
        <v>0.88690476190476197</v>
      </c>
      <c r="Q8" s="94">
        <v>0.97311827956989205</v>
      </c>
      <c r="R8" s="94">
        <v>0.93904761904761902</v>
      </c>
      <c r="S8" s="94">
        <v>0.93809523809523798</v>
      </c>
      <c r="T8" s="94">
        <v>0.89295774647887305</v>
      </c>
      <c r="U8" s="94">
        <v>0.02</v>
      </c>
      <c r="V8" s="94">
        <v>6.2E-2</v>
      </c>
      <c r="W8" s="94">
        <v>3.5000000000000003E-2</v>
      </c>
      <c r="X8" s="94">
        <v>4.8000000000000001E-2</v>
      </c>
      <c r="Y8" s="94">
        <v>5.5E-2</v>
      </c>
      <c r="Z8" s="81">
        <f t="shared" si="3"/>
        <v>8.0000000000000002E-3</v>
      </c>
      <c r="AA8" s="81">
        <f t="shared" si="3"/>
        <v>2.4800000000000003E-2</v>
      </c>
      <c r="AB8" s="81">
        <f t="shared" si="3"/>
        <v>1.4000000000000002E-2</v>
      </c>
      <c r="AC8" s="81">
        <f t="shared" si="3"/>
        <v>1.9200000000000002E-2</v>
      </c>
      <c r="AD8" s="81">
        <f t="shared" si="3"/>
        <v>2.2000000000000002E-2</v>
      </c>
      <c r="AE8" s="48">
        <v>8.6738964992389594E-5</v>
      </c>
      <c r="AF8" s="48">
        <v>213</v>
      </c>
      <c r="AG8" s="48">
        <v>480</v>
      </c>
      <c r="AH8" s="48">
        <v>0.05</v>
      </c>
      <c r="AI8" s="48">
        <v>7989.4889230094304</v>
      </c>
      <c r="AJ8" s="50">
        <v>15</v>
      </c>
      <c r="AK8" s="50">
        <v>213</v>
      </c>
    </row>
    <row r="9" spans="1:37" x14ac:dyDescent="0.25">
      <c r="A9" s="49" t="s">
        <v>19</v>
      </c>
      <c r="B9" s="50" t="s">
        <v>289</v>
      </c>
      <c r="C9" s="50"/>
      <c r="D9" s="48">
        <v>4.0330000000000001E-13</v>
      </c>
      <c r="E9" s="48">
        <v>2.6529000000000002E-13</v>
      </c>
      <c r="F9" s="48">
        <v>7.3444002480000004E-6</v>
      </c>
      <c r="G9" s="48">
        <v>6.1799999999999996E-11</v>
      </c>
      <c r="H9" s="48">
        <v>1.9202999999999999E-13</v>
      </c>
      <c r="I9" s="48">
        <v>1.4726E-13</v>
      </c>
      <c r="J9" s="48">
        <v>6.6905267759999996E-9</v>
      </c>
      <c r="K9" s="48">
        <v>1.2843943200000001E-6</v>
      </c>
      <c r="L9" s="48">
        <v>1.4478626879999999E-11</v>
      </c>
      <c r="M9" s="48">
        <v>1.3264290432000001E-6</v>
      </c>
      <c r="N9" s="48">
        <v>3.8111482368000001E-6</v>
      </c>
      <c r="O9" s="48">
        <v>6.1417401119999998E-6</v>
      </c>
      <c r="P9" s="94">
        <v>0.86585365853658502</v>
      </c>
      <c r="Q9" s="94">
        <v>0.94236311239193105</v>
      </c>
      <c r="R9" s="94">
        <v>0.934579439252336</v>
      </c>
      <c r="S9" s="94">
        <v>0.94453004622496095</v>
      </c>
      <c r="T9" s="94">
        <v>0.9375</v>
      </c>
      <c r="U9" s="94">
        <v>3.9E-2</v>
      </c>
      <c r="V9" s="94">
        <v>0.13</v>
      </c>
      <c r="W9" s="94">
        <v>6.4000000000000001E-2</v>
      </c>
      <c r="X9" s="94">
        <v>0.09</v>
      </c>
      <c r="Y9" s="94">
        <v>0.11</v>
      </c>
      <c r="Z9" s="81">
        <f t="shared" si="3"/>
        <v>1.5600000000000001E-2</v>
      </c>
      <c r="AA9" s="81">
        <f t="shared" si="3"/>
        <v>5.2000000000000005E-2</v>
      </c>
      <c r="AB9" s="81">
        <f t="shared" si="3"/>
        <v>2.5600000000000001E-2</v>
      </c>
      <c r="AC9" s="81">
        <f t="shared" si="3"/>
        <v>3.5999999999999997E-2</v>
      </c>
      <c r="AD9" s="81">
        <f t="shared" si="3"/>
        <v>4.4000000000000004E-2</v>
      </c>
      <c r="AE9" s="48">
        <v>3.7861491628614902E-5</v>
      </c>
      <c r="AF9" s="48">
        <v>214</v>
      </c>
      <c r="AG9" s="48">
        <v>480</v>
      </c>
      <c r="AH9" s="48">
        <v>0.05</v>
      </c>
      <c r="AI9" s="48">
        <v>18303.557788944701</v>
      </c>
      <c r="AJ9" s="50">
        <v>15</v>
      </c>
      <c r="AK9" s="50">
        <v>214</v>
      </c>
    </row>
    <row r="10" spans="1:37" x14ac:dyDescent="0.25">
      <c r="A10" s="51" t="s">
        <v>20</v>
      </c>
      <c r="B10" s="50" t="s">
        <v>275</v>
      </c>
      <c r="C10" s="50"/>
      <c r="D10" s="48">
        <v>4.2549999999999998E-11</v>
      </c>
      <c r="E10" s="48">
        <v>3.7370000000000003E-11</v>
      </c>
      <c r="F10" s="48">
        <v>5.5228955760000004E-10</v>
      </c>
      <c r="G10" s="48">
        <v>1.1248E-10</v>
      </c>
      <c r="H10" s="48">
        <v>3.0487999999999999E-11</v>
      </c>
      <c r="I10" s="48">
        <v>3.1782999999999999E-11</v>
      </c>
      <c r="J10" s="48">
        <v>1.6230073680000001E-12</v>
      </c>
      <c r="K10" s="48">
        <v>5.5345718879999995E-10</v>
      </c>
      <c r="L10" s="48">
        <v>2.2418519040000001E-15</v>
      </c>
      <c r="M10" s="48">
        <v>1.9242562176E-10</v>
      </c>
      <c r="N10" s="48">
        <v>4.2408365184000002E-10</v>
      </c>
      <c r="O10" s="48">
        <v>5.4178087679999995E-10</v>
      </c>
      <c r="P10" s="94">
        <v>0.90521327014218</v>
      </c>
      <c r="Q10" s="94">
        <v>0.85365853658536595</v>
      </c>
      <c r="R10" s="94">
        <v>0.91304347826086996</v>
      </c>
      <c r="S10" s="94">
        <v>0.92797118847538995</v>
      </c>
      <c r="T10" s="94">
        <v>0.87368421052631595</v>
      </c>
      <c r="U10" s="94">
        <v>2.7E-2</v>
      </c>
      <c r="V10" s="94">
        <v>7.4999999999999997E-2</v>
      </c>
      <c r="W10" s="94">
        <v>4.4999999999999998E-2</v>
      </c>
      <c r="X10" s="94">
        <v>6.2E-2</v>
      </c>
      <c r="Y10" s="94">
        <v>7.1999999999999995E-2</v>
      </c>
      <c r="Z10" s="81">
        <f t="shared" ref="Z10:AD10" si="4">0.4*U10</f>
        <v>1.0800000000000001E-2</v>
      </c>
      <c r="AA10" s="81">
        <f t="shared" si="4"/>
        <v>0.03</v>
      </c>
      <c r="AB10" s="81">
        <f t="shared" si="4"/>
        <v>1.7999999999999999E-2</v>
      </c>
      <c r="AC10" s="81">
        <f t="shared" si="4"/>
        <v>2.4800000000000003E-2</v>
      </c>
      <c r="AD10" s="81">
        <f t="shared" si="4"/>
        <v>2.8799999999999999E-2</v>
      </c>
      <c r="AE10" s="48">
        <v>30.167100000000001</v>
      </c>
      <c r="AF10" s="48">
        <v>137</v>
      </c>
      <c r="AG10" s="48">
        <v>10</v>
      </c>
      <c r="AH10" s="48">
        <v>1</v>
      </c>
      <c r="AI10" s="48">
        <v>2.2972045705420802E-2</v>
      </c>
      <c r="AJ10" s="50">
        <v>200</v>
      </c>
      <c r="AK10" s="50">
        <v>137</v>
      </c>
    </row>
    <row r="11" spans="1:37" x14ac:dyDescent="0.25">
      <c r="A11" s="49" t="s">
        <v>21</v>
      </c>
      <c r="B11" s="50" t="s">
        <v>289</v>
      </c>
      <c r="C11" s="50"/>
      <c r="D11" s="48">
        <v>0</v>
      </c>
      <c r="E11" s="48">
        <v>0</v>
      </c>
      <c r="F11" s="48">
        <v>1.0485328176E-7</v>
      </c>
      <c r="G11" s="48">
        <v>0</v>
      </c>
      <c r="H11" s="48">
        <v>0</v>
      </c>
      <c r="I11" s="48">
        <v>0</v>
      </c>
      <c r="J11" s="48">
        <v>1.1524519944E-10</v>
      </c>
      <c r="K11" s="48">
        <v>2.5220833919999999E-8</v>
      </c>
      <c r="L11" s="48">
        <v>2.5337597040000002E-13</v>
      </c>
      <c r="M11" s="48">
        <v>2.5594475903999999E-8</v>
      </c>
      <c r="N11" s="48">
        <v>7.0618334975999998E-8</v>
      </c>
      <c r="O11" s="48">
        <v>1.010000988E-7</v>
      </c>
      <c r="P11" s="94">
        <v>0.92753623188405798</v>
      </c>
      <c r="Q11" s="94">
        <v>0.82352941176470595</v>
      </c>
      <c r="R11" s="94">
        <v>0.890625</v>
      </c>
      <c r="S11" s="94">
        <v>0.908496732026144</v>
      </c>
      <c r="T11" s="94">
        <v>0.88038277511961704</v>
      </c>
      <c r="U11" s="94">
        <v>9.7999999999999997E-3</v>
      </c>
      <c r="V11" s="94">
        <v>2.5999999999999999E-2</v>
      </c>
      <c r="W11" s="94">
        <v>1.9E-2</v>
      </c>
      <c r="X11" s="94">
        <v>2.4E-2</v>
      </c>
      <c r="Y11" s="94">
        <v>2.5999999999999999E-2</v>
      </c>
      <c r="Z11" s="81">
        <f t="shared" ref="Z11:AD11" si="5">0.4*U11</f>
        <v>3.9199999999999999E-3</v>
      </c>
      <c r="AA11" s="81">
        <f t="shared" si="5"/>
        <v>1.04E-2</v>
      </c>
      <c r="AB11" s="81">
        <f t="shared" si="5"/>
        <v>7.6E-3</v>
      </c>
      <c r="AC11" s="81">
        <f t="shared" si="5"/>
        <v>9.6000000000000009E-3</v>
      </c>
      <c r="AD11" s="81">
        <f t="shared" si="5"/>
        <v>1.04E-2</v>
      </c>
      <c r="AE11" s="48">
        <v>9.3226788432267907E-6</v>
      </c>
      <c r="AF11" s="48">
        <v>221</v>
      </c>
      <c r="AG11" s="48">
        <v>250</v>
      </c>
      <c r="AH11" s="48"/>
      <c r="AI11" s="48">
        <v>74334.857142857101</v>
      </c>
      <c r="AJ11" s="50">
        <v>15</v>
      </c>
      <c r="AK11" s="50">
        <v>221</v>
      </c>
    </row>
    <row r="12" spans="1:37" x14ac:dyDescent="0.25">
      <c r="A12" s="49" t="s">
        <v>22</v>
      </c>
      <c r="B12" s="50" t="s">
        <v>289</v>
      </c>
      <c r="C12" s="50"/>
      <c r="D12" s="48">
        <v>0</v>
      </c>
      <c r="E12" s="48">
        <v>0</v>
      </c>
      <c r="F12" s="48">
        <v>4.8339931680000002E-7</v>
      </c>
      <c r="G12" s="48">
        <v>0</v>
      </c>
      <c r="H12" s="48">
        <v>0</v>
      </c>
      <c r="I12" s="48">
        <v>0</v>
      </c>
      <c r="J12" s="48">
        <v>4.9624325999999998E-10</v>
      </c>
      <c r="K12" s="48">
        <v>1.1174230584E-7</v>
      </c>
      <c r="L12" s="48">
        <v>1.08005886E-12</v>
      </c>
      <c r="M12" s="48">
        <v>1.0985074329599999E-7</v>
      </c>
      <c r="N12" s="48">
        <v>3.0638642687999998E-7</v>
      </c>
      <c r="O12" s="48">
        <v>4.5187327439999998E-7</v>
      </c>
      <c r="P12" s="94">
        <v>0.90184049079754602</v>
      </c>
      <c r="Q12" s="94">
        <v>0.89376053962900504</v>
      </c>
      <c r="R12" s="94">
        <v>0.92254901960784297</v>
      </c>
      <c r="S12" s="94">
        <v>0.92845528455284598</v>
      </c>
      <c r="T12" s="94">
        <v>0.88405797101449302</v>
      </c>
      <c r="U12" s="94">
        <v>1.6E-2</v>
      </c>
      <c r="V12" s="94">
        <v>0.05</v>
      </c>
      <c r="W12" s="94">
        <v>2.7E-2</v>
      </c>
      <c r="X12" s="94">
        <v>3.6999999999999998E-2</v>
      </c>
      <c r="Y12" s="94">
        <v>4.3999999999999997E-2</v>
      </c>
      <c r="Z12" s="81">
        <f t="shared" ref="Z12:AD12" si="6">0.4*U12</f>
        <v>6.4000000000000003E-3</v>
      </c>
      <c r="AA12" s="81">
        <f t="shared" si="6"/>
        <v>2.0000000000000004E-2</v>
      </c>
      <c r="AB12" s="81">
        <f t="shared" si="6"/>
        <v>1.0800000000000001E-2</v>
      </c>
      <c r="AC12" s="81">
        <f t="shared" si="6"/>
        <v>1.4800000000000001E-2</v>
      </c>
      <c r="AD12" s="81">
        <f t="shared" si="6"/>
        <v>1.7600000000000001E-2</v>
      </c>
      <c r="AE12" s="48">
        <v>1.5506088280060901E-5</v>
      </c>
      <c r="AF12" s="48">
        <v>206</v>
      </c>
      <c r="AG12" s="48">
        <v>6300</v>
      </c>
      <c r="AH12" s="48"/>
      <c r="AI12" s="48">
        <v>44692.122699386498</v>
      </c>
      <c r="AJ12" s="50"/>
      <c r="AK12" s="50">
        <v>206</v>
      </c>
    </row>
    <row r="13" spans="1:37" x14ac:dyDescent="0.25">
      <c r="A13" s="49" t="s">
        <v>23</v>
      </c>
      <c r="B13" s="50" t="s">
        <v>289</v>
      </c>
      <c r="C13" s="50"/>
      <c r="D13" s="48">
        <v>1.2469000000000001E-10</v>
      </c>
      <c r="E13" s="48">
        <v>8.2880000000000002E-11</v>
      </c>
      <c r="F13" s="48">
        <v>5.172606216E-8</v>
      </c>
      <c r="G13" s="48">
        <v>2.8675E-8</v>
      </c>
      <c r="H13" s="48">
        <v>6.2159999999999995E-11</v>
      </c>
      <c r="I13" s="48">
        <v>4.6989999999999997E-11</v>
      </c>
      <c r="J13" s="48">
        <v>7.6713369839999998E-11</v>
      </c>
      <c r="K13" s="48">
        <v>2.1017361600000002E-8</v>
      </c>
      <c r="L13" s="48">
        <v>1.716417864E-13</v>
      </c>
      <c r="M13" s="48">
        <v>1.7350999631999999E-8</v>
      </c>
      <c r="N13" s="48">
        <v>4.1287439231999997E-8</v>
      </c>
      <c r="O13" s="48">
        <v>5.1492535920000002E-8</v>
      </c>
      <c r="P13" s="94">
        <v>0.98969072164948502</v>
      </c>
      <c r="Q13" s="94">
        <v>0.98540145985401395</v>
      </c>
      <c r="R13" s="94">
        <v>0.95212765957446799</v>
      </c>
      <c r="S13" s="94">
        <v>0.93488372093023298</v>
      </c>
      <c r="T13" s="94">
        <v>0.93722466960352402</v>
      </c>
      <c r="U13" s="94">
        <v>2.7999999999999998E-4</v>
      </c>
      <c r="V13" s="94">
        <v>5.8999999999999999E-3</v>
      </c>
      <c r="W13" s="94">
        <v>2.8E-3</v>
      </c>
      <c r="X13" s="94">
        <v>4.7999999999999996E-3</v>
      </c>
      <c r="Y13" s="94">
        <v>5.7999999999999996E-3</v>
      </c>
      <c r="Z13" s="81">
        <f t="shared" ref="Z13:AD13" si="7">0.4*U13</f>
        <v>1.12E-4</v>
      </c>
      <c r="AA13" s="81">
        <f t="shared" si="7"/>
        <v>2.3600000000000001E-3</v>
      </c>
      <c r="AB13" s="81">
        <f t="shared" si="7"/>
        <v>1.1200000000000001E-3</v>
      </c>
      <c r="AC13" s="81">
        <f t="shared" si="7"/>
        <v>1.9199999999999998E-3</v>
      </c>
      <c r="AD13" s="81">
        <f t="shared" si="7"/>
        <v>2.32E-3</v>
      </c>
      <c r="AE13" s="48">
        <v>2144000</v>
      </c>
      <c r="AF13" s="48">
        <v>237</v>
      </c>
      <c r="AG13" s="48">
        <v>0.2</v>
      </c>
      <c r="AH13" s="48">
        <v>5.0000000000000001E-4</v>
      </c>
      <c r="AI13" s="48">
        <v>3.2322761194029798E-7</v>
      </c>
      <c r="AJ13" s="50">
        <v>15</v>
      </c>
      <c r="AK13" s="50">
        <v>237</v>
      </c>
    </row>
    <row r="14" spans="1:37" x14ac:dyDescent="0.25">
      <c r="A14" s="49" t="s">
        <v>24</v>
      </c>
      <c r="B14" s="50" t="s">
        <v>289</v>
      </c>
      <c r="C14" s="50"/>
      <c r="D14" s="48">
        <v>1.6465000000000001E-11</v>
      </c>
      <c r="E14" s="48">
        <v>8.9539999999999992E-12</v>
      </c>
      <c r="F14" s="48">
        <v>8.0333026560000001E-7</v>
      </c>
      <c r="G14" s="48">
        <v>1.5281E-11</v>
      </c>
      <c r="H14" s="48">
        <v>6.1420000000000003E-12</v>
      </c>
      <c r="I14" s="48">
        <v>2.5825999999999999E-12</v>
      </c>
      <c r="J14" s="48">
        <v>8.5353840720000002E-10</v>
      </c>
      <c r="K14" s="48">
        <v>1.879886232E-7</v>
      </c>
      <c r="L14" s="48">
        <v>1.8682099199999999E-12</v>
      </c>
      <c r="M14" s="48">
        <v>1.9055741183999999E-7</v>
      </c>
      <c r="N14" s="48">
        <v>5.2309877760000005E-7</v>
      </c>
      <c r="O14" s="48">
        <v>7.601279112E-7</v>
      </c>
      <c r="P14" s="94">
        <v>0.93203883495145601</v>
      </c>
      <c r="Q14" s="94">
        <v>0.922115384615385</v>
      </c>
      <c r="R14" s="94">
        <v>0.92718446601941695</v>
      </c>
      <c r="S14" s="94">
        <v>0.93043478260869505</v>
      </c>
      <c r="T14" s="94">
        <v>0.88959999999999995</v>
      </c>
      <c r="U14" s="94">
        <v>8.2000000000000007E-3</v>
      </c>
      <c r="V14" s="94">
        <v>4.2000000000000003E-2</v>
      </c>
      <c r="W14" s="94">
        <v>2.3E-2</v>
      </c>
      <c r="X14" s="94">
        <v>3.1E-2</v>
      </c>
      <c r="Y14" s="94">
        <v>3.6999999999999998E-2</v>
      </c>
      <c r="Z14" s="81">
        <f t="shared" ref="Z14:AD17" si="8">0.4*U14</f>
        <v>3.2800000000000004E-3</v>
      </c>
      <c r="AA14" s="81">
        <f t="shared" si="8"/>
        <v>1.6800000000000002E-2</v>
      </c>
      <c r="AB14" s="81">
        <f t="shared" si="8"/>
        <v>9.1999999999999998E-3</v>
      </c>
      <c r="AC14" s="81">
        <f t="shared" si="8"/>
        <v>1.2400000000000001E-2</v>
      </c>
      <c r="AD14" s="81">
        <f t="shared" si="8"/>
        <v>1.4800000000000001E-2</v>
      </c>
      <c r="AE14" s="48">
        <v>7.3882191780821893E-2</v>
      </c>
      <c r="AF14" s="48">
        <v>233</v>
      </c>
      <c r="AG14" s="48">
        <v>2000</v>
      </c>
      <c r="AH14" s="48">
        <v>5.0000000000000001E-4</v>
      </c>
      <c r="AI14" s="48">
        <v>9.3797975303148302</v>
      </c>
      <c r="AJ14" s="50">
        <v>300</v>
      </c>
      <c r="AK14" s="50">
        <v>233</v>
      </c>
    </row>
    <row r="15" spans="1:37" x14ac:dyDescent="0.25">
      <c r="A15" s="49" t="s">
        <v>25</v>
      </c>
      <c r="B15" s="50" t="s">
        <v>289</v>
      </c>
      <c r="C15" s="50"/>
      <c r="D15" s="48">
        <v>6.2529999999999997E-13</v>
      </c>
      <c r="E15" s="48">
        <v>3.4854E-13</v>
      </c>
      <c r="F15" s="48">
        <v>5.3711035200000002E-10</v>
      </c>
      <c r="G15" s="48">
        <v>2.0794E-13</v>
      </c>
      <c r="H15" s="48">
        <v>2.4087000000000001E-13</v>
      </c>
      <c r="I15" s="48">
        <v>1.221E-13</v>
      </c>
      <c r="J15" s="48">
        <v>1.7047415520000001E-12</v>
      </c>
      <c r="K15" s="48">
        <v>5.6513350080000005E-10</v>
      </c>
      <c r="L15" s="48">
        <v>2.323586088E-15</v>
      </c>
      <c r="M15" s="48">
        <v>1.8425220336000001E-10</v>
      </c>
      <c r="N15" s="48">
        <v>4.1661081215999999E-10</v>
      </c>
      <c r="O15" s="48">
        <v>5.2893693360000005E-10</v>
      </c>
      <c r="P15" s="94">
        <v>0.9</v>
      </c>
      <c r="Q15" s="94">
        <v>0.9</v>
      </c>
      <c r="R15" s="94">
        <v>0.9</v>
      </c>
      <c r="S15" s="94">
        <v>0.9</v>
      </c>
      <c r="T15" s="94">
        <v>0.9</v>
      </c>
      <c r="U15" s="94">
        <v>0</v>
      </c>
      <c r="V15" s="94">
        <v>0</v>
      </c>
      <c r="W15" s="94">
        <v>0</v>
      </c>
      <c r="X15" s="94">
        <v>0</v>
      </c>
      <c r="Y15" s="94">
        <v>0</v>
      </c>
      <c r="Z15" s="81">
        <f t="shared" si="8"/>
        <v>0</v>
      </c>
      <c r="AA15" s="81">
        <f t="shared" si="8"/>
        <v>0</v>
      </c>
      <c r="AB15" s="81">
        <f t="shared" si="8"/>
        <v>0</v>
      </c>
      <c r="AC15" s="81">
        <f t="shared" si="8"/>
        <v>0</v>
      </c>
      <c r="AD15" s="81">
        <f t="shared" si="8"/>
        <v>0</v>
      </c>
      <c r="AE15" s="48">
        <v>3.7134703196347002E-4</v>
      </c>
      <c r="AF15" s="48">
        <v>209</v>
      </c>
      <c r="AG15" s="48">
        <v>150</v>
      </c>
      <c r="AH15" s="48">
        <v>0.2</v>
      </c>
      <c r="AI15" s="48">
        <v>1866.1789117737501</v>
      </c>
      <c r="AJ15" s="50"/>
      <c r="AK15" s="50">
        <v>209</v>
      </c>
    </row>
    <row r="16" spans="1:37" x14ac:dyDescent="0.25">
      <c r="A16" s="49" t="s">
        <v>26</v>
      </c>
      <c r="B16" s="50" t="s">
        <v>289</v>
      </c>
      <c r="C16" s="50"/>
      <c r="D16" s="48">
        <v>1.7167999999999999E-9</v>
      </c>
      <c r="E16" s="48">
        <v>1.1766000000000001E-9</v>
      </c>
      <c r="F16" s="48">
        <v>1.482891624E-9</v>
      </c>
      <c r="G16" s="48">
        <v>1.5872999999999999E-8</v>
      </c>
      <c r="H16" s="48">
        <v>8.8430000000000004E-10</v>
      </c>
      <c r="I16" s="48">
        <v>5.9940000000000002E-10</v>
      </c>
      <c r="J16" s="48">
        <v>3.9349171439999997E-12</v>
      </c>
      <c r="K16" s="48">
        <v>1.7164178639999999E-9</v>
      </c>
      <c r="L16" s="48">
        <v>9.0841707359999996E-15</v>
      </c>
      <c r="M16" s="48">
        <v>9.5278705920000003E-10</v>
      </c>
      <c r="N16" s="48">
        <v>1.4665447872000001E-9</v>
      </c>
      <c r="O16" s="48">
        <v>1.482891624E-9</v>
      </c>
      <c r="P16" s="94">
        <v>1</v>
      </c>
      <c r="Q16" s="94">
        <v>0.94642857142857095</v>
      </c>
      <c r="R16" s="94">
        <v>0.97425742574257401</v>
      </c>
      <c r="S16" s="94">
        <v>0.94932432432432401</v>
      </c>
      <c r="T16" s="94">
        <v>0.94444444444444398</v>
      </c>
      <c r="U16" s="94">
        <v>9.9999999999999995E-8</v>
      </c>
      <c r="V16" s="94">
        <v>4.4000000000000002E-6</v>
      </c>
      <c r="W16" s="94">
        <v>2.3999999999999999E-6</v>
      </c>
      <c r="X16" s="94">
        <v>4.0999999999999997E-6</v>
      </c>
      <c r="Y16" s="94">
        <v>4.0999999999999997E-6</v>
      </c>
      <c r="Z16" s="81">
        <f t="shared" si="8"/>
        <v>4.0000000000000001E-8</v>
      </c>
      <c r="AA16" s="81">
        <f t="shared" si="8"/>
        <v>1.7600000000000001E-6</v>
      </c>
      <c r="AB16" s="81">
        <f t="shared" si="8"/>
        <v>9.5999999999999991E-7</v>
      </c>
      <c r="AC16" s="81">
        <f t="shared" si="8"/>
        <v>1.64E-6</v>
      </c>
      <c r="AD16" s="81">
        <f t="shared" si="8"/>
        <v>1.64E-6</v>
      </c>
      <c r="AE16" s="48">
        <v>22.2</v>
      </c>
      <c r="AF16" s="48">
        <v>210</v>
      </c>
      <c r="AG16" s="48">
        <v>150</v>
      </c>
      <c r="AH16" s="48">
        <v>0.2</v>
      </c>
      <c r="AI16" s="48">
        <v>3.1216216216216199E-2</v>
      </c>
      <c r="AJ16" s="50"/>
      <c r="AK16" s="50">
        <v>210</v>
      </c>
    </row>
    <row r="17" spans="1:37" x14ac:dyDescent="0.25">
      <c r="A17" s="49" t="s">
        <v>27</v>
      </c>
      <c r="B17" s="50" t="s">
        <v>289</v>
      </c>
      <c r="C17" s="50"/>
      <c r="D17" s="48">
        <v>7.9180000000000002E-13</v>
      </c>
      <c r="E17" s="48">
        <v>4.8470000000000005E-13</v>
      </c>
      <c r="F17" s="48">
        <v>9.9365415120000007E-7</v>
      </c>
      <c r="G17" s="48">
        <v>7.7700000000000001E-11</v>
      </c>
      <c r="H17" s="48">
        <v>3.4447E-13</v>
      </c>
      <c r="I17" s="48">
        <v>2.2052E-13</v>
      </c>
      <c r="J17" s="48">
        <v>1.0193420376000001E-9</v>
      </c>
      <c r="K17" s="48">
        <v>2.230175592E-7</v>
      </c>
      <c r="L17" s="48">
        <v>2.2301755919999998E-12</v>
      </c>
      <c r="M17" s="48">
        <v>2.2605340032000001E-7</v>
      </c>
      <c r="N17" s="48">
        <v>6.2958674304000002E-7</v>
      </c>
      <c r="O17" s="48">
        <v>9.3060206639999999E-7</v>
      </c>
      <c r="P17" s="94">
        <v>0.901685393258427</v>
      </c>
      <c r="Q17" s="94">
        <v>0.92436974789916004</v>
      </c>
      <c r="R17" s="94">
        <v>0.92558139534883699</v>
      </c>
      <c r="S17" s="94">
        <v>0.9296875</v>
      </c>
      <c r="T17" s="94">
        <v>0.87916666666666698</v>
      </c>
      <c r="U17" s="94">
        <v>1.4999999999999999E-2</v>
      </c>
      <c r="V17" s="94">
        <v>4.9000000000000002E-2</v>
      </c>
      <c r="W17" s="94">
        <v>2.8000000000000001E-2</v>
      </c>
      <c r="X17" s="94">
        <v>3.6999999999999998E-2</v>
      </c>
      <c r="Y17" s="94">
        <v>4.3999999999999997E-2</v>
      </c>
      <c r="Z17" s="81">
        <f t="shared" si="8"/>
        <v>6.0000000000000001E-3</v>
      </c>
      <c r="AA17" s="81">
        <f t="shared" si="8"/>
        <v>1.9600000000000003E-2</v>
      </c>
      <c r="AB17" s="81">
        <f t="shared" si="8"/>
        <v>1.1200000000000002E-2</v>
      </c>
      <c r="AC17" s="81">
        <f t="shared" si="8"/>
        <v>1.4800000000000001E-2</v>
      </c>
      <c r="AD17" s="81">
        <f t="shared" si="8"/>
        <v>1.7600000000000001E-2</v>
      </c>
      <c r="AE17" s="48">
        <v>5.0989345509893397E-5</v>
      </c>
      <c r="AF17" s="48">
        <v>214</v>
      </c>
      <c r="AG17" s="48">
        <v>150</v>
      </c>
      <c r="AH17" s="48">
        <v>0.2</v>
      </c>
      <c r="AI17" s="48">
        <v>13591.0746268657</v>
      </c>
      <c r="AJ17" s="50"/>
      <c r="AK17" s="50">
        <v>214</v>
      </c>
    </row>
    <row r="18" spans="1:37" x14ac:dyDescent="0.25">
      <c r="A18" s="49" t="s">
        <v>28</v>
      </c>
      <c r="B18" s="50" t="s">
        <v>289</v>
      </c>
      <c r="C18" s="50"/>
      <c r="D18" s="48">
        <v>3.2744999999999998E-9</v>
      </c>
      <c r="E18" s="48">
        <v>2.2533000000000001E-9</v>
      </c>
      <c r="F18" s="48">
        <v>4.5070564319999998E-11</v>
      </c>
      <c r="G18" s="48">
        <v>1.4504E-8</v>
      </c>
      <c r="H18" s="48">
        <v>1.7760000000000001E-9</v>
      </c>
      <c r="I18" s="48">
        <v>1.4356000000000001E-9</v>
      </c>
      <c r="J18" s="48">
        <v>4.1801196960000001E-14</v>
      </c>
      <c r="K18" s="48">
        <v>8.69885244E-12</v>
      </c>
      <c r="L18" s="48">
        <v>9.0724944239999998E-17</v>
      </c>
      <c r="M18" s="48">
        <v>8.9487255167999993E-12</v>
      </c>
      <c r="N18" s="48">
        <v>2.5407654911999999E-11</v>
      </c>
      <c r="O18" s="48">
        <v>3.9582697679999998E-11</v>
      </c>
      <c r="P18" s="94">
        <v>0.88135593220339004</v>
      </c>
      <c r="Q18" s="94">
        <v>0.93612334801762098</v>
      </c>
      <c r="R18" s="94">
        <v>0.93633952254641895</v>
      </c>
      <c r="S18" s="94">
        <v>0.93013100436681195</v>
      </c>
      <c r="T18" s="94">
        <v>0.94466403162055301</v>
      </c>
      <c r="U18" s="94">
        <v>0.03</v>
      </c>
      <c r="V18" s="94">
        <v>9.5000000000000001E-2</v>
      </c>
      <c r="W18" s="94">
        <v>4.8000000000000001E-2</v>
      </c>
      <c r="X18" s="94">
        <v>6.9000000000000006E-2</v>
      </c>
      <c r="Y18" s="94">
        <v>8.2000000000000003E-2</v>
      </c>
      <c r="Z18" s="81">
        <f t="shared" ref="Z18:AD21" si="9">0.4*U18</f>
        <v>1.2E-2</v>
      </c>
      <c r="AA18" s="81">
        <f t="shared" si="9"/>
        <v>3.8000000000000006E-2</v>
      </c>
      <c r="AB18" s="81">
        <f t="shared" si="9"/>
        <v>1.9200000000000002E-2</v>
      </c>
      <c r="AC18" s="81">
        <f t="shared" si="9"/>
        <v>2.7600000000000003E-2</v>
      </c>
      <c r="AD18" s="81">
        <f t="shared" si="9"/>
        <v>3.2800000000000003E-2</v>
      </c>
      <c r="AE18" s="48">
        <v>0.37911232876712297</v>
      </c>
      <c r="AF18" s="48">
        <v>210</v>
      </c>
      <c r="AG18" s="48">
        <v>210</v>
      </c>
      <c r="AH18" s="48"/>
      <c r="AI18" s="48">
        <v>1.8279542695265101</v>
      </c>
      <c r="AJ18" s="50">
        <v>15</v>
      </c>
      <c r="AK18" s="50">
        <v>210</v>
      </c>
    </row>
    <row r="19" spans="1:37" x14ac:dyDescent="0.25">
      <c r="A19" s="49" t="s">
        <v>29</v>
      </c>
      <c r="B19" s="50" t="s">
        <v>289</v>
      </c>
      <c r="C19" s="50"/>
      <c r="D19" s="48">
        <v>0</v>
      </c>
      <c r="E19" s="48">
        <v>0</v>
      </c>
      <c r="F19" s="48">
        <v>1.728094176E-10</v>
      </c>
      <c r="G19" s="48">
        <v>0</v>
      </c>
      <c r="H19" s="48">
        <v>0</v>
      </c>
      <c r="I19" s="48">
        <v>0</v>
      </c>
      <c r="J19" s="48">
        <v>1.6113310560000001E-13</v>
      </c>
      <c r="K19" s="48">
        <v>3.3627778560000003E-11</v>
      </c>
      <c r="L19" s="48">
        <v>3.491217288E-16</v>
      </c>
      <c r="M19" s="48">
        <v>3.4561883519999999E-11</v>
      </c>
      <c r="N19" s="48">
        <v>9.7333736831999999E-11</v>
      </c>
      <c r="O19" s="48">
        <v>1.51792056E-10</v>
      </c>
      <c r="P19" s="94">
        <v>0.87991266375545796</v>
      </c>
      <c r="Q19" s="94">
        <v>0.93714285714285706</v>
      </c>
      <c r="R19" s="94">
        <v>0.93493150684931503</v>
      </c>
      <c r="S19" s="94">
        <v>0.93220338983050799</v>
      </c>
      <c r="T19" s="94">
        <v>0.94871794871794901</v>
      </c>
      <c r="U19" s="94">
        <v>2.9000000000000001E-2</v>
      </c>
      <c r="V19" s="94">
        <v>9.2999999999999999E-2</v>
      </c>
      <c r="W19" s="94">
        <v>4.7E-2</v>
      </c>
      <c r="X19" s="94">
        <v>6.8000000000000005E-2</v>
      </c>
      <c r="Y19" s="94">
        <v>0.08</v>
      </c>
      <c r="Z19" s="81">
        <f t="shared" si="9"/>
        <v>1.1600000000000001E-2</v>
      </c>
      <c r="AA19" s="81">
        <f t="shared" si="9"/>
        <v>3.7200000000000004E-2</v>
      </c>
      <c r="AB19" s="81">
        <f t="shared" si="9"/>
        <v>1.8800000000000001E-2</v>
      </c>
      <c r="AC19" s="81">
        <f t="shared" si="9"/>
        <v>2.7200000000000002E-2</v>
      </c>
      <c r="AD19" s="81">
        <f t="shared" si="9"/>
        <v>3.2000000000000001E-2</v>
      </c>
      <c r="AE19" s="48">
        <v>1.3318112633181101E-13</v>
      </c>
      <c r="AF19" s="48">
        <v>213</v>
      </c>
      <c r="AG19" s="48">
        <v>210</v>
      </c>
      <c r="AH19" s="48"/>
      <c r="AI19" s="48">
        <v>5203440000000</v>
      </c>
      <c r="AJ19" s="50">
        <v>15</v>
      </c>
      <c r="AK19" s="50">
        <v>213</v>
      </c>
    </row>
    <row r="20" spans="1:37" x14ac:dyDescent="0.25">
      <c r="A20" s="49" t="s">
        <v>30</v>
      </c>
      <c r="B20" s="50" t="s">
        <v>289</v>
      </c>
      <c r="C20" s="50"/>
      <c r="D20" s="48">
        <v>0</v>
      </c>
      <c r="E20" s="48">
        <v>0</v>
      </c>
      <c r="F20" s="48">
        <v>3.8531829600000002E-10</v>
      </c>
      <c r="G20" s="48">
        <v>0</v>
      </c>
      <c r="H20" s="48">
        <v>0</v>
      </c>
      <c r="I20" s="48">
        <v>0</v>
      </c>
      <c r="J20" s="48">
        <v>3.5729514720000002E-13</v>
      </c>
      <c r="K20" s="48">
        <v>7.4261344320000001E-11</v>
      </c>
      <c r="L20" s="48">
        <v>7.741394856E-16</v>
      </c>
      <c r="M20" s="48">
        <v>7.6222964736000004E-11</v>
      </c>
      <c r="N20" s="48">
        <v>2.1484414079999999E-10</v>
      </c>
      <c r="O20" s="48">
        <v>3.3744541680000003E-10</v>
      </c>
      <c r="P20" s="94">
        <v>0.87920792079207899</v>
      </c>
      <c r="Q20" s="94">
        <v>0.93298969072164994</v>
      </c>
      <c r="R20" s="94">
        <v>0.93633540372670798</v>
      </c>
      <c r="S20" s="94">
        <v>0.930946291560102</v>
      </c>
      <c r="T20" s="94">
        <v>0.94444444444444398</v>
      </c>
      <c r="U20" s="94">
        <v>0.03</v>
      </c>
      <c r="V20" s="94">
        <v>9.5000000000000001E-2</v>
      </c>
      <c r="W20" s="94">
        <v>4.8000000000000001E-2</v>
      </c>
      <c r="X20" s="94">
        <v>6.9000000000000006E-2</v>
      </c>
      <c r="Y20" s="94">
        <v>8.1000000000000003E-2</v>
      </c>
      <c r="Z20" s="81">
        <f t="shared" si="9"/>
        <v>1.2E-2</v>
      </c>
      <c r="AA20" s="81">
        <f t="shared" si="9"/>
        <v>3.8000000000000006E-2</v>
      </c>
      <c r="AB20" s="81">
        <f t="shared" si="9"/>
        <v>1.9200000000000002E-2</v>
      </c>
      <c r="AC20" s="81">
        <f t="shared" si="9"/>
        <v>2.7600000000000003E-2</v>
      </c>
      <c r="AD20" s="81">
        <f t="shared" si="9"/>
        <v>3.2400000000000005E-2</v>
      </c>
      <c r="AE20" s="48">
        <v>5.20991882293252E-12</v>
      </c>
      <c r="AF20" s="48">
        <v>214</v>
      </c>
      <c r="AG20" s="48">
        <v>210</v>
      </c>
      <c r="AH20" s="48"/>
      <c r="AI20" s="48">
        <v>133015508216.677</v>
      </c>
      <c r="AJ20" s="50">
        <v>15</v>
      </c>
      <c r="AK20" s="50">
        <v>214</v>
      </c>
    </row>
    <row r="21" spans="1:37" x14ac:dyDescent="0.25">
      <c r="A21" s="49" t="s">
        <v>31</v>
      </c>
      <c r="B21" s="50" t="s">
        <v>289</v>
      </c>
      <c r="C21" s="50"/>
      <c r="D21" s="48">
        <v>0</v>
      </c>
      <c r="E21" s="48">
        <v>0</v>
      </c>
      <c r="F21" s="48">
        <v>6.8423188320000004E-15</v>
      </c>
      <c r="G21" s="48">
        <v>1.39E-11</v>
      </c>
      <c r="H21" s="48">
        <v>0</v>
      </c>
      <c r="I21" s="48">
        <v>0</v>
      </c>
      <c r="J21" s="48">
        <v>3.9465934560000001E-17</v>
      </c>
      <c r="K21" s="48">
        <v>5.3010456479999998E-15</v>
      </c>
      <c r="L21" s="48">
        <v>5.055843096E-20</v>
      </c>
      <c r="M21" s="48">
        <v>3.1572747648000001E-15</v>
      </c>
      <c r="N21" s="48">
        <v>5.9782717440000002E-15</v>
      </c>
      <c r="O21" s="48">
        <v>6.8189662079999997E-15</v>
      </c>
      <c r="P21" s="94">
        <v>0.9</v>
      </c>
      <c r="Q21" s="94">
        <v>0.9</v>
      </c>
      <c r="R21" s="94">
        <v>0.9</v>
      </c>
      <c r="S21" s="94">
        <v>0.9</v>
      </c>
      <c r="T21" s="94">
        <v>0.9</v>
      </c>
      <c r="U21" s="94">
        <v>0</v>
      </c>
      <c r="V21" s="94">
        <v>0</v>
      </c>
      <c r="W21" s="94">
        <v>0</v>
      </c>
      <c r="X21" s="94">
        <v>0</v>
      </c>
      <c r="Y21" s="94">
        <v>0</v>
      </c>
      <c r="Z21" s="81">
        <f t="shared" si="9"/>
        <v>0</v>
      </c>
      <c r="AA21" s="81">
        <f t="shared" si="9"/>
        <v>0</v>
      </c>
      <c r="AB21" s="81">
        <f t="shared" si="9"/>
        <v>0</v>
      </c>
      <c r="AC21" s="81">
        <f t="shared" si="9"/>
        <v>0</v>
      </c>
      <c r="AD21" s="81">
        <f t="shared" si="9"/>
        <v>0</v>
      </c>
      <c r="AE21" s="48">
        <v>5.8980213089802101E-6</v>
      </c>
      <c r="AF21" s="48">
        <v>218</v>
      </c>
      <c r="AG21" s="48">
        <v>210</v>
      </c>
      <c r="AH21" s="48"/>
      <c r="AI21" s="48">
        <v>117497.032258065</v>
      </c>
      <c r="AJ21" s="50">
        <v>15</v>
      </c>
      <c r="AK21" s="50">
        <v>218</v>
      </c>
    </row>
    <row r="22" spans="1:37" x14ac:dyDescent="0.25">
      <c r="A22" s="49" t="s">
        <v>32</v>
      </c>
      <c r="B22" s="50" t="s">
        <v>289</v>
      </c>
      <c r="C22" s="50"/>
      <c r="D22" s="48">
        <v>2.4235E-10</v>
      </c>
      <c r="E22" s="48">
        <v>1.5355E-10</v>
      </c>
      <c r="F22" s="48">
        <v>6.106711176E-9</v>
      </c>
      <c r="G22" s="48">
        <v>2.6159E-8</v>
      </c>
      <c r="H22" s="48">
        <v>1.1432999999999999E-10</v>
      </c>
      <c r="I22" s="48">
        <v>7.4369999999999998E-11</v>
      </c>
      <c r="J22" s="48">
        <v>1.844857296E-11</v>
      </c>
      <c r="K22" s="48">
        <v>8.8389681839999997E-9</v>
      </c>
      <c r="L22" s="48">
        <v>4.2385012559999998E-14</v>
      </c>
      <c r="M22" s="48">
        <v>4.4463396095999997E-9</v>
      </c>
      <c r="N22" s="48">
        <v>6.0716822400000003E-9</v>
      </c>
      <c r="O22" s="48">
        <v>6.0950348640000001E-9</v>
      </c>
      <c r="P22" s="94">
        <v>0.98748261474269805</v>
      </c>
      <c r="Q22" s="94">
        <v>0.86834733893557403</v>
      </c>
      <c r="R22" s="94">
        <v>0.98884758364312197</v>
      </c>
      <c r="S22" s="94">
        <v>0.95495495495495497</v>
      </c>
      <c r="T22" s="94">
        <v>0.95760598503740701</v>
      </c>
      <c r="U22" s="94">
        <v>4.1000000000000003E-9</v>
      </c>
      <c r="V22" s="94">
        <v>2.4E-8</v>
      </c>
      <c r="W22" s="94">
        <v>2.3000000000000001E-8</v>
      </c>
      <c r="X22" s="94">
        <v>3.1E-8</v>
      </c>
      <c r="Y22" s="94">
        <v>2.9999999999999997E-8</v>
      </c>
      <c r="Z22" s="81">
        <f t="shared" ref="Z22:AD23" si="10">0.4*U22</f>
        <v>1.6400000000000001E-9</v>
      </c>
      <c r="AA22" s="81">
        <f t="shared" si="10"/>
        <v>9.5999999999999999E-9</v>
      </c>
      <c r="AB22" s="81">
        <f t="shared" si="10"/>
        <v>9.2000000000000013E-9</v>
      </c>
      <c r="AC22" s="81">
        <f t="shared" si="10"/>
        <v>1.24E-8</v>
      </c>
      <c r="AD22" s="81">
        <f t="shared" si="10"/>
        <v>1.2E-8</v>
      </c>
      <c r="AE22" s="48">
        <v>4.0821917808219199E-2</v>
      </c>
      <c r="AF22" s="48">
        <v>225</v>
      </c>
      <c r="AG22" s="48">
        <v>1</v>
      </c>
      <c r="AH22" s="48">
        <v>0.2</v>
      </c>
      <c r="AI22" s="48">
        <v>16.976174496644301</v>
      </c>
      <c r="AJ22" s="50"/>
      <c r="AK22" s="50">
        <v>225</v>
      </c>
    </row>
    <row r="23" spans="1:37" x14ac:dyDescent="0.25">
      <c r="A23" s="51" t="s">
        <v>33</v>
      </c>
      <c r="B23" s="50" t="s">
        <v>275</v>
      </c>
      <c r="C23" s="50">
        <v>1</v>
      </c>
      <c r="D23" s="48">
        <v>6.7709999999999997E-10</v>
      </c>
      <c r="E23" s="48">
        <v>5.1429999999999997E-10</v>
      </c>
      <c r="F23" s="48">
        <v>2.4987307680000001E-8</v>
      </c>
      <c r="G23" s="48">
        <v>2.8156999999999999E-8</v>
      </c>
      <c r="H23" s="48">
        <v>3.8480000000000001E-10</v>
      </c>
      <c r="I23" s="48">
        <v>2.9451999999999998E-10</v>
      </c>
      <c r="J23" s="48">
        <v>2.849020128E-11</v>
      </c>
      <c r="K23" s="48">
        <v>6.2468269200000004E-9</v>
      </c>
      <c r="L23" s="48">
        <v>6.2701795440000005E-14</v>
      </c>
      <c r="M23" s="48">
        <v>6.3332316288000001E-9</v>
      </c>
      <c r="N23" s="48">
        <v>1.7315970695999999E-8</v>
      </c>
      <c r="O23" s="48">
        <v>2.4286728960000001E-8</v>
      </c>
      <c r="P23" s="94">
        <v>0.927927927927928</v>
      </c>
      <c r="Q23" s="94">
        <v>0.82729805013927604</v>
      </c>
      <c r="R23" s="94">
        <v>0.88145896656534894</v>
      </c>
      <c r="S23" s="94">
        <v>0.89258312020460395</v>
      </c>
      <c r="T23" s="94">
        <v>0.88349514563106801</v>
      </c>
      <c r="U23" s="94">
        <v>3.5000000000000003E-2</v>
      </c>
      <c r="V23" s="94">
        <v>0.11</v>
      </c>
      <c r="W23" s="94">
        <v>5.8000000000000003E-2</v>
      </c>
      <c r="X23" s="94">
        <v>8.1000000000000003E-2</v>
      </c>
      <c r="Y23" s="94">
        <v>0.1</v>
      </c>
      <c r="Z23" s="81">
        <f t="shared" si="10"/>
        <v>1.4000000000000002E-2</v>
      </c>
      <c r="AA23" s="81">
        <f t="shared" si="10"/>
        <v>4.4000000000000004E-2</v>
      </c>
      <c r="AB23" s="81">
        <f t="shared" si="10"/>
        <v>2.3200000000000002E-2</v>
      </c>
      <c r="AC23" s="81">
        <f t="shared" si="10"/>
        <v>3.2400000000000005E-2</v>
      </c>
      <c r="AD23" s="81">
        <f t="shared" si="10"/>
        <v>4.0000000000000008E-2</v>
      </c>
      <c r="AE23" s="48">
        <v>1600</v>
      </c>
      <c r="AF23" s="48">
        <v>226</v>
      </c>
      <c r="AG23" s="48">
        <v>1</v>
      </c>
      <c r="AH23" s="48">
        <v>0.2</v>
      </c>
      <c r="AI23" s="48">
        <v>4.3312500000000002E-4</v>
      </c>
      <c r="AJ23" s="50">
        <v>5</v>
      </c>
      <c r="AK23" s="50">
        <v>226</v>
      </c>
    </row>
    <row r="24" spans="1:37" x14ac:dyDescent="0.25">
      <c r="A24" s="49" t="s">
        <v>34</v>
      </c>
      <c r="B24" s="50" t="s">
        <v>289</v>
      </c>
      <c r="C24" s="50"/>
      <c r="D24" s="48">
        <v>0</v>
      </c>
      <c r="E24" s="48">
        <v>0</v>
      </c>
      <c r="F24" s="48">
        <v>3.3861304799999998E-9</v>
      </c>
      <c r="G24" s="48">
        <v>0</v>
      </c>
      <c r="H24" s="48">
        <v>0</v>
      </c>
      <c r="I24" s="48">
        <v>0</v>
      </c>
      <c r="J24" s="48">
        <v>3.187633176E-12</v>
      </c>
      <c r="K24" s="48">
        <v>6.807289896E-10</v>
      </c>
      <c r="L24" s="48">
        <v>6.9240530159999999E-15</v>
      </c>
      <c r="M24" s="48">
        <v>6.9684230016000005E-10</v>
      </c>
      <c r="N24" s="48">
        <v>1.9616204160000001E-9</v>
      </c>
      <c r="O24" s="48">
        <v>3.0358411200000002E-9</v>
      </c>
      <c r="P24" s="94">
        <v>0.886075949367089</v>
      </c>
      <c r="Q24" s="94">
        <v>0.91340782122904995</v>
      </c>
      <c r="R24" s="94">
        <v>0.93388429752066104</v>
      </c>
      <c r="S24" s="94">
        <v>0.91913746630727799</v>
      </c>
      <c r="T24" s="94">
        <v>0.95499999999999996</v>
      </c>
      <c r="U24" s="94">
        <v>2.5999999999999999E-2</v>
      </c>
      <c r="V24" s="94">
        <v>7.5999999999999998E-2</v>
      </c>
      <c r="W24" s="94">
        <v>4.1000000000000002E-2</v>
      </c>
      <c r="X24" s="94">
        <v>5.8999999999999997E-2</v>
      </c>
      <c r="Y24" s="94">
        <v>6.8000000000000005E-2</v>
      </c>
      <c r="Z24" s="81">
        <f t="shared" ref="Z24:AD25" si="11">0.4*U24</f>
        <v>1.04E-2</v>
      </c>
      <c r="AA24" s="81">
        <f t="shared" si="11"/>
        <v>3.04E-2</v>
      </c>
      <c r="AB24" s="81">
        <f t="shared" si="11"/>
        <v>1.6400000000000001E-2</v>
      </c>
      <c r="AC24" s="81">
        <f t="shared" si="11"/>
        <v>2.3599999999999999E-2</v>
      </c>
      <c r="AD24" s="81">
        <f t="shared" si="11"/>
        <v>2.7200000000000002E-2</v>
      </c>
      <c r="AE24" s="48">
        <v>1.1098427194317601E-9</v>
      </c>
      <c r="AF24" s="48">
        <v>218</v>
      </c>
      <c r="AG24" s="48">
        <v>0</v>
      </c>
      <c r="AH24" s="48"/>
      <c r="AI24" s="48">
        <v>624412800</v>
      </c>
      <c r="AJ24" s="50"/>
      <c r="AK24" s="50">
        <v>218</v>
      </c>
    </row>
    <row r="25" spans="1:37" x14ac:dyDescent="0.25">
      <c r="A25" s="51" t="s">
        <v>35</v>
      </c>
      <c r="B25" s="50" t="s">
        <v>275</v>
      </c>
      <c r="C25" s="50">
        <v>1</v>
      </c>
      <c r="D25" s="48">
        <v>0</v>
      </c>
      <c r="E25" s="48">
        <v>0</v>
      </c>
      <c r="F25" s="48">
        <v>1.6930652399999999E-9</v>
      </c>
      <c r="G25" s="70">
        <v>2.28E-12</v>
      </c>
      <c r="H25" s="48">
        <v>0</v>
      </c>
      <c r="I25" s="48">
        <v>0</v>
      </c>
      <c r="J25" s="48">
        <v>1.6230073680000001E-12</v>
      </c>
      <c r="K25" s="48">
        <v>3.5028935999999998E-10</v>
      </c>
      <c r="L25" s="48">
        <v>3.5145699120000001E-15</v>
      </c>
      <c r="M25" s="48">
        <v>3.5682809472000002E-10</v>
      </c>
      <c r="N25" s="48">
        <v>1.00696514688E-9</v>
      </c>
      <c r="O25" s="48">
        <v>1.5412731840000001E-9</v>
      </c>
      <c r="P25" s="94">
        <v>0.881287726358149</v>
      </c>
      <c r="Q25" s="94">
        <v>0.94318181818181801</v>
      </c>
      <c r="R25" s="94">
        <v>0.93949044585987296</v>
      </c>
      <c r="S25" s="94">
        <v>0.93193717277486898</v>
      </c>
      <c r="T25" s="94">
        <v>0.91981132075471705</v>
      </c>
      <c r="U25" s="94">
        <v>2.1999999999999999E-2</v>
      </c>
      <c r="V25" s="94">
        <v>6.6000000000000003E-2</v>
      </c>
      <c r="W25" s="94">
        <v>3.6999999999999998E-2</v>
      </c>
      <c r="X25" s="94">
        <v>5.1999999999999998E-2</v>
      </c>
      <c r="Y25" s="94">
        <v>5.8999999999999997E-2</v>
      </c>
      <c r="Z25" s="81">
        <f t="shared" si="11"/>
        <v>8.8000000000000005E-3</v>
      </c>
      <c r="AA25" s="81">
        <f t="shared" si="11"/>
        <v>2.6400000000000003E-2</v>
      </c>
      <c r="AB25" s="81">
        <f t="shared" si="11"/>
        <v>1.4800000000000001E-2</v>
      </c>
      <c r="AC25" s="81">
        <f t="shared" si="11"/>
        <v>2.0799999999999999E-2</v>
      </c>
      <c r="AD25" s="81">
        <f t="shared" si="11"/>
        <v>2.3599999999999999E-2</v>
      </c>
      <c r="AE25" s="48">
        <v>1.04753424657534E-2</v>
      </c>
      <c r="AF25" s="48">
        <v>222</v>
      </c>
      <c r="AG25" s="48">
        <v>0</v>
      </c>
      <c r="AH25" s="48"/>
      <c r="AI25" s="48">
        <v>66.155355041192607</v>
      </c>
      <c r="AJ25" s="50"/>
      <c r="AK25" s="50">
        <v>222</v>
      </c>
    </row>
    <row r="26" spans="1:37" x14ac:dyDescent="0.25">
      <c r="A26" s="49" t="s">
        <v>36</v>
      </c>
      <c r="B26" s="50" t="s">
        <v>289</v>
      </c>
      <c r="C26" s="50"/>
      <c r="D26" s="48">
        <v>3.8480000000000001E-10</v>
      </c>
      <c r="E26" s="48">
        <v>2.9045000000000002E-10</v>
      </c>
      <c r="F26" s="48">
        <v>2.241851904E-7</v>
      </c>
      <c r="G26" s="48">
        <v>1.7464000000000001E-7</v>
      </c>
      <c r="H26" s="48">
        <v>2.2347999999999999E-10</v>
      </c>
      <c r="I26" s="48">
        <v>1.9683999999999999E-10</v>
      </c>
      <c r="J26" s="48">
        <v>3.0008121840000002E-10</v>
      </c>
      <c r="K26" s="48">
        <v>7.0758450719999997E-8</v>
      </c>
      <c r="L26" s="48">
        <v>6.6788504639999998E-13</v>
      </c>
      <c r="M26" s="48">
        <v>6.7629199103999999E-8</v>
      </c>
      <c r="N26" s="48">
        <v>1.7059091832000001E-7</v>
      </c>
      <c r="O26" s="48">
        <v>2.2184992799999999E-7</v>
      </c>
      <c r="P26" s="94">
        <v>0.97538461538461496</v>
      </c>
      <c r="Q26" s="94">
        <v>0.95145631067961201</v>
      </c>
      <c r="R26" s="94">
        <v>0.91964285714285698</v>
      </c>
      <c r="S26" s="94">
        <v>0.91074681238615696</v>
      </c>
      <c r="T26" s="94">
        <v>0.91954022988505801</v>
      </c>
      <c r="U26" s="94">
        <v>1.1000000000000001E-3</v>
      </c>
      <c r="V26" s="94">
        <v>1.2E-2</v>
      </c>
      <c r="W26" s="94">
        <v>6.7999999999999996E-3</v>
      </c>
      <c r="X26" s="94">
        <v>9.4999999999999998E-3</v>
      </c>
      <c r="Y26" s="94">
        <v>1.0999999999999999E-2</v>
      </c>
      <c r="Z26" s="81">
        <f t="shared" ref="Z26:AD26" si="12">0.4*U26</f>
        <v>4.4000000000000007E-4</v>
      </c>
      <c r="AA26" s="81">
        <f t="shared" si="12"/>
        <v>4.8000000000000004E-3</v>
      </c>
      <c r="AB26" s="81">
        <f t="shared" si="12"/>
        <v>2.7200000000000002E-3</v>
      </c>
      <c r="AC26" s="81">
        <f t="shared" si="12"/>
        <v>3.8E-3</v>
      </c>
      <c r="AD26" s="81">
        <f t="shared" si="12"/>
        <v>4.4000000000000003E-3</v>
      </c>
      <c r="AE26" s="48">
        <v>7340</v>
      </c>
      <c r="AF26" s="48">
        <v>229</v>
      </c>
      <c r="AG26" s="48">
        <v>20</v>
      </c>
      <c r="AH26" s="48">
        <v>5.0000000000000001E-4</v>
      </c>
      <c r="AI26" s="48">
        <v>9.4414168937329696E-5</v>
      </c>
      <c r="AJ26" s="50">
        <v>15</v>
      </c>
      <c r="AK26" s="50">
        <v>229</v>
      </c>
    </row>
    <row r="27" spans="1:37" x14ac:dyDescent="0.25">
      <c r="A27" s="49" t="s">
        <v>37</v>
      </c>
      <c r="B27" s="50" t="s">
        <v>289</v>
      </c>
      <c r="C27" s="50"/>
      <c r="D27" s="48">
        <v>0</v>
      </c>
      <c r="E27" s="48">
        <v>0</v>
      </c>
      <c r="F27" s="48">
        <v>6.106711176E-9</v>
      </c>
      <c r="G27" s="48">
        <v>0</v>
      </c>
      <c r="H27" s="48">
        <v>0</v>
      </c>
      <c r="I27" s="48">
        <v>0</v>
      </c>
      <c r="J27" s="48">
        <v>9.3994311600000004E-12</v>
      </c>
      <c r="K27" s="48">
        <v>8.5704130080000005E-9</v>
      </c>
      <c r="L27" s="48">
        <v>1.4712153119999999E-14</v>
      </c>
      <c r="M27" s="48">
        <v>2.0737130111999998E-9</v>
      </c>
      <c r="N27" s="48">
        <v>4.4089754112000003E-9</v>
      </c>
      <c r="O27" s="48">
        <v>5.8615086239999998E-9</v>
      </c>
      <c r="P27" s="94">
        <v>0.94202898550724601</v>
      </c>
      <c r="Q27" s="94">
        <v>0.96767241379310298</v>
      </c>
      <c r="R27" s="94">
        <v>0.91346153846153799</v>
      </c>
      <c r="S27" s="94">
        <v>0.90301003344481601</v>
      </c>
      <c r="T27" s="94">
        <v>0.91029900332225899</v>
      </c>
      <c r="U27" s="94">
        <v>6.1999999999999998E-3</v>
      </c>
      <c r="V27" s="94">
        <v>5.6000000000000001E-2</v>
      </c>
      <c r="W27" s="94">
        <v>0.02</v>
      </c>
      <c r="X27" s="94">
        <v>3.3000000000000002E-2</v>
      </c>
      <c r="Y27" s="94">
        <v>4.4999999999999998E-2</v>
      </c>
      <c r="Z27" s="81">
        <f t="shared" ref="Z27:AD30" si="13">0.4*U27</f>
        <v>2.48E-3</v>
      </c>
      <c r="AA27" s="81">
        <f t="shared" si="13"/>
        <v>2.2400000000000003E-2</v>
      </c>
      <c r="AB27" s="81">
        <f t="shared" si="13"/>
        <v>8.0000000000000002E-3</v>
      </c>
      <c r="AC27" s="81">
        <f t="shared" si="13"/>
        <v>1.3200000000000002E-2</v>
      </c>
      <c r="AD27" s="81">
        <f t="shared" si="13"/>
        <v>1.7999999999999999E-2</v>
      </c>
      <c r="AE27" s="48">
        <v>7.9908675799086794E-6</v>
      </c>
      <c r="AF27" s="48">
        <v>206</v>
      </c>
      <c r="AG27" s="48">
        <v>1500</v>
      </c>
      <c r="AH27" s="48"/>
      <c r="AI27" s="48">
        <v>86724</v>
      </c>
      <c r="AJ27" s="50"/>
      <c r="AK27" s="50">
        <v>206</v>
      </c>
    </row>
    <row r="28" spans="1:37" x14ac:dyDescent="0.25">
      <c r="A28" s="49" t="s">
        <v>38</v>
      </c>
      <c r="B28" s="50" t="s">
        <v>289</v>
      </c>
      <c r="C28" s="50"/>
      <c r="D28" s="48">
        <v>0</v>
      </c>
      <c r="E28" s="48">
        <v>0</v>
      </c>
      <c r="F28" s="48">
        <v>1.0321859808E-5</v>
      </c>
      <c r="G28" s="48">
        <v>0</v>
      </c>
      <c r="H28" s="48">
        <v>0</v>
      </c>
      <c r="I28" s="48">
        <v>0</v>
      </c>
      <c r="J28" s="48">
        <v>9.5745758399999995E-9</v>
      </c>
      <c r="K28" s="48">
        <v>1.8565336080000001E-6</v>
      </c>
      <c r="L28" s="48">
        <v>2.078383536E-11</v>
      </c>
      <c r="M28" s="48">
        <v>1.9055741184E-6</v>
      </c>
      <c r="N28" s="48">
        <v>5.4738550656000002E-6</v>
      </c>
      <c r="O28" s="48">
        <v>8.710528752E-6</v>
      </c>
      <c r="P28" s="94">
        <v>0.86776859504132198</v>
      </c>
      <c r="Q28" s="94">
        <v>0.94199999999999995</v>
      </c>
      <c r="R28" s="94">
        <v>0.93081761006289299</v>
      </c>
      <c r="S28" s="94">
        <v>0.94166666666666698</v>
      </c>
      <c r="T28" s="94">
        <v>0.91360294117647101</v>
      </c>
      <c r="U28" s="94">
        <v>3.5999999999999997E-2</v>
      </c>
      <c r="V28" s="94">
        <v>0.13</v>
      </c>
      <c r="W28" s="94">
        <v>5.8999999999999997E-2</v>
      </c>
      <c r="X28" s="94">
        <v>8.4000000000000005E-2</v>
      </c>
      <c r="Y28" s="94">
        <v>0.1</v>
      </c>
      <c r="Z28" s="81">
        <f t="shared" si="13"/>
        <v>1.44E-2</v>
      </c>
      <c r="AA28" s="81">
        <f t="shared" si="13"/>
        <v>5.2000000000000005E-2</v>
      </c>
      <c r="AB28" s="81">
        <f t="shared" si="13"/>
        <v>2.3599999999999999E-2</v>
      </c>
      <c r="AC28" s="81">
        <f t="shared" si="13"/>
        <v>3.3600000000000005E-2</v>
      </c>
      <c r="AD28" s="81">
        <f t="shared" si="13"/>
        <v>4.0000000000000008E-2</v>
      </c>
      <c r="AE28" s="48">
        <v>4.1114916286149197E-6</v>
      </c>
      <c r="AF28" s="48">
        <v>209</v>
      </c>
      <c r="AG28" s="48">
        <v>1500</v>
      </c>
      <c r="AH28" s="48"/>
      <c r="AI28" s="48">
        <v>168551.966682092</v>
      </c>
      <c r="AJ28" s="50"/>
      <c r="AK28" s="50">
        <v>209</v>
      </c>
    </row>
    <row r="29" spans="1:37" x14ac:dyDescent="0.25">
      <c r="A29" s="49" t="s">
        <v>39</v>
      </c>
      <c r="B29" s="50" t="s">
        <v>289</v>
      </c>
      <c r="C29" s="50"/>
      <c r="D29" s="48">
        <v>0</v>
      </c>
      <c r="E29" s="48">
        <v>0</v>
      </c>
      <c r="F29" s="48">
        <v>1.34277588E-5</v>
      </c>
      <c r="G29" s="48">
        <v>0</v>
      </c>
      <c r="H29" s="48">
        <v>0</v>
      </c>
      <c r="I29" s="48">
        <v>0</v>
      </c>
      <c r="J29" s="48">
        <v>1.237689072E-8</v>
      </c>
      <c r="K29" s="48">
        <v>2.4053202719999999E-6</v>
      </c>
      <c r="L29" s="48">
        <v>2.6855517599999999E-11</v>
      </c>
      <c r="M29" s="48">
        <v>2.4847191936000002E-6</v>
      </c>
      <c r="N29" s="48">
        <v>7.1178797952000003E-6</v>
      </c>
      <c r="O29" s="48">
        <v>1.1361051576E-5</v>
      </c>
      <c r="P29" s="94">
        <v>0.87301587301587302</v>
      </c>
      <c r="Q29" s="94">
        <v>0.93846153846153801</v>
      </c>
      <c r="R29" s="94">
        <v>0.94059405940594099</v>
      </c>
      <c r="S29" s="94">
        <v>0.94308943089430897</v>
      </c>
      <c r="T29" s="94">
        <v>0.93390804597701205</v>
      </c>
      <c r="U29" s="94">
        <v>3.5999999999999997E-2</v>
      </c>
      <c r="V29" s="94">
        <v>0.12</v>
      </c>
      <c r="W29" s="94">
        <v>0.06</v>
      </c>
      <c r="X29" s="94">
        <v>8.4000000000000005E-2</v>
      </c>
      <c r="Y29" s="94">
        <v>0.1</v>
      </c>
      <c r="Z29" s="81">
        <f t="shared" si="13"/>
        <v>1.44E-2</v>
      </c>
      <c r="AA29" s="81">
        <f t="shared" si="13"/>
        <v>4.8000000000000001E-2</v>
      </c>
      <c r="AB29" s="81">
        <f t="shared" si="13"/>
        <v>2.4E-2</v>
      </c>
      <c r="AC29" s="81">
        <f t="shared" si="13"/>
        <v>3.3600000000000005E-2</v>
      </c>
      <c r="AD29" s="81">
        <f t="shared" si="13"/>
        <v>4.0000000000000008E-2</v>
      </c>
      <c r="AE29" s="48">
        <v>2.4733637747336398E-6</v>
      </c>
      <c r="AF29" s="48">
        <v>210</v>
      </c>
      <c r="AG29" s="48">
        <v>1500</v>
      </c>
      <c r="AH29" s="48"/>
      <c r="AI29" s="48">
        <v>280185.23076923098</v>
      </c>
      <c r="AJ29" s="50"/>
      <c r="AK29" s="50">
        <v>210</v>
      </c>
    </row>
    <row r="30" spans="1:37" x14ac:dyDescent="0.25">
      <c r="A30" s="49" t="s">
        <v>40</v>
      </c>
      <c r="B30" s="50" t="s">
        <v>289</v>
      </c>
      <c r="C30" s="50"/>
      <c r="D30" s="48">
        <v>1.5022E-10</v>
      </c>
      <c r="E30" s="48">
        <v>9.6940000000000003E-11</v>
      </c>
      <c r="F30" s="48">
        <v>7.1108740080000005E-10</v>
      </c>
      <c r="G30" s="48">
        <v>2.8305000000000001E-8</v>
      </c>
      <c r="H30" s="48">
        <v>7.1779999999999997E-11</v>
      </c>
      <c r="I30" s="48">
        <v>5.2169999999999999E-11</v>
      </c>
      <c r="J30" s="48">
        <v>9.3760785359999994E-13</v>
      </c>
      <c r="K30" s="48">
        <v>3.5729514719999999E-10</v>
      </c>
      <c r="L30" s="48">
        <v>2.0900598480000001E-15</v>
      </c>
      <c r="M30" s="48">
        <v>2.0737130111999999E-10</v>
      </c>
      <c r="N30" s="48">
        <v>5.0628488832E-10</v>
      </c>
      <c r="O30" s="48">
        <v>6.8773477679999995E-10</v>
      </c>
      <c r="P30" s="48">
        <v>1</v>
      </c>
      <c r="Q30" s="48">
        <v>1</v>
      </c>
      <c r="R30" s="48">
        <v>0.97979797979798</v>
      </c>
      <c r="S30" s="48">
        <v>0.97103448275862103</v>
      </c>
      <c r="T30" s="48">
        <v>0.96124031007751898</v>
      </c>
      <c r="U30" s="48">
        <v>1E-4</v>
      </c>
      <c r="V30" s="48">
        <v>1.2E-2</v>
      </c>
      <c r="W30" s="48">
        <v>2.5000000000000001E-3</v>
      </c>
      <c r="X30" s="48">
        <v>7.0000000000000001E-3</v>
      </c>
      <c r="Y30" s="48">
        <v>9.4999999999999998E-3</v>
      </c>
      <c r="Z30" s="81">
        <f t="shared" si="13"/>
        <v>4.0000000000000003E-5</v>
      </c>
      <c r="AA30" s="81">
        <f t="shared" si="13"/>
        <v>4.8000000000000004E-3</v>
      </c>
      <c r="AB30" s="81">
        <f t="shared" si="13"/>
        <v>1E-3</v>
      </c>
      <c r="AC30" s="81">
        <f t="shared" si="13"/>
        <v>2.8000000000000004E-3</v>
      </c>
      <c r="AD30" s="81">
        <f t="shared" si="13"/>
        <v>3.8E-3</v>
      </c>
      <c r="AE30" s="48">
        <v>159200</v>
      </c>
      <c r="AF30" s="48">
        <v>233</v>
      </c>
      <c r="AG30" s="48">
        <v>0.4</v>
      </c>
      <c r="AH30" s="48">
        <v>0.02</v>
      </c>
      <c r="AI30" s="48">
        <v>4.3530150753768799E-6</v>
      </c>
      <c r="AJ30" s="50">
        <v>289207.91735594597</v>
      </c>
      <c r="AK30" s="50">
        <v>233</v>
      </c>
    </row>
  </sheetData>
  <sheetProtection algorithmName="SHA-512" hashValue="FwrNjjoqfCFMDB+u+qnBoOOZ2ijX//Fl+SR9oDCxew2lJ7nW6XrUYvEaXADVz1gklpnQGYfp1+Yl8W50hSleNg==" saltValue="bW4lTp8W/ImHM3VBxdaphQ==" spinCount="100000" sheet="1" objects="1" scenarios="1" formatColumns="0" formatRows="0" autoFilter="0"/>
  <autoFilter ref="A1:AD76" xr:uid="{00000000-0009-0000-0000-000001000000}"/>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194</vt:i4>
      </vt:variant>
    </vt:vector>
  </HeadingPairs>
  <TitlesOfParts>
    <vt:vector size="213" baseType="lpstr">
      <vt:lpstr>Instructions</vt:lpstr>
      <vt:lpstr>RadSpec</vt:lpstr>
      <vt:lpstr>d</vt:lpstr>
      <vt:lpstr>d_ind</vt:lpstr>
      <vt:lpstr>d_out</vt:lpstr>
      <vt:lpstr>d_com</vt:lpstr>
      <vt:lpstr>d_con</vt:lpstr>
      <vt:lpstr>def_acf</vt:lpstr>
      <vt:lpstr>s_RadSpec</vt:lpstr>
      <vt:lpstr>s_ind</vt:lpstr>
      <vt:lpstr>s_out</vt:lpstr>
      <vt:lpstr>s_com</vt:lpstr>
      <vt:lpstr>s_con</vt:lpstr>
      <vt:lpstr>ss</vt:lpstr>
      <vt:lpstr>up_RadSpec</vt:lpstr>
      <vt:lpstr>up_ind</vt:lpstr>
      <vt:lpstr>up_out</vt:lpstr>
      <vt:lpstr>up_com</vt:lpstr>
      <vt:lpstr>up_con</vt:lpstr>
      <vt:lpstr>A__sc</vt:lpstr>
      <vt:lpstr>A_excav</vt:lpstr>
      <vt:lpstr>A_R</vt:lpstr>
      <vt:lpstr>A_sc</vt:lpstr>
      <vt:lpstr>A_surf</vt:lpstr>
      <vt:lpstr>A_till</vt:lpstr>
      <vt:lpstr>A_wind</vt:lpstr>
      <vt:lpstr>Ac</vt:lpstr>
      <vt:lpstr>Ac_doz</vt:lpstr>
      <vt:lpstr>Ac_grade</vt:lpstr>
      <vt:lpstr>As</vt:lpstr>
      <vt:lpstr>B__sc</vt:lpstr>
      <vt:lpstr>B_doz</vt:lpstr>
      <vt:lpstr>B_grade</vt:lpstr>
      <vt:lpstr>B_sc</vt:lpstr>
      <vt:lpstr>B_wind</vt:lpstr>
      <vt:lpstr>C_</vt:lpstr>
      <vt:lpstr>C__sc</vt:lpstr>
      <vt:lpstr>C_sc</vt:lpstr>
      <vt:lpstr>C_wind</vt:lpstr>
      <vt:lpstr>d_excav</vt:lpstr>
      <vt:lpstr>distance</vt:lpstr>
      <vt:lpstr>DW_cw</vt:lpstr>
      <vt:lpstr>ED_com</vt:lpstr>
      <vt:lpstr>ED_con</vt:lpstr>
      <vt:lpstr>ED_ind</vt:lpstr>
      <vt:lpstr>ED_out</vt:lpstr>
      <vt:lpstr>EF_cw</vt:lpstr>
      <vt:lpstr>EF_iw</vt:lpstr>
      <vt:lpstr>EF_ow</vt:lpstr>
      <vt:lpstr>EF_w</vt:lpstr>
      <vt:lpstr>ET_cw_i</vt:lpstr>
      <vt:lpstr>ET_cw_o</vt:lpstr>
      <vt:lpstr>ET_iw_i</vt:lpstr>
      <vt:lpstr>ET_iw_o</vt:lpstr>
      <vt:lpstr>ET_ow_i</vt:lpstr>
      <vt:lpstr>ET_ow_o</vt:lpstr>
      <vt:lpstr>ET_w_i</vt:lpstr>
      <vt:lpstr>ET_w_o</vt:lpstr>
      <vt:lpstr>EW_cw</vt:lpstr>
      <vt:lpstr>F_D</vt:lpstr>
      <vt:lpstr>F_x</vt:lpstr>
      <vt:lpstr>GSF_a</vt:lpstr>
      <vt:lpstr>GSF_i</vt:lpstr>
      <vt:lpstr>IRA_cw</vt:lpstr>
      <vt:lpstr>IRA_iw</vt:lpstr>
      <vt:lpstr>IRA_ow</vt:lpstr>
      <vt:lpstr>IRA_w</vt:lpstr>
      <vt:lpstr>IRS_cw</vt:lpstr>
      <vt:lpstr>IRS_iw</vt:lpstr>
      <vt:lpstr>IRS_ow</vt:lpstr>
      <vt:lpstr>IRS_w</vt:lpstr>
      <vt:lpstr>J__T</vt:lpstr>
      <vt:lpstr>K</vt:lpstr>
      <vt:lpstr>L_R</vt:lpstr>
      <vt:lpstr>M_doz</vt:lpstr>
      <vt:lpstr>M_dry</vt:lpstr>
      <vt:lpstr>M_excav</vt:lpstr>
      <vt:lpstr>M_grade</vt:lpstr>
      <vt:lpstr>M_m_doz</vt:lpstr>
      <vt:lpstr>M_m_excav</vt:lpstr>
      <vt:lpstr>M_pc_wind</vt:lpstr>
      <vt:lpstr>M_till</vt:lpstr>
      <vt:lpstr>N_A_doz</vt:lpstr>
      <vt:lpstr>N_A_dump</vt:lpstr>
      <vt:lpstr>N_A_grade</vt:lpstr>
      <vt:lpstr>N_A_till</vt:lpstr>
      <vt:lpstr>N_cars</vt:lpstr>
      <vt:lpstr>N_trucks</vt:lpstr>
      <vt:lpstr>p_days</vt:lpstr>
      <vt:lpstr>PEF__sc</vt:lpstr>
      <vt:lpstr>PEF_wind</vt:lpstr>
      <vt:lpstr>PEFsc</vt:lpstr>
      <vt:lpstr>Q_C__sc</vt:lpstr>
      <vt:lpstr>Q_C_sc</vt:lpstr>
      <vt:lpstr>Q_C_wind</vt:lpstr>
      <vt:lpstr>s</vt:lpstr>
      <vt:lpstr>s_A__sc</vt:lpstr>
      <vt:lpstr>s_A_excav</vt:lpstr>
      <vt:lpstr>s_A_R</vt:lpstr>
      <vt:lpstr>s_A_sc</vt:lpstr>
      <vt:lpstr>s_A_surf</vt:lpstr>
      <vt:lpstr>s_A_till</vt:lpstr>
      <vt:lpstr>s_A_wind</vt:lpstr>
      <vt:lpstr>s_Ac</vt:lpstr>
      <vt:lpstr>s_Ac_doz</vt:lpstr>
      <vt:lpstr>s_Ac_grade</vt:lpstr>
      <vt:lpstr>s_As</vt:lpstr>
      <vt:lpstr>s_B__sc</vt:lpstr>
      <vt:lpstr>s_B_doz</vt:lpstr>
      <vt:lpstr>s_B_grade</vt:lpstr>
      <vt:lpstr>s_B_sc</vt:lpstr>
      <vt:lpstr>s_B_wind</vt:lpstr>
      <vt:lpstr>s_C</vt:lpstr>
      <vt:lpstr>s_C__sc</vt:lpstr>
      <vt:lpstr>s_C_sc</vt:lpstr>
      <vt:lpstr>s_C_wind</vt:lpstr>
      <vt:lpstr>s_d_excav</vt:lpstr>
      <vt:lpstr>s_distance</vt:lpstr>
      <vt:lpstr>s_doz</vt:lpstr>
      <vt:lpstr>S_doz_speed</vt:lpstr>
      <vt:lpstr>s_DW_cw</vt:lpstr>
      <vt:lpstr>s_ED_com</vt:lpstr>
      <vt:lpstr>s_ED_con</vt:lpstr>
      <vt:lpstr>s_ED_ind</vt:lpstr>
      <vt:lpstr>s_ED_out</vt:lpstr>
      <vt:lpstr>s_EF_cw</vt:lpstr>
      <vt:lpstr>s_EF_iw</vt:lpstr>
      <vt:lpstr>s_EF_ow</vt:lpstr>
      <vt:lpstr>s_EF_w</vt:lpstr>
      <vt:lpstr>s_ET_cw_i</vt:lpstr>
      <vt:lpstr>s_ET_cw_o</vt:lpstr>
      <vt:lpstr>s_ET_iw_i</vt:lpstr>
      <vt:lpstr>s_ET_iw_o</vt:lpstr>
      <vt:lpstr>s_ET_ow_i</vt:lpstr>
      <vt:lpstr>s_ET_ow_o</vt:lpstr>
      <vt:lpstr>s_ET_w_i</vt:lpstr>
      <vt:lpstr>s_ET_w_o</vt:lpstr>
      <vt:lpstr>s_EW_cw</vt:lpstr>
      <vt:lpstr>s_F_D</vt:lpstr>
      <vt:lpstr>s_F_x</vt:lpstr>
      <vt:lpstr>S_grade</vt:lpstr>
      <vt:lpstr>s_GSF_a</vt:lpstr>
      <vt:lpstr>s_GSF_i</vt:lpstr>
      <vt:lpstr>s_IRA_cw</vt:lpstr>
      <vt:lpstr>s_IRA_iw</vt:lpstr>
      <vt:lpstr>s_IRA_ow</vt:lpstr>
      <vt:lpstr>s_IRA_w</vt:lpstr>
      <vt:lpstr>s_IRS_cw</vt:lpstr>
      <vt:lpstr>s_IRS_iw</vt:lpstr>
      <vt:lpstr>s_IRS_ow</vt:lpstr>
      <vt:lpstr>s_IRS_w</vt:lpstr>
      <vt:lpstr>s_J__T</vt:lpstr>
      <vt:lpstr>s_K</vt:lpstr>
      <vt:lpstr>s_L_R</vt:lpstr>
      <vt:lpstr>s_M_doz</vt:lpstr>
      <vt:lpstr>s_M_dry</vt:lpstr>
      <vt:lpstr>s_M_excav</vt:lpstr>
      <vt:lpstr>s_M_grade</vt:lpstr>
      <vt:lpstr>s_M_m_doz</vt:lpstr>
      <vt:lpstr>s_M_m_excav</vt:lpstr>
      <vt:lpstr>s_M_pc_wind</vt:lpstr>
      <vt:lpstr>s_M_till</vt:lpstr>
      <vt:lpstr>s_N_A_doz</vt:lpstr>
      <vt:lpstr>s_N_A_dump</vt:lpstr>
      <vt:lpstr>s_N_A_grade</vt:lpstr>
      <vt:lpstr>s_N_A_till</vt:lpstr>
      <vt:lpstr>s_N_cars</vt:lpstr>
      <vt:lpstr>s_N_trucks</vt:lpstr>
      <vt:lpstr>s_p_days</vt:lpstr>
      <vt:lpstr>s_PEF__sc</vt:lpstr>
      <vt:lpstr>s_PEF_wind</vt:lpstr>
      <vt:lpstr>s_PEFsc</vt:lpstr>
      <vt:lpstr>s_Q_C__sc</vt:lpstr>
      <vt:lpstr>s_Q_C_sc</vt:lpstr>
      <vt:lpstr>s_Q_C_wind</vt:lpstr>
      <vt:lpstr>s_s</vt:lpstr>
      <vt:lpstr>s_s_doz</vt:lpstr>
      <vt:lpstr>s_S_doz_speed</vt:lpstr>
      <vt:lpstr>s_S_grade</vt:lpstr>
      <vt:lpstr>s_s_till</vt:lpstr>
      <vt:lpstr>s_t_c</vt:lpstr>
      <vt:lpstr>s_t_com</vt:lpstr>
      <vt:lpstr>s_t_con</vt:lpstr>
      <vt:lpstr>s_t_ind</vt:lpstr>
      <vt:lpstr>s_t_out</vt:lpstr>
      <vt:lpstr>s_T_t</vt:lpstr>
      <vt:lpstr>s_till</vt:lpstr>
      <vt:lpstr>s_TR</vt:lpstr>
      <vt:lpstr>s_Um</vt:lpstr>
      <vt:lpstr>s_Ut</vt:lpstr>
      <vt:lpstr>s_V</vt:lpstr>
      <vt:lpstr>s_W</vt:lpstr>
      <vt:lpstr>s_W_R</vt:lpstr>
      <vt:lpstr>s_ρ_soil</vt:lpstr>
      <vt:lpstr>s_Σ_VKT</vt:lpstr>
      <vt:lpstr>s_Σ_VKT_doz</vt:lpstr>
      <vt:lpstr>s_Σ_VKT_grade</vt:lpstr>
      <vt:lpstr>t_c</vt:lpstr>
      <vt:lpstr>t_com</vt:lpstr>
      <vt:lpstr>t_con</vt:lpstr>
      <vt:lpstr>t_ind</vt:lpstr>
      <vt:lpstr>t_out</vt:lpstr>
      <vt:lpstr>T_t</vt:lpstr>
      <vt:lpstr>TR</vt:lpstr>
      <vt:lpstr>Um</vt:lpstr>
      <vt:lpstr>Ut</vt:lpstr>
      <vt:lpstr>V</vt:lpstr>
      <vt:lpstr>W</vt:lpstr>
      <vt:lpstr>W_R</vt:lpstr>
      <vt:lpstr>ρ_soil</vt:lpstr>
      <vt:lpstr>Σ_VKT</vt:lpstr>
      <vt:lpstr>Σ_VKT_doz</vt:lpstr>
      <vt:lpstr>Σ_VKT_grade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Manning, Karessa L.</dc:creator>
  <cp:lastModifiedBy>Manning, Karessa L.</cp:lastModifiedBy>
  <dcterms:created xsi:type="dcterms:W3CDTF">2016-04-21T20:28:57Z</dcterms:created>
  <dcterms:modified xsi:type="dcterms:W3CDTF">2019-06-17T19:53:54Z</dcterms:modified>
</cp:coreProperties>
</file>