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mc:AlternateContent xmlns:mc="http://schemas.openxmlformats.org/markup-compatibility/2006">
    <mc:Choice Requires="x15">
      <x15ac:absPath xmlns:x15ac="http://schemas.microsoft.com/office/spreadsheetml/2010/11/ac" url="https://ornl-my.sharepoint.com/personal/k21_ornl_gov/Documents/EPA Tools/RAD_Master QA Sheets/2014_Internal_Verification_Spreadsheets/"/>
    </mc:Choice>
  </mc:AlternateContent>
  <xr:revisionPtr revIDLastSave="0" documentId="14_{273A775F-252E-44C4-B94A-66A14CF95331}" xr6:coauthVersionLast="43" xr6:coauthVersionMax="43" xr10:uidLastSave="{00000000-0000-0000-0000-000000000000}"/>
  <bookViews>
    <workbookView xWindow="-120" yWindow="-120" windowWidth="29040" windowHeight="15840" tabRatio="748" xr2:uid="{00000000-000D-0000-FFFF-FFFF00000000}"/>
  </bookViews>
  <sheets>
    <sheet name="Instructions" sheetId="13" r:id="rId1"/>
    <sheet name="Am-241 Default" sheetId="1" r:id="rId2"/>
    <sheet name="Cs-137+D Default" sheetId="6" r:id="rId3"/>
    <sheet name="Ra-226+D Default" sheetId="8" r:id="rId4"/>
    <sheet name="Rn-222+D Default" sheetId="7" r:id="rId5"/>
    <sheet name="AM-241 SS" sheetId="9" r:id="rId6"/>
    <sheet name="Cs-137+D SS" sheetId="10" r:id="rId7"/>
    <sheet name="Ra-226+D SS" sheetId="11" r:id="rId8"/>
    <sheet name="Rn-222+D SS" sheetId="12" r:id="rId9"/>
    <sheet name="PEF" sheetId="5" r:id="rId10"/>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S8" i="9" l="1"/>
  <c r="CU43" i="9"/>
  <c r="CU44" i="9"/>
  <c r="FL6" i="1" l="1"/>
  <c r="FR5" i="1" l="1"/>
  <c r="DP25" i="7"/>
  <c r="DP10" i="7"/>
  <c r="DG10" i="7"/>
  <c r="DM7" i="7"/>
  <c r="DJ7" i="7"/>
  <c r="H55" i="7"/>
  <c r="H48" i="7"/>
  <c r="EK26" i="7"/>
  <c r="HB25" i="7"/>
  <c r="HB7" i="7"/>
  <c r="GY7" i="7"/>
  <c r="GV7" i="7"/>
  <c r="GM25" i="7"/>
  <c r="GM7" i="7"/>
  <c r="GJ7" i="7"/>
  <c r="GG7" i="7"/>
  <c r="FX25" i="7"/>
  <c r="FX7" i="7"/>
  <c r="FU7" i="7"/>
  <c r="FI25" i="7"/>
  <c r="FI7" i="7"/>
  <c r="FF7" i="7"/>
  <c r="FC7" i="7"/>
  <c r="ET25" i="7"/>
  <c r="ET7" i="7"/>
  <c r="EQ7" i="7"/>
  <c r="EN7" i="7"/>
  <c r="EE25" i="7"/>
  <c r="EE7" i="7"/>
  <c r="EB7" i="7"/>
  <c r="DY7" i="7"/>
  <c r="H68" i="7"/>
  <c r="DG26" i="7"/>
  <c r="EK26" i="8"/>
  <c r="DG26" i="8"/>
  <c r="HB7" i="8"/>
  <c r="GY7" i="8"/>
  <c r="GV7" i="8"/>
  <c r="HB25" i="8"/>
  <c r="GM25" i="8"/>
  <c r="GM7" i="8"/>
  <c r="GJ7" i="8"/>
  <c r="GG7" i="8"/>
  <c r="FX25" i="8"/>
  <c r="FX7" i="8"/>
  <c r="FU7" i="8"/>
  <c r="FI25" i="8"/>
  <c r="FI7" i="8"/>
  <c r="FC7" i="8"/>
  <c r="FF7" i="8"/>
  <c r="ET25" i="8"/>
  <c r="ET7" i="8"/>
  <c r="EQ7" i="8"/>
  <c r="EN7" i="8"/>
  <c r="EE25" i="8"/>
  <c r="EE7" i="8"/>
  <c r="EB7" i="8"/>
  <c r="DY7" i="8"/>
  <c r="H68" i="8"/>
  <c r="H69" i="8"/>
  <c r="DP25" i="8"/>
  <c r="DP10" i="8"/>
  <c r="DG10" i="8"/>
  <c r="DM7" i="8"/>
  <c r="DJ7" i="8"/>
  <c r="K51" i="8"/>
  <c r="H48" i="8"/>
  <c r="HB7" i="6"/>
  <c r="GY7" i="6"/>
  <c r="GV7" i="6"/>
  <c r="GM7" i="6"/>
  <c r="GJ7" i="6"/>
  <c r="GG7" i="6"/>
  <c r="FX7" i="6"/>
  <c r="FU7" i="6"/>
  <c r="FI7" i="6"/>
  <c r="FF7" i="6"/>
  <c r="FC7" i="6"/>
  <c r="ET7" i="6"/>
  <c r="EQ7" i="6"/>
  <c r="EN7" i="6"/>
  <c r="EE7" i="6"/>
  <c r="EB7" i="6"/>
  <c r="DY7" i="6"/>
  <c r="H68" i="6"/>
  <c r="EK26" i="6"/>
  <c r="DG26" i="6"/>
  <c r="HB25" i="6"/>
  <c r="GM25" i="6"/>
  <c r="FX25" i="6"/>
  <c r="FI25" i="6"/>
  <c r="ET25" i="6"/>
  <c r="EE25" i="6"/>
  <c r="CO23" i="6"/>
  <c r="DP25" i="6"/>
  <c r="DP10" i="6"/>
  <c r="DG10" i="6"/>
  <c r="DM7" i="6"/>
  <c r="DJ7" i="6"/>
  <c r="K51" i="6"/>
  <c r="H48" i="6"/>
  <c r="H48" i="1"/>
  <c r="HB25" i="1"/>
  <c r="GV7" i="1"/>
  <c r="HB7" i="1"/>
  <c r="GY7" i="1"/>
  <c r="GM25" i="1"/>
  <c r="GM7" i="1"/>
  <c r="GJ7" i="1"/>
  <c r="GG7" i="1"/>
  <c r="FX25" i="1"/>
  <c r="FX7" i="1"/>
  <c r="FU7" i="1"/>
  <c r="FI25" i="1"/>
  <c r="FI7" i="1"/>
  <c r="FF7" i="1"/>
  <c r="FC7" i="1"/>
  <c r="ET25" i="1"/>
  <c r="ET7" i="1"/>
  <c r="EQ7" i="1"/>
  <c r="EN7" i="1"/>
  <c r="EE25" i="1"/>
  <c r="EE7" i="1"/>
  <c r="EB7" i="1"/>
  <c r="DY7" i="1"/>
  <c r="DM7" i="1"/>
  <c r="DJ7" i="1"/>
  <c r="DP25" i="1"/>
  <c r="DP10" i="1"/>
  <c r="DG26" i="1"/>
  <c r="DG10" i="1"/>
  <c r="AJ12" i="9"/>
  <c r="AJ8" i="10"/>
  <c r="AJ7" i="10" s="1"/>
  <c r="AJ12" i="10"/>
  <c r="AJ13" i="10"/>
  <c r="AJ15" i="10"/>
  <c r="W36" i="12"/>
  <c r="W36" i="11"/>
  <c r="W36" i="10"/>
  <c r="AD33" i="12"/>
  <c r="AD32" i="12" s="1"/>
  <c r="AD24" i="12"/>
  <c r="AD23" i="12"/>
  <c r="AD22" i="12"/>
  <c r="AD19" i="12"/>
  <c r="AD10" i="12"/>
  <c r="AD9" i="12"/>
  <c r="AD8" i="12"/>
  <c r="AD33" i="11"/>
  <c r="AD32" i="11" s="1"/>
  <c r="AD24" i="11"/>
  <c r="AD23" i="11"/>
  <c r="AD22" i="11"/>
  <c r="AD19" i="11"/>
  <c r="AD10" i="11"/>
  <c r="AD9" i="11"/>
  <c r="AD8" i="11"/>
  <c r="AD33" i="10"/>
  <c r="AD32" i="10" s="1"/>
  <c r="AD35" i="10" s="1"/>
  <c r="AD24" i="10"/>
  <c r="AD23" i="10"/>
  <c r="AD22" i="10"/>
  <c r="AD19" i="10"/>
  <c r="AD10" i="10"/>
  <c r="AD9" i="10"/>
  <c r="AD8" i="10"/>
  <c r="DD11" i="9"/>
  <c r="DA25" i="9"/>
  <c r="CX11" i="9"/>
  <c r="CX19" i="9"/>
  <c r="K20" i="9"/>
  <c r="K19" i="9"/>
  <c r="Z29" i="9"/>
  <c r="BW13" i="9"/>
  <c r="BW22" i="9"/>
  <c r="CC23" i="9"/>
  <c r="CC22" i="9"/>
  <c r="BW22" i="10"/>
  <c r="BW13" i="10" s="1"/>
  <c r="BT12" i="12"/>
  <c r="BT13" i="12"/>
  <c r="BT20" i="12"/>
  <c r="BT12" i="10"/>
  <c r="BT13" i="10"/>
  <c r="BT12" i="11"/>
  <c r="BT13" i="11"/>
  <c r="BT20" i="11"/>
  <c r="BT20" i="9"/>
  <c r="BT20" i="10"/>
  <c r="BZ31" i="9"/>
  <c r="BZ32" i="9"/>
  <c r="Z29" i="12"/>
  <c r="AG8" i="12"/>
  <c r="AF8" i="12"/>
  <c r="AG8" i="11"/>
  <c r="AF8" i="11"/>
  <c r="AG8" i="10"/>
  <c r="AF8" i="10"/>
  <c r="AG8" i="9"/>
  <c r="AF8" i="9"/>
  <c r="AG8" i="1"/>
  <c r="J41" i="5"/>
  <c r="BQ16" i="12" l="1"/>
  <c r="BN16" i="12"/>
  <c r="BQ16" i="11"/>
  <c r="BN16" i="11"/>
  <c r="BQ16" i="10"/>
  <c r="BN34" i="10"/>
  <c r="BN16" i="10"/>
  <c r="BN13" i="10"/>
  <c r="BN14" i="10"/>
  <c r="Z36" i="10"/>
  <c r="Z36" i="11"/>
  <c r="AG10" i="12"/>
  <c r="AF10" i="12"/>
  <c r="AE10" i="12"/>
  <c r="AC10" i="12"/>
  <c r="AG9" i="12"/>
  <c r="AF9" i="12"/>
  <c r="AE9" i="12"/>
  <c r="AC9" i="12"/>
  <c r="AG10" i="11"/>
  <c r="AF10" i="11"/>
  <c r="AE10" i="11"/>
  <c r="AC10" i="11"/>
  <c r="AG9" i="11"/>
  <c r="AF9" i="11"/>
  <c r="AE9" i="11"/>
  <c r="AC9" i="11"/>
  <c r="AG10" i="10"/>
  <c r="AF10" i="10"/>
  <c r="AE10" i="10"/>
  <c r="AC10" i="10"/>
  <c r="AG9" i="10"/>
  <c r="AF9" i="10"/>
  <c r="AE9" i="10"/>
  <c r="AC9" i="10"/>
  <c r="AG10" i="9"/>
  <c r="AF10" i="9"/>
  <c r="AE10" i="9"/>
  <c r="AD10" i="9"/>
  <c r="AC10" i="9"/>
  <c r="AG9" i="9"/>
  <c r="AF9" i="9"/>
  <c r="AE9" i="9"/>
  <c r="AD9" i="9"/>
  <c r="AC9" i="9"/>
  <c r="CO8" i="12" l="1"/>
  <c r="HB7" i="12"/>
  <c r="GY7" i="12"/>
  <c r="GV7" i="12"/>
  <c r="GM7" i="12"/>
  <c r="GJ7" i="12"/>
  <c r="GG7" i="12"/>
  <c r="FX7" i="12"/>
  <c r="FU7" i="12"/>
  <c r="FI7" i="12"/>
  <c r="FF7" i="12"/>
  <c r="FC7" i="12"/>
  <c r="ET7" i="12"/>
  <c r="EQ7" i="12"/>
  <c r="EN7" i="12"/>
  <c r="EE7" i="12"/>
  <c r="EB7" i="12"/>
  <c r="DY7" i="12"/>
  <c r="H68" i="12"/>
  <c r="EK26" i="12"/>
  <c r="DG26" i="12"/>
  <c r="HB25" i="12"/>
  <c r="GM25" i="12"/>
  <c r="FX25" i="12"/>
  <c r="FI25" i="12"/>
  <c r="ET25" i="12"/>
  <c r="EE25" i="12"/>
  <c r="HB7" i="11"/>
  <c r="GY7" i="11"/>
  <c r="GV7" i="11"/>
  <c r="GM7" i="11"/>
  <c r="GJ7" i="11"/>
  <c r="GG7" i="11"/>
  <c r="FX7" i="11"/>
  <c r="FU7" i="11"/>
  <c r="FI7" i="11"/>
  <c r="FF7" i="11"/>
  <c r="FC7" i="11"/>
  <c r="ET7" i="11"/>
  <c r="EQ7" i="11"/>
  <c r="EN7" i="11"/>
  <c r="EE7" i="11"/>
  <c r="EB7" i="11"/>
  <c r="DY7" i="11"/>
  <c r="H68" i="11"/>
  <c r="EK26" i="11"/>
  <c r="DG26" i="11"/>
  <c r="HB25" i="11"/>
  <c r="GM25" i="11"/>
  <c r="FX25" i="11"/>
  <c r="FI25" i="11"/>
  <c r="ET25" i="11"/>
  <c r="EE25" i="11"/>
  <c r="CO8" i="11"/>
  <c r="HB7" i="10"/>
  <c r="GY7" i="10"/>
  <c r="GV7" i="10"/>
  <c r="GM7" i="10"/>
  <c r="GJ7" i="10"/>
  <c r="GG7" i="10"/>
  <c r="FX7" i="10"/>
  <c r="FU7" i="10"/>
  <c r="FI7" i="10"/>
  <c r="FF7" i="10"/>
  <c r="FC7" i="10"/>
  <c r="ET7" i="10"/>
  <c r="EQ7" i="10"/>
  <c r="EN7" i="10"/>
  <c r="EE7" i="10"/>
  <c r="EB7" i="10"/>
  <c r="DY7" i="10"/>
  <c r="H68" i="10"/>
  <c r="EK26" i="10"/>
  <c r="DG26" i="10"/>
  <c r="HB25" i="10"/>
  <c r="GM25" i="10"/>
  <c r="FX25" i="10"/>
  <c r="FI25" i="10"/>
  <c r="ET25" i="10"/>
  <c r="EE25" i="10"/>
  <c r="CO23" i="10"/>
  <c r="HB7" i="9"/>
  <c r="GY7" i="9"/>
  <c r="GV7" i="9"/>
  <c r="GM7" i="9"/>
  <c r="GJ7" i="9"/>
  <c r="GG7" i="9"/>
  <c r="FX7" i="9"/>
  <c r="FU7" i="9"/>
  <c r="FI7" i="9"/>
  <c r="FF7" i="9"/>
  <c r="FC7" i="9"/>
  <c r="ET7" i="9"/>
  <c r="EQ7" i="9"/>
  <c r="EN7" i="9"/>
  <c r="H68" i="9"/>
  <c r="EK26" i="9"/>
  <c r="DG26" i="9"/>
  <c r="HB25" i="9"/>
  <c r="GM25" i="9"/>
  <c r="FX25" i="9"/>
  <c r="FI25" i="9"/>
  <c r="ET25" i="9"/>
  <c r="CO23" i="9"/>
  <c r="CO23" i="12" l="1"/>
  <c r="CO23" i="11"/>
  <c r="CO8" i="10"/>
  <c r="CO5" i="1"/>
  <c r="CO8" i="9"/>
  <c r="EE7" i="9"/>
  <c r="EE25" i="9"/>
  <c r="EB7" i="9"/>
  <c r="DY7" i="9"/>
  <c r="DA26" i="9" l="1"/>
  <c r="HE37" i="12"/>
  <c r="HE33" i="12"/>
  <c r="HE28" i="12"/>
  <c r="HE27" i="12" s="1"/>
  <c r="HB27" i="12"/>
  <c r="GM27" i="12"/>
  <c r="FI27" i="12"/>
  <c r="ET27" i="12"/>
  <c r="EE27" i="12"/>
  <c r="ET23" i="12"/>
  <c r="EE23" i="12"/>
  <c r="HB24" i="12"/>
  <c r="GM24" i="12"/>
  <c r="FX24" i="12"/>
  <c r="ET24" i="12"/>
  <c r="EE24" i="12"/>
  <c r="DP24" i="12"/>
  <c r="HB23" i="12"/>
  <c r="GM23" i="12"/>
  <c r="FX23" i="12"/>
  <c r="DG23" i="12"/>
  <c r="DG20" i="12" s="1"/>
  <c r="DG16" i="12" s="1"/>
  <c r="DG7" i="12" s="1"/>
  <c r="HB16" i="12"/>
  <c r="GM16" i="12"/>
  <c r="FX16" i="12"/>
  <c r="ET16" i="12"/>
  <c r="EE16" i="12"/>
  <c r="DP16" i="12"/>
  <c r="DP7" i="12" s="1"/>
  <c r="FU14" i="12"/>
  <c r="DP11" i="12"/>
  <c r="DP6" i="12" s="1"/>
  <c r="DD11" i="12"/>
  <c r="HB9" i="12"/>
  <c r="GY9" i="12"/>
  <c r="GV9" i="12"/>
  <c r="GM9" i="12"/>
  <c r="GJ9" i="12"/>
  <c r="GG9" i="12"/>
  <c r="FI9" i="12"/>
  <c r="FF9" i="12"/>
  <c r="FC9" i="12"/>
  <c r="ET9" i="12"/>
  <c r="EQ9" i="12"/>
  <c r="EN9" i="12"/>
  <c r="EE9" i="12"/>
  <c r="EB9" i="12"/>
  <c r="DY9" i="12"/>
  <c r="HE8" i="12"/>
  <c r="GP8" i="12"/>
  <c r="GA8" i="12"/>
  <c r="FL8" i="12"/>
  <c r="EW8" i="12"/>
  <c r="EH8" i="12"/>
  <c r="DS8" i="12"/>
  <c r="DD8" i="12"/>
  <c r="HE7" i="12"/>
  <c r="HD3" i="12" s="1"/>
  <c r="ET5" i="12"/>
  <c r="HB6" i="12"/>
  <c r="GY6" i="12"/>
  <c r="GV6" i="12"/>
  <c r="GP6" i="12"/>
  <c r="GM6" i="12"/>
  <c r="GJ6" i="12"/>
  <c r="GG6" i="12"/>
  <c r="GA6" i="12"/>
  <c r="GA7" i="12" s="1"/>
  <c r="FX6" i="12"/>
  <c r="FU6" i="12"/>
  <c r="FL6" i="12"/>
  <c r="FL7" i="12" s="1"/>
  <c r="FI6" i="12"/>
  <c r="FF6" i="12"/>
  <c r="FC6" i="12"/>
  <c r="EW6" i="12"/>
  <c r="ET6" i="12"/>
  <c r="EQ6" i="12"/>
  <c r="EN6" i="12"/>
  <c r="EH6" i="12"/>
  <c r="EH7" i="12" s="1"/>
  <c r="EE6" i="12"/>
  <c r="EE3" i="12" s="1"/>
  <c r="EB6" i="12"/>
  <c r="DY6" i="12"/>
  <c r="DS6" i="12"/>
  <c r="DS7" i="12" s="1"/>
  <c r="DM6" i="12"/>
  <c r="DJ6" i="12"/>
  <c r="DD6" i="12"/>
  <c r="DD7" i="12" s="1"/>
  <c r="HB5" i="12"/>
  <c r="GY5" i="12"/>
  <c r="GV5" i="12"/>
  <c r="GS5" i="12"/>
  <c r="GM5" i="12"/>
  <c r="GM3" i="12" s="1"/>
  <c r="GJ5" i="12"/>
  <c r="GG5" i="12"/>
  <c r="GD5" i="12"/>
  <c r="FX5" i="12"/>
  <c r="FU5" i="12"/>
  <c r="FR5" i="12"/>
  <c r="FI5" i="12"/>
  <c r="FF5" i="12"/>
  <c r="FC5" i="12"/>
  <c r="EZ5" i="12"/>
  <c r="EQ5" i="12"/>
  <c r="EN5" i="12"/>
  <c r="EK5" i="12"/>
  <c r="EE5" i="12"/>
  <c r="EB5" i="12"/>
  <c r="DY5" i="12"/>
  <c r="DV5" i="12"/>
  <c r="FX3" i="12"/>
  <c r="HE37" i="11"/>
  <c r="HE33" i="11"/>
  <c r="HD23" i="11" s="1"/>
  <c r="HE28" i="11"/>
  <c r="HE27" i="11" s="1"/>
  <c r="HB27" i="11"/>
  <c r="GM27" i="11"/>
  <c r="FI27" i="11"/>
  <c r="ET27" i="11"/>
  <c r="EE27" i="11"/>
  <c r="ET23" i="11"/>
  <c r="EE23" i="11"/>
  <c r="HB24" i="11"/>
  <c r="GM24" i="11"/>
  <c r="FX24" i="11"/>
  <c r="ET24" i="11"/>
  <c r="EE24" i="11"/>
  <c r="DP24" i="11"/>
  <c r="HB23" i="11"/>
  <c r="GM23" i="11"/>
  <c r="FX23" i="11"/>
  <c r="DG23" i="11"/>
  <c r="DG20" i="11"/>
  <c r="DG16" i="11" s="1"/>
  <c r="DG7" i="11" s="1"/>
  <c r="HB16" i="11"/>
  <c r="GM16" i="11"/>
  <c r="FX16" i="11"/>
  <c r="ET16" i="11"/>
  <c r="EE16" i="11"/>
  <c r="DP16" i="11"/>
  <c r="FU14" i="11"/>
  <c r="DP11" i="11"/>
  <c r="DP6" i="11" s="1"/>
  <c r="DG11" i="11"/>
  <c r="DD11" i="11"/>
  <c r="HB9" i="11"/>
  <c r="GY9" i="11"/>
  <c r="GV9" i="11"/>
  <c r="GM9" i="11"/>
  <c r="GJ9" i="11"/>
  <c r="GG9" i="11"/>
  <c r="FI9" i="11"/>
  <c r="FF9" i="11"/>
  <c r="FC9" i="11"/>
  <c r="ET9" i="11"/>
  <c r="EQ9" i="11"/>
  <c r="EN9" i="11"/>
  <c r="EE9" i="11"/>
  <c r="EB9" i="11"/>
  <c r="DY9" i="11"/>
  <c r="HE8" i="11"/>
  <c r="GP8" i="11"/>
  <c r="GA8" i="11"/>
  <c r="FL8" i="11"/>
  <c r="EW8" i="11"/>
  <c r="EH8" i="11"/>
  <c r="DS8" i="11"/>
  <c r="DD8" i="11"/>
  <c r="HE7" i="11"/>
  <c r="HD3" i="11" s="1"/>
  <c r="ET5" i="11"/>
  <c r="DP7" i="11"/>
  <c r="HB6" i="11"/>
  <c r="GY6" i="11"/>
  <c r="GV6" i="11"/>
  <c r="GP6" i="11"/>
  <c r="GP7" i="11" s="1"/>
  <c r="GM6" i="11"/>
  <c r="GJ6" i="11"/>
  <c r="GG6" i="11"/>
  <c r="GA6" i="11"/>
  <c r="GA7" i="11" s="1"/>
  <c r="FX6" i="11"/>
  <c r="FU6" i="11"/>
  <c r="FL6" i="11"/>
  <c r="FI6" i="11"/>
  <c r="FF6" i="11"/>
  <c r="FC6" i="11"/>
  <c r="EW6" i="11"/>
  <c r="ET6" i="11"/>
  <c r="EQ6" i="11"/>
  <c r="EN6" i="11"/>
  <c r="EH6" i="11"/>
  <c r="EE6" i="11"/>
  <c r="EB6" i="11"/>
  <c r="DY6" i="11"/>
  <c r="DS6" i="11"/>
  <c r="DM6" i="11"/>
  <c r="DJ6" i="11"/>
  <c r="DD6" i="11"/>
  <c r="HB5" i="11"/>
  <c r="GY5" i="11"/>
  <c r="GV5" i="11"/>
  <c r="GS5" i="11"/>
  <c r="GM5" i="11"/>
  <c r="GJ5" i="11"/>
  <c r="GG5" i="11"/>
  <c r="GD5" i="11"/>
  <c r="FX5" i="11"/>
  <c r="FU5" i="11"/>
  <c r="FR5" i="11"/>
  <c r="FI5" i="11"/>
  <c r="FF5" i="11"/>
  <c r="FC5" i="11"/>
  <c r="EZ5" i="11"/>
  <c r="EQ5" i="11"/>
  <c r="EN5" i="11"/>
  <c r="EK5" i="11"/>
  <c r="EE5" i="11"/>
  <c r="EB5" i="11"/>
  <c r="DY5" i="11"/>
  <c r="DV5" i="11"/>
  <c r="FX3" i="11"/>
  <c r="HE37" i="10"/>
  <c r="HE33" i="10" s="1"/>
  <c r="HD23" i="10" s="1"/>
  <c r="HE28" i="10"/>
  <c r="HE27" i="10"/>
  <c r="HB27" i="10"/>
  <c r="GM27" i="10"/>
  <c r="FI27" i="10"/>
  <c r="ET27" i="10"/>
  <c r="EE27" i="10"/>
  <c r="ET23" i="10"/>
  <c r="EE23" i="10"/>
  <c r="HB24" i="10"/>
  <c r="GM24" i="10"/>
  <c r="FX24" i="10"/>
  <c r="ET24" i="10"/>
  <c r="EE24" i="10"/>
  <c r="DP24" i="10"/>
  <c r="HB23" i="10"/>
  <c r="GM23" i="10"/>
  <c r="FX23" i="10"/>
  <c r="DG23" i="10"/>
  <c r="DG20" i="10" s="1"/>
  <c r="HB16" i="10"/>
  <c r="GM16" i="10"/>
  <c r="FX16" i="10"/>
  <c r="ET16" i="10"/>
  <c r="EE16" i="10"/>
  <c r="DP16" i="10"/>
  <c r="DP7" i="10" s="1"/>
  <c r="FU14" i="10"/>
  <c r="DP11" i="10"/>
  <c r="DP6" i="10" s="1"/>
  <c r="DD11" i="10"/>
  <c r="HB9" i="10"/>
  <c r="GY9" i="10"/>
  <c r="GV9" i="10"/>
  <c r="GM9" i="10"/>
  <c r="GJ9" i="10"/>
  <c r="GG9" i="10"/>
  <c r="FI9" i="10"/>
  <c r="FF9" i="10"/>
  <c r="FC9" i="10"/>
  <c r="ET9" i="10"/>
  <c r="EQ9" i="10"/>
  <c r="EN9" i="10"/>
  <c r="EE9" i="10"/>
  <c r="EB9" i="10"/>
  <c r="DY9" i="10"/>
  <c r="HE8" i="10"/>
  <c r="GP8" i="10"/>
  <c r="GA8" i="10"/>
  <c r="FL8" i="10"/>
  <c r="EW8" i="10"/>
  <c r="EH8" i="10"/>
  <c r="DS8" i="10"/>
  <c r="DD8" i="10"/>
  <c r="HE7" i="10"/>
  <c r="HD3" i="10" s="1"/>
  <c r="ET5" i="10"/>
  <c r="HB6" i="10"/>
  <c r="GY6" i="10"/>
  <c r="GV6" i="10"/>
  <c r="GP6" i="10"/>
  <c r="GM6" i="10"/>
  <c r="GJ6" i="10"/>
  <c r="GG6" i="10"/>
  <c r="GA6" i="10"/>
  <c r="FX6" i="10"/>
  <c r="FU6" i="10"/>
  <c r="FL6" i="10"/>
  <c r="FI6" i="10"/>
  <c r="FF6" i="10"/>
  <c r="FC6" i="10"/>
  <c r="EW6" i="10"/>
  <c r="EW7" i="10" s="1"/>
  <c r="EZ3" i="10" s="1"/>
  <c r="ET6" i="10"/>
  <c r="EQ6" i="10"/>
  <c r="EN6" i="10"/>
  <c r="EH6" i="10"/>
  <c r="EE6" i="10"/>
  <c r="EB6" i="10"/>
  <c r="DY6" i="10"/>
  <c r="DS6" i="10"/>
  <c r="DS7" i="10" s="1"/>
  <c r="DM6" i="10"/>
  <c r="DJ6" i="10"/>
  <c r="DD6" i="10"/>
  <c r="DD7" i="10" s="1"/>
  <c r="HB5" i="10"/>
  <c r="GY5" i="10"/>
  <c r="GV5" i="10"/>
  <c r="GS5" i="10"/>
  <c r="GM5" i="10"/>
  <c r="GJ5" i="10"/>
  <c r="GG5" i="10"/>
  <c r="GD5" i="10"/>
  <c r="FX5" i="10"/>
  <c r="FU5" i="10"/>
  <c r="FR5" i="10"/>
  <c r="FI5" i="10"/>
  <c r="FF5" i="10"/>
  <c r="FC5" i="10"/>
  <c r="EZ5" i="10"/>
  <c r="EQ5" i="10"/>
  <c r="EN5" i="10"/>
  <c r="EK5" i="10"/>
  <c r="EE5" i="10"/>
  <c r="EB5" i="10"/>
  <c r="DY5" i="10"/>
  <c r="DV5" i="10"/>
  <c r="FX3" i="10"/>
  <c r="CU26" i="9"/>
  <c r="N32" i="12"/>
  <c r="N15" i="12"/>
  <c r="Q32" i="11"/>
  <c r="N32" i="11"/>
  <c r="T15" i="11"/>
  <c r="Q15" i="11"/>
  <c r="Q13" i="11"/>
  <c r="Q12" i="11"/>
  <c r="E11" i="9"/>
  <c r="H21" i="9"/>
  <c r="Q32" i="7"/>
  <c r="N32" i="7"/>
  <c r="T15" i="7"/>
  <c r="Q15" i="7"/>
  <c r="N15" i="7"/>
  <c r="BE30" i="12"/>
  <c r="BE32" i="12"/>
  <c r="BB32" i="12"/>
  <c r="BE32" i="11"/>
  <c r="BB32" i="11"/>
  <c r="BE32" i="10"/>
  <c r="BB32" i="10"/>
  <c r="BH15" i="12"/>
  <c r="BE15" i="12"/>
  <c r="BB15" i="12"/>
  <c r="BH15" i="11"/>
  <c r="BE15" i="11"/>
  <c r="BB15" i="11"/>
  <c r="BH15" i="10"/>
  <c r="BE15" i="10"/>
  <c r="BB15" i="10"/>
  <c r="BB13" i="10"/>
  <c r="BE32" i="9"/>
  <c r="BH15" i="9"/>
  <c r="BE15" i="9"/>
  <c r="BB15" i="9"/>
  <c r="AV29" i="12"/>
  <c r="BB14" i="1"/>
  <c r="BE14" i="1"/>
  <c r="BH14" i="1"/>
  <c r="BH15" i="1"/>
  <c r="AY15" i="12"/>
  <c r="AV15" i="12"/>
  <c r="AS15" i="12"/>
  <c r="AS30" i="11"/>
  <c r="AV32" i="12"/>
  <c r="AS32" i="12"/>
  <c r="AV32" i="11"/>
  <c r="AS32" i="11"/>
  <c r="AY15" i="11"/>
  <c r="AV15" i="11"/>
  <c r="AS15" i="11"/>
  <c r="AJ32" i="11"/>
  <c r="AM32" i="11"/>
  <c r="AP15" i="11"/>
  <c r="AM15" i="11"/>
  <c r="AJ15" i="11"/>
  <c r="AE8" i="9"/>
  <c r="AD8" i="9"/>
  <c r="AE8" i="12"/>
  <c r="AC8" i="12"/>
  <c r="AE8" i="11"/>
  <c r="AC8" i="11"/>
  <c r="AE8" i="10"/>
  <c r="AC8" i="9"/>
  <c r="AC8" i="10"/>
  <c r="AD37" i="10"/>
  <c r="N8" i="6"/>
  <c r="H55" i="12"/>
  <c r="K51" i="12"/>
  <c r="H55" i="11"/>
  <c r="K51" i="11"/>
  <c r="H55" i="10"/>
  <c r="K51" i="10"/>
  <c r="H55" i="9"/>
  <c r="K51" i="9"/>
  <c r="K51" i="7"/>
  <c r="H55" i="8"/>
  <c r="K51" i="1"/>
  <c r="H55" i="1"/>
  <c r="H55" i="6"/>
  <c r="E7" i="12"/>
  <c r="E7" i="11"/>
  <c r="E7" i="10"/>
  <c r="E7" i="9"/>
  <c r="E7" i="7"/>
  <c r="E7" i="8"/>
  <c r="E7" i="6"/>
  <c r="E7" i="1"/>
  <c r="E6" i="1" s="1"/>
  <c r="DG16" i="10" l="1"/>
  <c r="DG7" i="10" s="1"/>
  <c r="DG11" i="10"/>
  <c r="EW7" i="12"/>
  <c r="EZ3" i="12" s="1"/>
  <c r="GP7" i="10"/>
  <c r="GY3" i="10" s="1"/>
  <c r="GM3" i="11"/>
  <c r="DS7" i="11"/>
  <c r="DY3" i="11" s="1"/>
  <c r="EW7" i="11"/>
  <c r="FL7" i="11"/>
  <c r="EE3" i="11"/>
  <c r="HB3" i="11"/>
  <c r="FL7" i="10"/>
  <c r="DD7" i="11"/>
  <c r="GP7" i="12"/>
  <c r="GY3" i="12" s="1"/>
  <c r="DD3" i="10"/>
  <c r="DD3" i="12"/>
  <c r="EZ3" i="11"/>
  <c r="FC3" i="11"/>
  <c r="FF3" i="11"/>
  <c r="DD3" i="11"/>
  <c r="FF3" i="10"/>
  <c r="HB3" i="10"/>
  <c r="FI3" i="12"/>
  <c r="FI3" i="10"/>
  <c r="EH7" i="10"/>
  <c r="EK3" i="10" s="1"/>
  <c r="DG6" i="11"/>
  <c r="ET3" i="11"/>
  <c r="ET3" i="12"/>
  <c r="FC3" i="10"/>
  <c r="GM3" i="10"/>
  <c r="GA7" i="10"/>
  <c r="GG3" i="10" s="1"/>
  <c r="FI3" i="11"/>
  <c r="EH7" i="11"/>
  <c r="EH3" i="11" s="1"/>
  <c r="EE3" i="10"/>
  <c r="DG6" i="10"/>
  <c r="ET3" i="10"/>
  <c r="GY3" i="11"/>
  <c r="DG11" i="12"/>
  <c r="K45" i="9"/>
  <c r="HD23" i="12"/>
  <c r="GV3" i="12"/>
  <c r="EB3" i="12"/>
  <c r="GV3" i="11"/>
  <c r="GV3" i="10"/>
  <c r="EB3" i="10"/>
  <c r="EQ3" i="12"/>
  <c r="EK3" i="12"/>
  <c r="EN3" i="12"/>
  <c r="EH3" i="12"/>
  <c r="FU3" i="12"/>
  <c r="FR3" i="12"/>
  <c r="FO3" i="12"/>
  <c r="GJ3" i="12"/>
  <c r="FL3" i="12"/>
  <c r="GD3" i="12"/>
  <c r="GA3" i="12"/>
  <c r="GG3" i="12"/>
  <c r="FC3" i="12"/>
  <c r="FF3" i="12"/>
  <c r="DS3" i="12"/>
  <c r="DV3" i="12"/>
  <c r="GP3" i="12"/>
  <c r="DY3" i="12"/>
  <c r="EN3" i="11"/>
  <c r="EK3" i="11"/>
  <c r="FU3" i="11"/>
  <c r="FR3" i="11"/>
  <c r="FO3" i="11"/>
  <c r="GJ3" i="11"/>
  <c r="FL3" i="11"/>
  <c r="GD3" i="11"/>
  <c r="GG3" i="11"/>
  <c r="GA3" i="11"/>
  <c r="GP3" i="11"/>
  <c r="EW3" i="11"/>
  <c r="GS3" i="11"/>
  <c r="EQ3" i="10"/>
  <c r="EH3" i="10"/>
  <c r="FU3" i="10"/>
  <c r="FR3" i="10"/>
  <c r="GD3" i="10"/>
  <c r="FO3" i="10"/>
  <c r="GJ3" i="10"/>
  <c r="FL3" i="10"/>
  <c r="GA3" i="10"/>
  <c r="DS3" i="10"/>
  <c r="DV3" i="10"/>
  <c r="GP3" i="10"/>
  <c r="DY3" i="10"/>
  <c r="EW3" i="10"/>
  <c r="GS3" i="10"/>
  <c r="K9" i="12"/>
  <c r="K8" i="12"/>
  <c r="K7" i="12"/>
  <c r="K6" i="12"/>
  <c r="K9" i="11"/>
  <c r="K8" i="11"/>
  <c r="K7" i="11"/>
  <c r="K6" i="11"/>
  <c r="K9" i="10"/>
  <c r="K8" i="10"/>
  <c r="K7" i="10"/>
  <c r="K6" i="10"/>
  <c r="K9" i="9"/>
  <c r="K8" i="9"/>
  <c r="K7" i="9"/>
  <c r="K6" i="9"/>
  <c r="K9" i="7"/>
  <c r="K8" i="7"/>
  <c r="K7" i="7"/>
  <c r="K6" i="7"/>
  <c r="K9" i="8"/>
  <c r="K8" i="8"/>
  <c r="K7" i="8"/>
  <c r="K6" i="8"/>
  <c r="K9" i="6"/>
  <c r="K8" i="6"/>
  <c r="K7" i="6"/>
  <c r="K6" i="6"/>
  <c r="K9" i="1"/>
  <c r="K8" i="1"/>
  <c r="K7" i="1"/>
  <c r="K6" i="1"/>
  <c r="BZ8" i="6"/>
  <c r="BZ8" i="7"/>
  <c r="BZ7" i="7"/>
  <c r="BZ6" i="7"/>
  <c r="BZ8" i="8"/>
  <c r="BZ7" i="8"/>
  <c r="BZ6" i="8"/>
  <c r="BZ7" i="6"/>
  <c r="BZ6" i="6"/>
  <c r="BZ8" i="1"/>
  <c r="BZ7" i="1"/>
  <c r="BZ6" i="1"/>
  <c r="B40" i="12"/>
  <c r="B41" i="12"/>
  <c r="B40" i="11"/>
  <c r="B41" i="11"/>
  <c r="B40" i="10"/>
  <c r="B41" i="10"/>
  <c r="B40" i="9"/>
  <c r="B41" i="9"/>
  <c r="B28" i="7"/>
  <c r="CO20" i="7" s="1"/>
  <c r="B29" i="7"/>
  <c r="B28" i="8"/>
  <c r="B29" i="8"/>
  <c r="CO5" i="8" s="1"/>
  <c r="B28" i="6"/>
  <c r="CO20" i="6" s="1"/>
  <c r="B29" i="6"/>
  <c r="CO5" i="6"/>
  <c r="CO23" i="7"/>
  <c r="CO21" i="7" s="1"/>
  <c r="CO22" i="7"/>
  <c r="CO23" i="8"/>
  <c r="CO21" i="8" s="1"/>
  <c r="CO22" i="8"/>
  <c r="CO20" i="8"/>
  <c r="CO22" i="6"/>
  <c r="CO21" i="6"/>
  <c r="CO6" i="9"/>
  <c r="CO7" i="9"/>
  <c r="CO6" i="10"/>
  <c r="CO7" i="10"/>
  <c r="CO6" i="11"/>
  <c r="CO7" i="11"/>
  <c r="CO8" i="7"/>
  <c r="CO6" i="7" s="1"/>
  <c r="CO7" i="7"/>
  <c r="CO5" i="7"/>
  <c r="CO8" i="8"/>
  <c r="CO6" i="8" s="1"/>
  <c r="CO7" i="8"/>
  <c r="CO8" i="6"/>
  <c r="CO6" i="6" s="1"/>
  <c r="CO7" i="6"/>
  <c r="CP34" i="1"/>
  <c r="CO20" i="1"/>
  <c r="CO23" i="1"/>
  <c r="CO8" i="1"/>
  <c r="CC29" i="8"/>
  <c r="CC29" i="7"/>
  <c r="CF29" i="7"/>
  <c r="CI14" i="7"/>
  <c r="CF14" i="7"/>
  <c r="CC14" i="7"/>
  <c r="DV3" i="11" l="1"/>
  <c r="EN3" i="10"/>
  <c r="DS3" i="11"/>
  <c r="EQ3" i="11"/>
  <c r="EW3" i="12"/>
  <c r="EB3" i="11"/>
  <c r="HB3" i="12"/>
  <c r="GS3" i="12"/>
  <c r="CO20" i="10"/>
  <c r="CR20" i="10"/>
  <c r="DP25" i="10"/>
  <c r="DP23" i="10" s="1"/>
  <c r="DP10" i="10"/>
  <c r="DP5" i="10" s="1"/>
  <c r="DJ7" i="10"/>
  <c r="DJ5" i="10" s="1"/>
  <c r="DJ3" i="10" s="1"/>
  <c r="DG10" i="10"/>
  <c r="DG5" i="10" s="1"/>
  <c r="DG3" i="10" s="1"/>
  <c r="DM7" i="10"/>
  <c r="DM5" i="10" s="1"/>
  <c r="DM3" i="10" s="1"/>
  <c r="CR5" i="11"/>
  <c r="CO5" i="11"/>
  <c r="DG6" i="12"/>
  <c r="CR20" i="9"/>
  <c r="CO20" i="9"/>
  <c r="CR20" i="11"/>
  <c r="CO20" i="11"/>
  <c r="DM7" i="11"/>
  <c r="DM5" i="11" s="1"/>
  <c r="DM3" i="11" s="1"/>
  <c r="DP25" i="11"/>
  <c r="DP23" i="11" s="1"/>
  <c r="DP10" i="11"/>
  <c r="DP5" i="11" s="1"/>
  <c r="DP3" i="11" s="1"/>
  <c r="DJ7" i="11"/>
  <c r="DJ5" i="11" s="1"/>
  <c r="DJ3" i="11" s="1"/>
  <c r="DG10" i="11"/>
  <c r="DG5" i="11" s="1"/>
  <c r="DG3" i="11" s="1"/>
  <c r="CR20" i="12"/>
  <c r="CO20" i="12"/>
  <c r="DP25" i="12"/>
  <c r="DP23" i="12" s="1"/>
  <c r="DM7" i="12"/>
  <c r="DM5" i="12" s="1"/>
  <c r="DM3" i="12" s="1"/>
  <c r="DP10" i="12"/>
  <c r="DP5" i="12" s="1"/>
  <c r="DG10" i="12"/>
  <c r="DG5" i="12" s="1"/>
  <c r="DG3" i="12" s="1"/>
  <c r="DJ7" i="12"/>
  <c r="DJ5" i="12" s="1"/>
  <c r="DJ3" i="12" s="1"/>
  <c r="CR5" i="9"/>
  <c r="CO5" i="9"/>
  <c r="CO5" i="10"/>
  <c r="CR5" i="10"/>
  <c r="CR5" i="12"/>
  <c r="CO5" i="12"/>
  <c r="BE32" i="7"/>
  <c r="BB32" i="7"/>
  <c r="BH15" i="7"/>
  <c r="BE15" i="7"/>
  <c r="BB15" i="7"/>
  <c r="Z10" i="6"/>
  <c r="W35" i="7"/>
  <c r="Z14" i="7"/>
  <c r="AV32" i="7"/>
  <c r="AS32" i="7"/>
  <c r="AY15" i="7"/>
  <c r="AV15" i="7"/>
  <c r="AS15" i="7"/>
  <c r="W14" i="7"/>
  <c r="AJ15" i="8"/>
  <c r="AM32" i="7"/>
  <c r="AJ32" i="7"/>
  <c r="AP15" i="7"/>
  <c r="AM15" i="7"/>
  <c r="AJ15" i="7"/>
  <c r="B10" i="1"/>
  <c r="CC29" i="1" s="1"/>
  <c r="E10" i="1"/>
  <c r="CF29" i="12"/>
  <c r="CC29" i="12"/>
  <c r="CF29" i="11"/>
  <c r="CC29" i="11"/>
  <c r="CF29" i="10"/>
  <c r="CC29" i="10"/>
  <c r="BN34" i="12"/>
  <c r="BK34" i="12"/>
  <c r="BN33" i="12"/>
  <c r="BK33" i="12"/>
  <c r="AG33" i="12"/>
  <c r="AF33" i="12"/>
  <c r="AF32" i="12" s="1"/>
  <c r="AE33" i="12"/>
  <c r="AE32" i="12" s="1"/>
  <c r="AC33" i="12"/>
  <c r="AC32" i="12" s="1"/>
  <c r="BN32" i="12"/>
  <c r="BK32" i="12"/>
  <c r="AM32" i="12"/>
  <c r="AJ32" i="12"/>
  <c r="AG32" i="12"/>
  <c r="Q32" i="12"/>
  <c r="BN34" i="11"/>
  <c r="BK34" i="11"/>
  <c r="BN33" i="11"/>
  <c r="BK33" i="11"/>
  <c r="AG33" i="11"/>
  <c r="AG32" i="11" s="1"/>
  <c r="AF33" i="11"/>
  <c r="AF32" i="11" s="1"/>
  <c r="AE33" i="11"/>
  <c r="AC33" i="11"/>
  <c r="AC32" i="11" s="1"/>
  <c r="BN32" i="11"/>
  <c r="BK32" i="11"/>
  <c r="AE32" i="11"/>
  <c r="BK34" i="10"/>
  <c r="BN33" i="10"/>
  <c r="BK33" i="10"/>
  <c r="AG33" i="10"/>
  <c r="AF33" i="10"/>
  <c r="AF32" i="10" s="1"/>
  <c r="AE33" i="10"/>
  <c r="AE32" i="10" s="1"/>
  <c r="AC33" i="10"/>
  <c r="AC32" i="10" s="1"/>
  <c r="BN32" i="10"/>
  <c r="BK32" i="10"/>
  <c r="AV32" i="10"/>
  <c r="AS32" i="10"/>
  <c r="AM32" i="10"/>
  <c r="AJ32" i="10"/>
  <c r="AG32" i="10"/>
  <c r="Q32" i="10"/>
  <c r="N32" i="10"/>
  <c r="N15" i="10"/>
  <c r="BQ15" i="12"/>
  <c r="BN15" i="12"/>
  <c r="BK15" i="12"/>
  <c r="AP15" i="12"/>
  <c r="AM15" i="12"/>
  <c r="AJ15" i="12"/>
  <c r="Z15" i="12"/>
  <c r="W15" i="12"/>
  <c r="T15" i="12"/>
  <c r="Q15" i="12"/>
  <c r="CI14" i="12"/>
  <c r="CF14" i="12"/>
  <c r="CC14" i="12"/>
  <c r="BQ14" i="12"/>
  <c r="BN14" i="12"/>
  <c r="BK14" i="12"/>
  <c r="Z14" i="12"/>
  <c r="W14" i="12"/>
  <c r="W14" i="11"/>
  <c r="Z14" i="11"/>
  <c r="BK14" i="11"/>
  <c r="BN14" i="11"/>
  <c r="BQ14" i="11"/>
  <c r="CF14" i="11"/>
  <c r="N15" i="11"/>
  <c r="CC14" i="11" s="1"/>
  <c r="CI14" i="11"/>
  <c r="W15" i="11"/>
  <c r="Z15" i="11"/>
  <c r="BK15" i="11"/>
  <c r="BN15" i="11"/>
  <c r="BQ15" i="11"/>
  <c r="BK16" i="12"/>
  <c r="BQ15" i="10"/>
  <c r="BN15" i="10"/>
  <c r="BK15" i="10"/>
  <c r="AY15" i="10"/>
  <c r="AV15" i="10"/>
  <c r="AS15" i="10"/>
  <c r="AP15" i="10"/>
  <c r="AM15" i="10"/>
  <c r="Z15" i="10"/>
  <c r="W15" i="10"/>
  <c r="T15" i="10"/>
  <c r="Q15" i="10"/>
  <c r="CI14" i="10"/>
  <c r="CF14" i="10"/>
  <c r="CC14" i="10"/>
  <c r="BQ14" i="10"/>
  <c r="BK14" i="10"/>
  <c r="Z14" i="10"/>
  <c r="W14" i="10"/>
  <c r="CF29" i="9"/>
  <c r="CI14" i="9"/>
  <c r="CF14" i="9"/>
  <c r="CC14" i="9"/>
  <c r="BN34" i="9"/>
  <c r="BQ16" i="9"/>
  <c r="BN16" i="9"/>
  <c r="BK16" i="9"/>
  <c r="AV32" i="9"/>
  <c r="AY15" i="9"/>
  <c r="AV15" i="9"/>
  <c r="AS15" i="9"/>
  <c r="AM32" i="9"/>
  <c r="AP15" i="9"/>
  <c r="AM15" i="9"/>
  <c r="AJ15" i="9"/>
  <c r="Q32" i="9"/>
  <c r="T15" i="9"/>
  <c r="Q15" i="9"/>
  <c r="N15" i="9"/>
  <c r="B22" i="9"/>
  <c r="BB32" i="9" s="1"/>
  <c r="CF29" i="8"/>
  <c r="CF29" i="6"/>
  <c r="CC29" i="6"/>
  <c r="BN34" i="7"/>
  <c r="BK34" i="7"/>
  <c r="BN33" i="7"/>
  <c r="BK33" i="7"/>
  <c r="AM33" i="7"/>
  <c r="AJ33" i="7"/>
  <c r="BN34" i="8"/>
  <c r="BK34" i="8"/>
  <c r="BN33" i="8"/>
  <c r="BK33" i="8"/>
  <c r="AM33" i="8"/>
  <c r="AJ33" i="8"/>
  <c r="BE32" i="8"/>
  <c r="BB32" i="8"/>
  <c r="AV32" i="8"/>
  <c r="AS32" i="8"/>
  <c r="AM32" i="8"/>
  <c r="AJ32" i="8"/>
  <c r="BN34" i="6"/>
  <c r="BK34" i="6"/>
  <c r="BN33" i="6"/>
  <c r="BK33" i="6"/>
  <c r="AM33" i="6"/>
  <c r="AJ33" i="6"/>
  <c r="BE32" i="6"/>
  <c r="BB32" i="6"/>
  <c r="AV32" i="6"/>
  <c r="AS32" i="6"/>
  <c r="AM32" i="6"/>
  <c r="AJ32" i="6"/>
  <c r="Q32" i="8"/>
  <c r="N32" i="8"/>
  <c r="Q32" i="6"/>
  <c r="N32" i="6"/>
  <c r="Z29" i="6"/>
  <c r="AC29" i="6"/>
  <c r="AD29" i="6"/>
  <c r="AE29" i="6"/>
  <c r="AF29" i="6"/>
  <c r="AG29" i="6"/>
  <c r="AJ30" i="6"/>
  <c r="AS30" i="6" s="1"/>
  <c r="BB30" i="6" s="1"/>
  <c r="AM30" i="6"/>
  <c r="AV30" i="6" s="1"/>
  <c r="BE30" i="6" s="1"/>
  <c r="W31" i="6"/>
  <c r="Z31" i="6"/>
  <c r="AS31" i="6"/>
  <c r="AV31" i="6"/>
  <c r="BB31" i="6"/>
  <c r="BE31" i="6"/>
  <c r="AC33" i="6"/>
  <c r="AC32" i="6" s="1"/>
  <c r="AC35" i="6" s="1"/>
  <c r="AD33" i="6"/>
  <c r="AD32" i="6" s="1"/>
  <c r="AD35" i="6" s="1"/>
  <c r="AE33" i="6"/>
  <c r="AE32" i="6" s="1"/>
  <c r="AE35" i="6" s="1"/>
  <c r="AF33" i="6"/>
  <c r="AF32" i="6" s="1"/>
  <c r="AF35" i="6" s="1"/>
  <c r="AG33" i="6"/>
  <c r="AG32" i="6" s="1"/>
  <c r="AG35" i="6" s="1"/>
  <c r="W34" i="6"/>
  <c r="Z34" i="6"/>
  <c r="W35" i="6"/>
  <c r="W38" i="6" s="1"/>
  <c r="Z35" i="6"/>
  <c r="Z29" i="8"/>
  <c r="AC29" i="8"/>
  <c r="AD29" i="8"/>
  <c r="AE29" i="8"/>
  <c r="AF29" i="8"/>
  <c r="AG29" i="8"/>
  <c r="AJ30" i="8"/>
  <c r="AS30" i="8" s="1"/>
  <c r="BB30" i="8" s="1"/>
  <c r="AM30" i="8"/>
  <c r="AV30" i="8" s="1"/>
  <c r="BE30" i="8" s="1"/>
  <c r="W31" i="8"/>
  <c r="Z31" i="8"/>
  <c r="AS31" i="8"/>
  <c r="AV31" i="8"/>
  <c r="BB31" i="8"/>
  <c r="BE31" i="8"/>
  <c r="AC33" i="8"/>
  <c r="AC32" i="8" s="1"/>
  <c r="AC35" i="8" s="1"/>
  <c r="AD33" i="8"/>
  <c r="AD32" i="8" s="1"/>
  <c r="AD35" i="8" s="1"/>
  <c r="AE33" i="8"/>
  <c r="AE32" i="8" s="1"/>
  <c r="AE35" i="8" s="1"/>
  <c r="AF33" i="8"/>
  <c r="AF32" i="8" s="1"/>
  <c r="AF35" i="8" s="1"/>
  <c r="AG33" i="8"/>
  <c r="AG32" i="8" s="1"/>
  <c r="AG35" i="8" s="1"/>
  <c r="W34" i="8"/>
  <c r="Z34" i="8"/>
  <c r="W35" i="8"/>
  <c r="W38" i="8" s="1"/>
  <c r="Z35" i="8"/>
  <c r="BQ15" i="7"/>
  <c r="BN15" i="7"/>
  <c r="BK15" i="7"/>
  <c r="BH14" i="7"/>
  <c r="BE14" i="7"/>
  <c r="BB14" i="7"/>
  <c r="AY14" i="7"/>
  <c r="AV14" i="7"/>
  <c r="AS14" i="7"/>
  <c r="BQ15" i="8"/>
  <c r="BN15" i="8"/>
  <c r="BK15" i="8"/>
  <c r="BH15" i="8"/>
  <c r="BE15" i="8"/>
  <c r="BB15" i="8"/>
  <c r="AY15" i="8"/>
  <c r="AV15" i="8"/>
  <c r="AS15" i="8"/>
  <c r="AP15" i="8"/>
  <c r="AM15" i="8"/>
  <c r="T15" i="8"/>
  <c r="Q15" i="8"/>
  <c r="N15" i="8"/>
  <c r="CI14" i="8"/>
  <c r="CF14" i="8"/>
  <c r="CC14" i="8"/>
  <c r="BH14" i="8"/>
  <c r="BE14" i="8"/>
  <c r="BB14" i="8"/>
  <c r="AY14" i="8"/>
  <c r="AV14" i="8"/>
  <c r="AS14" i="8"/>
  <c r="Z14" i="8"/>
  <c r="W14" i="8"/>
  <c r="BQ15" i="6"/>
  <c r="BN15" i="6"/>
  <c r="BK15" i="6"/>
  <c r="BH15" i="6"/>
  <c r="BE15" i="6"/>
  <c r="BB15" i="6"/>
  <c r="AY15" i="6"/>
  <c r="AV15" i="6"/>
  <c r="AS15" i="6"/>
  <c r="AP15" i="6"/>
  <c r="AM15" i="6"/>
  <c r="AJ15" i="6"/>
  <c r="T15" i="6"/>
  <c r="Q15" i="6"/>
  <c r="N15" i="6"/>
  <c r="CI14" i="6"/>
  <c r="CF14" i="6"/>
  <c r="CC14" i="6"/>
  <c r="BH14" i="6"/>
  <c r="BE14" i="6"/>
  <c r="BB14" i="6"/>
  <c r="AY14" i="6"/>
  <c r="AV14" i="6"/>
  <c r="AS14" i="6"/>
  <c r="Z14" i="6"/>
  <c r="W14" i="6"/>
  <c r="CF29" i="1"/>
  <c r="CI14" i="1"/>
  <c r="CF14" i="1"/>
  <c r="CC14" i="1"/>
  <c r="BK34" i="1"/>
  <c r="BN34" i="1"/>
  <c r="BQ16" i="1"/>
  <c r="BN16" i="1"/>
  <c r="BE32" i="1"/>
  <c r="BB32" i="1"/>
  <c r="BE15" i="1"/>
  <c r="AV32" i="1"/>
  <c r="AS32" i="1"/>
  <c r="AY15" i="1"/>
  <c r="AV15" i="1"/>
  <c r="AJ32" i="1"/>
  <c r="AM32" i="1"/>
  <c r="AP15" i="1"/>
  <c r="AM15" i="1"/>
  <c r="Q32" i="1"/>
  <c r="N32" i="1"/>
  <c r="T15" i="1"/>
  <c r="Q15" i="1"/>
  <c r="N15" i="1"/>
  <c r="AS32" i="9" l="1"/>
  <c r="DP3" i="12"/>
  <c r="BK34" i="9"/>
  <c r="Z39" i="6"/>
  <c r="N32" i="9"/>
  <c r="AJ32" i="9"/>
  <c r="CC29" i="9"/>
  <c r="Z39" i="8"/>
  <c r="DP3" i="10"/>
  <c r="W37" i="6"/>
  <c r="W37" i="8"/>
  <c r="H69" i="12"/>
  <c r="H65" i="12" s="1"/>
  <c r="H56" i="12" s="1"/>
  <c r="K50" i="12"/>
  <c r="K49" i="12"/>
  <c r="H48" i="12"/>
  <c r="H46" i="12" s="1"/>
  <c r="E48" i="12"/>
  <c r="H47" i="12"/>
  <c r="E46" i="12"/>
  <c r="CU44" i="12"/>
  <c r="K44" i="12"/>
  <c r="E44" i="12"/>
  <c r="E50" i="12" s="1"/>
  <c r="E40" i="12" s="1"/>
  <c r="CU43" i="12"/>
  <c r="K43" i="12"/>
  <c r="H40" i="12"/>
  <c r="Z35" i="12"/>
  <c r="Z40" i="12" s="1"/>
  <c r="W35" i="12"/>
  <c r="W38" i="12" s="1"/>
  <c r="E35" i="12"/>
  <c r="AE35" i="12"/>
  <c r="H33" i="12"/>
  <c r="H21" i="12" s="1"/>
  <c r="E33" i="12"/>
  <c r="E36" i="12" s="1"/>
  <c r="E29" i="12" s="1"/>
  <c r="BZ32" i="12"/>
  <c r="AG35" i="12"/>
  <c r="AF35" i="12"/>
  <c r="AD35" i="12"/>
  <c r="AC35" i="12"/>
  <c r="BZ31" i="12"/>
  <c r="BN31" i="12"/>
  <c r="BK31" i="12"/>
  <c r="Z31" i="12"/>
  <c r="Z39" i="12" s="1"/>
  <c r="W31" i="12"/>
  <c r="W37" i="12" s="1"/>
  <c r="DA30" i="12"/>
  <c r="CU30" i="12"/>
  <c r="BB30" i="12"/>
  <c r="AV30" i="12"/>
  <c r="AS30" i="12"/>
  <c r="AM30" i="12"/>
  <c r="AJ30" i="12"/>
  <c r="Q30" i="12"/>
  <c r="N30" i="12"/>
  <c r="K30" i="12"/>
  <c r="DA29" i="12"/>
  <c r="CU29" i="12"/>
  <c r="BE29" i="12"/>
  <c r="BB29" i="12"/>
  <c r="AS29" i="12"/>
  <c r="AM29" i="12"/>
  <c r="AJ29" i="12"/>
  <c r="AG29" i="12"/>
  <c r="AF29" i="12"/>
  <c r="Q29" i="12"/>
  <c r="N29" i="12"/>
  <c r="K29" i="12"/>
  <c r="DA28" i="12"/>
  <c r="CU28" i="12"/>
  <c r="BW28" i="12"/>
  <c r="AG28" i="12"/>
  <c r="AF28" i="12"/>
  <c r="Z28" i="12"/>
  <c r="Z27" i="12" s="1"/>
  <c r="W28" i="12"/>
  <c r="W27" i="12" s="1"/>
  <c r="DA27" i="12"/>
  <c r="CU27" i="12"/>
  <c r="CF27" i="12"/>
  <c r="CC27" i="12"/>
  <c r="K27" i="12"/>
  <c r="H27" i="12"/>
  <c r="DA26" i="12"/>
  <c r="CF26" i="12"/>
  <c r="CC26" i="12"/>
  <c r="BN26" i="12"/>
  <c r="BK26" i="12"/>
  <c r="K26" i="12"/>
  <c r="H26" i="12"/>
  <c r="BN25" i="12"/>
  <c r="BN24" i="12" s="1"/>
  <c r="BK25" i="12"/>
  <c r="BK24" i="12" s="1"/>
  <c r="BE25" i="12"/>
  <c r="BE24" i="12" s="1"/>
  <c r="BE20" i="12" s="1"/>
  <c r="BB25" i="12"/>
  <c r="BB24" i="12" s="1"/>
  <c r="BB20" i="12" s="1"/>
  <c r="AV25" i="12"/>
  <c r="AV24" i="12" s="1"/>
  <c r="AS25" i="12"/>
  <c r="AS24" i="12" s="1"/>
  <c r="AM25" i="12"/>
  <c r="AM24" i="12" s="1"/>
  <c r="AJ25" i="12"/>
  <c r="AJ24" i="12" s="1"/>
  <c r="Q25" i="12"/>
  <c r="Q24" i="12" s="1"/>
  <c r="N25" i="12"/>
  <c r="N24" i="12" s="1"/>
  <c r="AG24" i="12"/>
  <c r="AF24" i="12"/>
  <c r="AE24" i="12"/>
  <c r="AC24" i="12"/>
  <c r="K24" i="12"/>
  <c r="H24" i="12"/>
  <c r="CF23" i="12"/>
  <c r="CF22" i="12" s="1"/>
  <c r="CC23" i="12"/>
  <c r="CC22" i="12" s="1"/>
  <c r="AG23" i="12"/>
  <c r="AF23" i="12"/>
  <c r="AE23" i="12"/>
  <c r="AC23" i="12"/>
  <c r="K23" i="12"/>
  <c r="H23" i="12"/>
  <c r="CO22" i="12"/>
  <c r="BW22" i="12"/>
  <c r="BW16" i="12" s="1"/>
  <c r="AG22" i="12"/>
  <c r="AF22" i="12"/>
  <c r="AE22" i="12"/>
  <c r="AC22" i="12"/>
  <c r="K22" i="12"/>
  <c r="CO21" i="12"/>
  <c r="K21" i="12"/>
  <c r="K20" i="12"/>
  <c r="H20" i="12"/>
  <c r="CX19" i="12"/>
  <c r="AG19" i="12"/>
  <c r="AF19" i="12"/>
  <c r="AE19" i="12"/>
  <c r="AC19" i="12"/>
  <c r="H19" i="12"/>
  <c r="E19" i="12"/>
  <c r="CX18" i="12"/>
  <c r="BZ16" i="12"/>
  <c r="H18" i="12"/>
  <c r="E18" i="12"/>
  <c r="E21" i="12" s="1"/>
  <c r="H17" i="12"/>
  <c r="Z17" i="12"/>
  <c r="W17" i="12"/>
  <c r="CU13" i="12"/>
  <c r="CU12" i="12" s="1"/>
  <c r="CU11" i="12" s="1"/>
  <c r="BQ13" i="12"/>
  <c r="BN13" i="12"/>
  <c r="BK13" i="12"/>
  <c r="BH13" i="12"/>
  <c r="BE13" i="12"/>
  <c r="BB13" i="12"/>
  <c r="AY13" i="12"/>
  <c r="AV13" i="12"/>
  <c r="AS13" i="12"/>
  <c r="AP13" i="12"/>
  <c r="AM13" i="12"/>
  <c r="AJ13" i="12"/>
  <c r="T13" i="12"/>
  <c r="Q13" i="12"/>
  <c r="N13" i="12"/>
  <c r="K13" i="12"/>
  <c r="K12" i="12" s="1"/>
  <c r="K11" i="12" s="1"/>
  <c r="E13" i="12"/>
  <c r="DA12" i="12"/>
  <c r="DA11" i="12" s="1"/>
  <c r="DA10" i="12" s="1"/>
  <c r="CI12" i="12"/>
  <c r="CF12" i="12"/>
  <c r="CC12" i="12"/>
  <c r="BZ12" i="12"/>
  <c r="BZ11" i="12" s="1"/>
  <c r="BZ10" i="12" s="1"/>
  <c r="BH12" i="12"/>
  <c r="BE12" i="12"/>
  <c r="BB12" i="12"/>
  <c r="AY12" i="12"/>
  <c r="AV12" i="12"/>
  <c r="AS12" i="12"/>
  <c r="AP12" i="12"/>
  <c r="AM12" i="12"/>
  <c r="AJ12" i="12"/>
  <c r="T12" i="12"/>
  <c r="Q12" i="12"/>
  <c r="N12" i="12"/>
  <c r="E12" i="12"/>
  <c r="CI11" i="12"/>
  <c r="CF11" i="12"/>
  <c r="CC11" i="12"/>
  <c r="BT11" i="12"/>
  <c r="CX10" i="12"/>
  <c r="Z10" i="12"/>
  <c r="Z16" i="12" s="1"/>
  <c r="W10" i="12"/>
  <c r="W16" i="12" s="1"/>
  <c r="E10" i="12"/>
  <c r="BT10" i="12" s="1"/>
  <c r="DA9" i="12"/>
  <c r="CU9" i="12"/>
  <c r="BQ9" i="12"/>
  <c r="BN9" i="12"/>
  <c r="BK9" i="12"/>
  <c r="H9" i="12"/>
  <c r="DA8" i="12"/>
  <c r="CU8" i="12"/>
  <c r="CI8" i="12"/>
  <c r="CI7" i="12" s="1"/>
  <c r="CF8" i="12"/>
  <c r="CF7" i="12" s="1"/>
  <c r="CC8" i="12"/>
  <c r="BZ8" i="12"/>
  <c r="BQ8" i="12"/>
  <c r="BQ7" i="12" s="1"/>
  <c r="BN8" i="12"/>
  <c r="BN7" i="12" s="1"/>
  <c r="BK8" i="12"/>
  <c r="BH8" i="12"/>
  <c r="BH7" i="12" s="1"/>
  <c r="BH3" i="12" s="1"/>
  <c r="BE8" i="12"/>
  <c r="BE7" i="12" s="1"/>
  <c r="BE3" i="12" s="1"/>
  <c r="BB8" i="12"/>
  <c r="BB7" i="12" s="1"/>
  <c r="AY8" i="12"/>
  <c r="AY7" i="12" s="1"/>
  <c r="AV8" i="12"/>
  <c r="AV7" i="12" s="1"/>
  <c r="AV3" i="12" s="1"/>
  <c r="AS8" i="12"/>
  <c r="AS7" i="12" s="1"/>
  <c r="AS3" i="12" s="1"/>
  <c r="AP8" i="12"/>
  <c r="AP7" i="12" s="1"/>
  <c r="AM8" i="12"/>
  <c r="AM7" i="12" s="1"/>
  <c r="AJ8" i="12"/>
  <c r="AJ7" i="12" s="1"/>
  <c r="AJ3" i="12" s="1"/>
  <c r="AG7" i="12"/>
  <c r="AF7" i="12"/>
  <c r="T8" i="12"/>
  <c r="T7" i="12" s="1"/>
  <c r="Q8" i="12"/>
  <c r="Q7" i="12" s="1"/>
  <c r="N8" i="12"/>
  <c r="N7" i="12" s="1"/>
  <c r="H8" i="12"/>
  <c r="BW8" i="12" s="1"/>
  <c r="DA7" i="12"/>
  <c r="CX7" i="12"/>
  <c r="CX6" i="12" s="1"/>
  <c r="CU7" i="12"/>
  <c r="CO7" i="12"/>
  <c r="CC7" i="12"/>
  <c r="BZ7" i="12"/>
  <c r="BT7" i="12"/>
  <c r="BT6" i="12" s="1"/>
  <c r="BK7" i="12"/>
  <c r="Z7" i="12"/>
  <c r="Z6" i="12" s="1"/>
  <c r="W7" i="12"/>
  <c r="W6" i="12" s="1"/>
  <c r="H7" i="12"/>
  <c r="DA6" i="12"/>
  <c r="CU6" i="12"/>
  <c r="CO6" i="12"/>
  <c r="BZ6" i="12"/>
  <c r="H6" i="12"/>
  <c r="E6" i="12"/>
  <c r="H69" i="11"/>
  <c r="H65" i="11" s="1"/>
  <c r="K50" i="11"/>
  <c r="K49" i="11"/>
  <c r="H48" i="11"/>
  <c r="H46" i="11" s="1"/>
  <c r="E48" i="11"/>
  <c r="H47" i="11"/>
  <c r="E46" i="11"/>
  <c r="CU44" i="11"/>
  <c r="K44" i="11"/>
  <c r="E44" i="11"/>
  <c r="CU43" i="11"/>
  <c r="K43" i="11"/>
  <c r="H40" i="11"/>
  <c r="Z35" i="11"/>
  <c r="W35" i="11"/>
  <c r="W38" i="11" s="1"/>
  <c r="E35" i="11"/>
  <c r="AE35" i="11"/>
  <c r="H33" i="11"/>
  <c r="H21" i="11" s="1"/>
  <c r="E33" i="11"/>
  <c r="CL6" i="11" s="1"/>
  <c r="CL3" i="11" s="1"/>
  <c r="CO3" i="11" s="1"/>
  <c r="BZ32" i="11"/>
  <c r="AG35" i="11"/>
  <c r="AF35" i="11"/>
  <c r="AD35" i="11"/>
  <c r="AC35" i="11"/>
  <c r="BZ31" i="11"/>
  <c r="BN31" i="11"/>
  <c r="BK31" i="11"/>
  <c r="Z31" i="11"/>
  <c r="W31" i="11"/>
  <c r="W37" i="11" s="1"/>
  <c r="DA30" i="11"/>
  <c r="CU30" i="11"/>
  <c r="BE30" i="11"/>
  <c r="BB30" i="11"/>
  <c r="AV30" i="11"/>
  <c r="AM30" i="11"/>
  <c r="Q30" i="11"/>
  <c r="N30" i="11"/>
  <c r="K30" i="11"/>
  <c r="DA29" i="11"/>
  <c r="CU29" i="11"/>
  <c r="CU26" i="11" s="1"/>
  <c r="BE29" i="11"/>
  <c r="BB29" i="11"/>
  <c r="AV29" i="11"/>
  <c r="AS29" i="11"/>
  <c r="AM29" i="11"/>
  <c r="AJ29" i="11"/>
  <c r="AG29" i="11"/>
  <c r="AF29" i="11"/>
  <c r="Z29" i="11"/>
  <c r="Q29" i="11"/>
  <c r="N29" i="11"/>
  <c r="K29" i="11"/>
  <c r="DA28" i="11"/>
  <c r="CU28" i="11"/>
  <c r="BW28" i="11"/>
  <c r="AG28" i="11"/>
  <c r="AF28" i="11"/>
  <c r="Z28" i="11"/>
  <c r="Z27" i="11" s="1"/>
  <c r="W28" i="11"/>
  <c r="W27" i="11" s="1"/>
  <c r="DA27" i="11"/>
  <c r="CU27" i="11"/>
  <c r="CF27" i="11"/>
  <c r="CC27" i="11"/>
  <c r="K27" i="11"/>
  <c r="H27" i="11"/>
  <c r="DA26" i="11"/>
  <c r="CF26" i="11"/>
  <c r="CC26" i="11"/>
  <c r="BN26" i="11"/>
  <c r="BK26" i="11"/>
  <c r="K26" i="11"/>
  <c r="H26" i="11"/>
  <c r="BN25" i="11"/>
  <c r="BN24" i="11" s="1"/>
  <c r="BN20" i="11" s="1"/>
  <c r="BK25" i="11"/>
  <c r="BE25" i="11"/>
  <c r="BE24" i="11" s="1"/>
  <c r="BB25" i="11"/>
  <c r="BB24" i="11" s="1"/>
  <c r="AV25" i="11"/>
  <c r="AV24" i="11" s="1"/>
  <c r="AS25" i="11"/>
  <c r="AS24" i="11" s="1"/>
  <c r="AM25" i="11"/>
  <c r="AM24" i="11" s="1"/>
  <c r="AJ25" i="11"/>
  <c r="AJ24" i="11" s="1"/>
  <c r="Q25" i="11"/>
  <c r="Q24" i="11" s="1"/>
  <c r="N25" i="11"/>
  <c r="BK24" i="11"/>
  <c r="AG24" i="11"/>
  <c r="AF24" i="11"/>
  <c r="AE24" i="11"/>
  <c r="AC24" i="11"/>
  <c r="N24" i="11"/>
  <c r="N20" i="11" s="1"/>
  <c r="K24" i="11"/>
  <c r="H24" i="11"/>
  <c r="CF23" i="11"/>
  <c r="CF22" i="11" s="1"/>
  <c r="CC23" i="11"/>
  <c r="CC22" i="11" s="1"/>
  <c r="AG23" i="11"/>
  <c r="AF23" i="11"/>
  <c r="AE23" i="11"/>
  <c r="AC23" i="11"/>
  <c r="K23" i="11"/>
  <c r="H23" i="11"/>
  <c r="CO22" i="11"/>
  <c r="BW22" i="11"/>
  <c r="BW13" i="11" s="1"/>
  <c r="AG22" i="11"/>
  <c r="AF22" i="11"/>
  <c r="AE22" i="11"/>
  <c r="AC22" i="11"/>
  <c r="K22" i="11"/>
  <c r="CO21" i="11"/>
  <c r="K21" i="11"/>
  <c r="K20" i="11"/>
  <c r="H20" i="11"/>
  <c r="CX19" i="11"/>
  <c r="AG19" i="11"/>
  <c r="AF19" i="11"/>
  <c r="AE19" i="11"/>
  <c r="AC19" i="11"/>
  <c r="H19" i="11"/>
  <c r="E19" i="11"/>
  <c r="CX18" i="11"/>
  <c r="H18" i="11"/>
  <c r="E18" i="11"/>
  <c r="BZ17" i="11"/>
  <c r="H17" i="11"/>
  <c r="BK16" i="11"/>
  <c r="Z17" i="11"/>
  <c r="W17" i="11"/>
  <c r="CU13" i="11"/>
  <c r="BQ13" i="11"/>
  <c r="BN13" i="11"/>
  <c r="BK13" i="11"/>
  <c r="BH13" i="11"/>
  <c r="BE13" i="11"/>
  <c r="BB13" i="11"/>
  <c r="AY13" i="11"/>
  <c r="AV13" i="11"/>
  <c r="AS13" i="11"/>
  <c r="AP13" i="11"/>
  <c r="AM13" i="11"/>
  <c r="AJ13" i="11"/>
  <c r="T13" i="11"/>
  <c r="N13" i="11"/>
  <c r="K13" i="11"/>
  <c r="K12" i="11" s="1"/>
  <c r="K11" i="11" s="1"/>
  <c r="E13" i="11"/>
  <c r="DA12" i="11"/>
  <c r="DA11" i="11" s="1"/>
  <c r="DA10" i="11" s="1"/>
  <c r="CU12" i="11"/>
  <c r="CU11" i="11" s="1"/>
  <c r="CI12" i="11"/>
  <c r="CF12" i="11"/>
  <c r="CC12" i="11"/>
  <c r="BZ12" i="11"/>
  <c r="BZ11" i="11" s="1"/>
  <c r="BZ10" i="11" s="1"/>
  <c r="BT11" i="11"/>
  <c r="BH12" i="11"/>
  <c r="BE12" i="11"/>
  <c r="BB12" i="11"/>
  <c r="AY12" i="11"/>
  <c r="AV12" i="11"/>
  <c r="AS12" i="11"/>
  <c r="AP12" i="11"/>
  <c r="AM12" i="11"/>
  <c r="AJ12" i="11"/>
  <c r="T12" i="11"/>
  <c r="N12" i="11"/>
  <c r="E12" i="11"/>
  <c r="CI11" i="11"/>
  <c r="CF11" i="11"/>
  <c r="CC11" i="11"/>
  <c r="CX10" i="11"/>
  <c r="Z10" i="11"/>
  <c r="Z16" i="11" s="1"/>
  <c r="W10" i="11"/>
  <c r="W16" i="11" s="1"/>
  <c r="E10" i="11"/>
  <c r="BW7" i="11" s="1"/>
  <c r="DA9" i="11"/>
  <c r="CU9" i="11"/>
  <c r="BW9" i="11"/>
  <c r="BQ9" i="11"/>
  <c r="BN9" i="11"/>
  <c r="BK9" i="11"/>
  <c r="H9" i="11"/>
  <c r="DA8" i="11"/>
  <c r="DA15" i="11" s="1"/>
  <c r="CU8" i="11"/>
  <c r="CI8" i="11"/>
  <c r="CF8" i="11"/>
  <c r="CF7" i="11" s="1"/>
  <c r="CC8" i="11"/>
  <c r="CC7" i="11" s="1"/>
  <c r="CC3" i="11" s="1"/>
  <c r="BZ8" i="11"/>
  <c r="BQ8" i="11"/>
  <c r="BQ7" i="11" s="1"/>
  <c r="BN8" i="11"/>
  <c r="BN7" i="11" s="1"/>
  <c r="BK8" i="11"/>
  <c r="BK7" i="11" s="1"/>
  <c r="BK3" i="11" s="1"/>
  <c r="BH8" i="11"/>
  <c r="BE8" i="11"/>
  <c r="BE7" i="11" s="1"/>
  <c r="BB8" i="11"/>
  <c r="BB7" i="11" s="1"/>
  <c r="AY8" i="11"/>
  <c r="AY7" i="11" s="1"/>
  <c r="AY3" i="11" s="1"/>
  <c r="AV8" i="11"/>
  <c r="AV7" i="11" s="1"/>
  <c r="AV3" i="11" s="1"/>
  <c r="AS8" i="11"/>
  <c r="AS7" i="11" s="1"/>
  <c r="AP8" i="11"/>
  <c r="AP7" i="11" s="1"/>
  <c r="AM8" i="11"/>
  <c r="AM7" i="11" s="1"/>
  <c r="AM3" i="11" s="1"/>
  <c r="AJ8" i="11"/>
  <c r="AJ7" i="11" s="1"/>
  <c r="AJ3" i="11" s="1"/>
  <c r="AG7" i="11"/>
  <c r="AG39" i="11" s="1"/>
  <c r="AF7" i="11"/>
  <c r="T8" i="11"/>
  <c r="T7" i="11" s="1"/>
  <c r="T3" i="11" s="1"/>
  <c r="Q8" i="11"/>
  <c r="Q7" i="11" s="1"/>
  <c r="Q3" i="11" s="1"/>
  <c r="N8" i="11"/>
  <c r="N7" i="11" s="1"/>
  <c r="H8" i="11"/>
  <c r="BW8" i="11" s="1"/>
  <c r="DA7" i="11"/>
  <c r="CX7" i="11"/>
  <c r="CX6" i="11" s="1"/>
  <c r="CU7" i="11"/>
  <c r="CI7" i="11"/>
  <c r="BZ7" i="11"/>
  <c r="BT7" i="11"/>
  <c r="BH7" i="11"/>
  <c r="BH3" i="11" s="1"/>
  <c r="Z7" i="11"/>
  <c r="W7" i="11"/>
  <c r="W6" i="11" s="1"/>
  <c r="H7" i="11"/>
  <c r="DA6" i="11"/>
  <c r="CU6" i="11"/>
  <c r="BZ6" i="11"/>
  <c r="BT6" i="11"/>
  <c r="Z6" i="11"/>
  <c r="Z19" i="11" s="1"/>
  <c r="H6" i="11"/>
  <c r="BW6" i="11" s="1"/>
  <c r="E6" i="11"/>
  <c r="H69" i="10"/>
  <c r="H65" i="10" s="1"/>
  <c r="K50" i="10"/>
  <c r="K49" i="10"/>
  <c r="H48" i="10"/>
  <c r="H46" i="10" s="1"/>
  <c r="E48" i="10"/>
  <c r="H47" i="10"/>
  <c r="E46" i="10"/>
  <c r="CU44" i="10"/>
  <c r="K44" i="10"/>
  <c r="E44" i="10"/>
  <c r="CU43" i="10"/>
  <c r="K43" i="10"/>
  <c r="H40" i="10"/>
  <c r="Z35" i="10"/>
  <c r="W35" i="10"/>
  <c r="W38" i="10" s="1"/>
  <c r="E35" i="10"/>
  <c r="AC35" i="10"/>
  <c r="AC37" i="10" s="1"/>
  <c r="H33" i="10"/>
  <c r="E33" i="10"/>
  <c r="BZ32" i="10"/>
  <c r="AG35" i="10"/>
  <c r="AF35" i="10"/>
  <c r="AE35" i="10"/>
  <c r="BZ31" i="10"/>
  <c r="BN31" i="10"/>
  <c r="BK31" i="10"/>
  <c r="Z31" i="10"/>
  <c r="W31" i="10"/>
  <c r="W37" i="10" s="1"/>
  <c r="DA30" i="10"/>
  <c r="CU30" i="10"/>
  <c r="BE30" i="10"/>
  <c r="BB30" i="10"/>
  <c r="AV30" i="10"/>
  <c r="AS30" i="10"/>
  <c r="AM30" i="10"/>
  <c r="AJ30" i="10"/>
  <c r="Q30" i="10"/>
  <c r="N30" i="10"/>
  <c r="K30" i="10"/>
  <c r="DA29" i="10"/>
  <c r="CU29" i="10"/>
  <c r="CU26" i="10" s="1"/>
  <c r="BE29" i="10"/>
  <c r="BB29" i="10"/>
  <c r="AV29" i="10"/>
  <c r="AS29" i="10"/>
  <c r="AM29" i="10"/>
  <c r="AJ29" i="10"/>
  <c r="AG29" i="10"/>
  <c r="AF29" i="10"/>
  <c r="Z29" i="10"/>
  <c r="Q29" i="10"/>
  <c r="N29" i="10"/>
  <c r="K29" i="10"/>
  <c r="DA28" i="10"/>
  <c r="CU28" i="10"/>
  <c r="BW28" i="10"/>
  <c r="AG28" i="10"/>
  <c r="AF28" i="10"/>
  <c r="Z28" i="10"/>
  <c r="Z27" i="10" s="1"/>
  <c r="W28" i="10"/>
  <c r="W27" i="10" s="1"/>
  <c r="DA27" i="10"/>
  <c r="CU27" i="10"/>
  <c r="CF27" i="10"/>
  <c r="CC27" i="10"/>
  <c r="K27" i="10"/>
  <c r="H27" i="10"/>
  <c r="DA26" i="10"/>
  <c r="CF26" i="10"/>
  <c r="CC26" i="10"/>
  <c r="BN26" i="10"/>
  <c r="BK26" i="10"/>
  <c r="K26" i="10"/>
  <c r="H26" i="10"/>
  <c r="BN25" i="10"/>
  <c r="BN24" i="10" s="1"/>
  <c r="BK25" i="10"/>
  <c r="BK24" i="10" s="1"/>
  <c r="BE25" i="10"/>
  <c r="BB25" i="10"/>
  <c r="BB24" i="10" s="1"/>
  <c r="AV25" i="10"/>
  <c r="AV24" i="10" s="1"/>
  <c r="AS25" i="10"/>
  <c r="AS24" i="10" s="1"/>
  <c r="AM25" i="10"/>
  <c r="AM24" i="10" s="1"/>
  <c r="AJ25" i="10"/>
  <c r="AJ24" i="10" s="1"/>
  <c r="Q25" i="10"/>
  <c r="Q24" i="10" s="1"/>
  <c r="N25" i="10"/>
  <c r="N24" i="10" s="1"/>
  <c r="BE24" i="10"/>
  <c r="BE20" i="10" s="1"/>
  <c r="AG24" i="10"/>
  <c r="AF24" i="10"/>
  <c r="AE24" i="10"/>
  <c r="AC24" i="10"/>
  <c r="K24" i="10"/>
  <c r="H24" i="10"/>
  <c r="CF23" i="10"/>
  <c r="CF22" i="10" s="1"/>
  <c r="CC23" i="10"/>
  <c r="CC22" i="10" s="1"/>
  <c r="AG23" i="10"/>
  <c r="AF23" i="10"/>
  <c r="AE23" i="10"/>
  <c r="AC23" i="10"/>
  <c r="K23" i="10"/>
  <c r="H23" i="10"/>
  <c r="H22" i="10" s="1"/>
  <c r="CO22" i="10"/>
  <c r="AG22" i="10"/>
  <c r="AF22" i="10"/>
  <c r="AE22" i="10"/>
  <c r="AD39" i="10"/>
  <c r="AC22" i="10"/>
  <c r="K22" i="10"/>
  <c r="CO21" i="10"/>
  <c r="K21" i="10"/>
  <c r="K19" i="10" s="1"/>
  <c r="H21" i="10"/>
  <c r="BZ17" i="10"/>
  <c r="H20" i="10"/>
  <c r="CX19" i="10"/>
  <c r="AG19" i="10"/>
  <c r="AF19" i="10"/>
  <c r="AE19" i="10"/>
  <c r="AC19" i="10"/>
  <c r="H19" i="10"/>
  <c r="E19" i="10"/>
  <c r="CX18" i="10"/>
  <c r="BZ16" i="10"/>
  <c r="H18" i="10"/>
  <c r="E18" i="10"/>
  <c r="H17" i="10"/>
  <c r="BW16" i="10"/>
  <c r="BK16" i="10"/>
  <c r="Z17" i="10"/>
  <c r="W17" i="10"/>
  <c r="CU13" i="10"/>
  <c r="CU12" i="10" s="1"/>
  <c r="CU11" i="10" s="1"/>
  <c r="BT11" i="10"/>
  <c r="BQ13" i="10"/>
  <c r="BK13" i="10"/>
  <c r="BH13" i="10"/>
  <c r="BE13" i="10"/>
  <c r="AY13" i="10"/>
  <c r="AV13" i="10"/>
  <c r="AS13" i="10"/>
  <c r="AP13" i="10"/>
  <c r="AM13" i="10"/>
  <c r="T13" i="10"/>
  <c r="Q13" i="10"/>
  <c r="N13" i="10"/>
  <c r="K13" i="10"/>
  <c r="K12" i="10" s="1"/>
  <c r="K11" i="10" s="1"/>
  <c r="E13" i="10"/>
  <c r="DA12" i="10"/>
  <c r="DA11" i="10" s="1"/>
  <c r="DA10" i="10" s="1"/>
  <c r="CX11" i="10"/>
  <c r="CI12" i="10"/>
  <c r="CF12" i="10"/>
  <c r="CC12" i="10"/>
  <c r="BZ12" i="10"/>
  <c r="BZ11" i="10" s="1"/>
  <c r="BZ10" i="10" s="1"/>
  <c r="BH12" i="10"/>
  <c r="BE12" i="10"/>
  <c r="BB12" i="10"/>
  <c r="BB3" i="10" s="1"/>
  <c r="AY12" i="10"/>
  <c r="AV12" i="10"/>
  <c r="AS12" i="10"/>
  <c r="AP12" i="10"/>
  <c r="AM12" i="10"/>
  <c r="T12" i="10"/>
  <c r="Q12" i="10"/>
  <c r="N12" i="10"/>
  <c r="E12" i="10"/>
  <c r="CI11" i="10"/>
  <c r="CF11" i="10"/>
  <c r="CC11" i="10"/>
  <c r="CX10" i="10"/>
  <c r="Z10" i="10"/>
  <c r="W10" i="10"/>
  <c r="E10" i="10"/>
  <c r="BW7" i="10" s="1"/>
  <c r="DA9" i="10"/>
  <c r="CU9" i="10"/>
  <c r="BW9" i="10"/>
  <c r="BQ9" i="10"/>
  <c r="BN9" i="10"/>
  <c r="BK9" i="10"/>
  <c r="H9" i="10"/>
  <c r="DA8" i="10"/>
  <c r="CU8" i="10"/>
  <c r="CI8" i="10"/>
  <c r="CF8" i="10"/>
  <c r="CF7" i="10" s="1"/>
  <c r="CF3" i="10" s="1"/>
  <c r="CC8" i="10"/>
  <c r="CC7" i="10" s="1"/>
  <c r="BZ8" i="10"/>
  <c r="BQ8" i="10"/>
  <c r="BQ7" i="10" s="1"/>
  <c r="BN8" i="10"/>
  <c r="BN7" i="10" s="1"/>
  <c r="BK8" i="10"/>
  <c r="BK7" i="10" s="1"/>
  <c r="BH8" i="10"/>
  <c r="BH7" i="10" s="1"/>
  <c r="BE8" i="10"/>
  <c r="BB8" i="10"/>
  <c r="BB7" i="10" s="1"/>
  <c r="AY8" i="10"/>
  <c r="AY7" i="10" s="1"/>
  <c r="AV8" i="10"/>
  <c r="AV7" i="10" s="1"/>
  <c r="AS8" i="10"/>
  <c r="AS7" i="10" s="1"/>
  <c r="AP8" i="10"/>
  <c r="AP7" i="10" s="1"/>
  <c r="AM8" i="10"/>
  <c r="AM7" i="10" s="1"/>
  <c r="AG7" i="10"/>
  <c r="AG37" i="10" s="1"/>
  <c r="AF7" i="10"/>
  <c r="AF37" i="10" s="1"/>
  <c r="T8" i="10"/>
  <c r="T7" i="10" s="1"/>
  <c r="T3" i="10" s="1"/>
  <c r="Q8" i="10"/>
  <c r="Q7" i="10" s="1"/>
  <c r="Q3" i="10" s="1"/>
  <c r="N8" i="10"/>
  <c r="N7" i="10" s="1"/>
  <c r="H8" i="10"/>
  <c r="BW8" i="10" s="1"/>
  <c r="DA7" i="10"/>
  <c r="CX7" i="10"/>
  <c r="CX6" i="10" s="1"/>
  <c r="CU7" i="10"/>
  <c r="CI7" i="10"/>
  <c r="CI3" i="10" s="1"/>
  <c r="BT7" i="10"/>
  <c r="BE7" i="10"/>
  <c r="BE3" i="10" s="1"/>
  <c r="Z7" i="10"/>
  <c r="Z6" i="10" s="1"/>
  <c r="W7" i="10"/>
  <c r="W6" i="10" s="1"/>
  <c r="H7" i="10"/>
  <c r="DA6" i="10"/>
  <c r="CU6" i="10"/>
  <c r="CL6" i="10"/>
  <c r="CL3" i="10" s="1"/>
  <c r="BZ6" i="10"/>
  <c r="BT6" i="10"/>
  <c r="H6" i="10"/>
  <c r="BW6" i="10" s="1"/>
  <c r="BW10" i="10" s="1"/>
  <c r="E6" i="10"/>
  <c r="BK32" i="9"/>
  <c r="BB30" i="9"/>
  <c r="AS30" i="9"/>
  <c r="AJ30" i="9"/>
  <c r="N30" i="9"/>
  <c r="CC27" i="9"/>
  <c r="BK31" i="9"/>
  <c r="BB29" i="9"/>
  <c r="AS29" i="9"/>
  <c r="AJ29" i="9"/>
  <c r="N29" i="9"/>
  <c r="CC26" i="9"/>
  <c r="BQ14" i="9"/>
  <c r="BH13" i="9"/>
  <c r="AY13" i="9"/>
  <c r="AP13" i="9"/>
  <c r="T13" i="9"/>
  <c r="CI12" i="9"/>
  <c r="BQ13" i="9"/>
  <c r="BH12" i="9"/>
  <c r="AY12" i="9"/>
  <c r="AP12" i="9"/>
  <c r="T12" i="9"/>
  <c r="CI11" i="9"/>
  <c r="BN32" i="9"/>
  <c r="BE30" i="9"/>
  <c r="AV30" i="9"/>
  <c r="AM30" i="9"/>
  <c r="Q30" i="9"/>
  <c r="CF27" i="9"/>
  <c r="BN31" i="9"/>
  <c r="BE29" i="9"/>
  <c r="AV29" i="9"/>
  <c r="AM29" i="9"/>
  <c r="Q29" i="9"/>
  <c r="CF26" i="9"/>
  <c r="BN14" i="9"/>
  <c r="BE13" i="9"/>
  <c r="AV13" i="9"/>
  <c r="AM13" i="9"/>
  <c r="Q13" i="9"/>
  <c r="CF12" i="9"/>
  <c r="BE12" i="9"/>
  <c r="AV12" i="9"/>
  <c r="AM12" i="9"/>
  <c r="Q12" i="9"/>
  <c r="CF11" i="9"/>
  <c r="BN13" i="9"/>
  <c r="BK13" i="9"/>
  <c r="BB12" i="9"/>
  <c r="AS12" i="9"/>
  <c r="N12" i="9"/>
  <c r="CC11" i="9"/>
  <c r="BB13" i="9"/>
  <c r="BK14" i="9"/>
  <c r="AS13" i="9"/>
  <c r="AJ13" i="9"/>
  <c r="N13" i="9"/>
  <c r="CC12" i="9"/>
  <c r="K44" i="9"/>
  <c r="K43" i="9"/>
  <c r="AG22" i="9"/>
  <c r="AF22" i="9"/>
  <c r="AE22" i="9"/>
  <c r="AD22" i="9"/>
  <c r="AC22" i="9"/>
  <c r="AG19" i="9"/>
  <c r="AF19" i="9"/>
  <c r="AE19" i="9"/>
  <c r="AD19" i="9"/>
  <c r="AC19" i="9"/>
  <c r="E19" i="9"/>
  <c r="AY3" i="10" l="1"/>
  <c r="N3" i="10"/>
  <c r="K25" i="10"/>
  <c r="DA25" i="10"/>
  <c r="DA14" i="10" s="1"/>
  <c r="E23" i="11"/>
  <c r="H15" i="12"/>
  <c r="H16" i="12"/>
  <c r="BZ13" i="10"/>
  <c r="AC39" i="10"/>
  <c r="BZ7" i="10"/>
  <c r="BN3" i="10"/>
  <c r="H15" i="10"/>
  <c r="H10" i="10" s="1"/>
  <c r="AS20" i="10"/>
  <c r="Z37" i="10"/>
  <c r="Z39" i="10"/>
  <c r="BW16" i="11"/>
  <c r="BW12" i="11" s="1"/>
  <c r="DA25" i="11"/>
  <c r="Z40" i="11"/>
  <c r="BW12" i="12"/>
  <c r="AF39" i="12"/>
  <c r="AP3" i="12"/>
  <c r="BB3" i="12"/>
  <c r="BN3" i="12"/>
  <c r="E11" i="12"/>
  <c r="E22" i="12" s="1"/>
  <c r="Q20" i="12"/>
  <c r="AV20" i="12"/>
  <c r="AM3" i="10"/>
  <c r="Q20" i="10"/>
  <c r="AV20" i="10"/>
  <c r="BN20" i="10"/>
  <c r="H25" i="10"/>
  <c r="H16" i="11"/>
  <c r="H11" i="11" s="1"/>
  <c r="Q20" i="11"/>
  <c r="AV20" i="11"/>
  <c r="DA24" i="11"/>
  <c r="BW7" i="12"/>
  <c r="N3" i="12"/>
  <c r="AG37" i="12"/>
  <c r="BQ3" i="12"/>
  <c r="CI3" i="12"/>
  <c r="K16" i="12"/>
  <c r="BW13" i="12"/>
  <c r="H22" i="12"/>
  <c r="AJ20" i="12"/>
  <c r="W39" i="10"/>
  <c r="W40" i="10"/>
  <c r="AC39" i="11"/>
  <c r="CX21" i="10"/>
  <c r="AJ20" i="10"/>
  <c r="AP3" i="11"/>
  <c r="BB3" i="11"/>
  <c r="BK20" i="11"/>
  <c r="BB20" i="11"/>
  <c r="H25" i="11"/>
  <c r="W39" i="12"/>
  <c r="W40" i="12"/>
  <c r="AG39" i="12"/>
  <c r="BQ3" i="10"/>
  <c r="AM20" i="10"/>
  <c r="CU25" i="10"/>
  <c r="Z40" i="10"/>
  <c r="Z25" i="10" s="1"/>
  <c r="N3" i="11"/>
  <c r="AG37" i="11"/>
  <c r="AS3" i="11"/>
  <c r="BE3" i="11"/>
  <c r="BQ3" i="11"/>
  <c r="H22" i="11"/>
  <c r="AM20" i="11"/>
  <c r="BE20" i="11"/>
  <c r="K28" i="11"/>
  <c r="Z39" i="11"/>
  <c r="Q3" i="12"/>
  <c r="K19" i="12"/>
  <c r="K14" i="12" s="1"/>
  <c r="CC18" i="12"/>
  <c r="N20" i="12"/>
  <c r="AS20" i="12"/>
  <c r="BK20" i="12"/>
  <c r="CU26" i="12"/>
  <c r="CC18" i="9"/>
  <c r="Z37" i="11"/>
  <c r="Z38" i="11"/>
  <c r="AP3" i="10"/>
  <c r="BT10" i="10"/>
  <c r="BB20" i="10"/>
  <c r="BN3" i="11"/>
  <c r="CF3" i="11"/>
  <c r="CX21" i="11"/>
  <c r="AJ20" i="11"/>
  <c r="AM20" i="12"/>
  <c r="K25" i="12"/>
  <c r="AV3" i="10"/>
  <c r="BH3" i="10"/>
  <c r="E11" i="10"/>
  <c r="H16" i="10"/>
  <c r="H11" i="10" s="1"/>
  <c r="N20" i="10"/>
  <c r="BK20" i="10"/>
  <c r="CU16" i="11"/>
  <c r="E21" i="11"/>
  <c r="K19" i="11"/>
  <c r="AS20" i="11"/>
  <c r="W39" i="11"/>
  <c r="W40" i="11"/>
  <c r="BW6" i="12"/>
  <c r="H10" i="12"/>
  <c r="BK3" i="12"/>
  <c r="T3" i="12"/>
  <c r="AM3" i="12"/>
  <c r="AY3" i="12"/>
  <c r="CX21" i="12"/>
  <c r="CL21" i="12"/>
  <c r="CL18" i="12" s="1"/>
  <c r="CR18" i="12" s="1"/>
  <c r="CF18" i="12"/>
  <c r="BN20" i="12"/>
  <c r="CU25" i="12"/>
  <c r="CU14" i="12" s="1"/>
  <c r="DA25" i="12"/>
  <c r="DA14" i="12" s="1"/>
  <c r="AG39" i="10"/>
  <c r="AE39" i="11"/>
  <c r="AE37" i="10"/>
  <c r="AE39" i="10"/>
  <c r="AD39" i="11"/>
  <c r="BW12" i="10"/>
  <c r="BW3" i="10" s="1"/>
  <c r="AG40" i="11"/>
  <c r="AF39" i="11"/>
  <c r="AF39" i="10"/>
  <c r="Z38" i="12"/>
  <c r="Z37" i="12"/>
  <c r="AE39" i="12"/>
  <c r="BZ15" i="12"/>
  <c r="AC39" i="12"/>
  <c r="AD39" i="12"/>
  <c r="Z38" i="10"/>
  <c r="Z24" i="10" s="1"/>
  <c r="K16" i="10"/>
  <c r="BZ15" i="10"/>
  <c r="AS3" i="10"/>
  <c r="AJ3" i="10"/>
  <c r="BK3" i="10"/>
  <c r="CC3" i="10"/>
  <c r="E21" i="10"/>
  <c r="E23" i="10"/>
  <c r="DA15" i="12"/>
  <c r="DA15" i="10"/>
  <c r="BZ15" i="11"/>
  <c r="H25" i="12"/>
  <c r="H14" i="12" s="1"/>
  <c r="K28" i="12"/>
  <c r="CL6" i="12"/>
  <c r="CL3" i="12" s="1"/>
  <c r="CR3" i="12" s="1"/>
  <c r="BW9" i="12"/>
  <c r="BZ17" i="12"/>
  <c r="DA24" i="12"/>
  <c r="DA13" i="11"/>
  <c r="DA14" i="11"/>
  <c r="E11" i="11"/>
  <c r="E20" i="11" s="1"/>
  <c r="E3" i="11" s="1"/>
  <c r="K25" i="11"/>
  <c r="K18" i="11" s="1"/>
  <c r="K17" i="11" s="1"/>
  <c r="E36" i="11"/>
  <c r="E29" i="11" s="1"/>
  <c r="E50" i="11"/>
  <c r="E40" i="11" s="1"/>
  <c r="Z25" i="11"/>
  <c r="CR3" i="11"/>
  <c r="CL21" i="11"/>
  <c r="CL18" i="11" s="1"/>
  <c r="CR18" i="11" s="1"/>
  <c r="CU25" i="11"/>
  <c r="CU14" i="11" s="1"/>
  <c r="CR3" i="10"/>
  <c r="K28" i="10"/>
  <c r="K18" i="10" s="1"/>
  <c r="K17" i="10" s="1"/>
  <c r="AG40" i="10"/>
  <c r="E36" i="10"/>
  <c r="E29" i="10" s="1"/>
  <c r="E50" i="10"/>
  <c r="E40" i="10" s="1"/>
  <c r="K20" i="10"/>
  <c r="DA24" i="10"/>
  <c r="DA13" i="10" s="1"/>
  <c r="CU14" i="10"/>
  <c r="H14" i="10"/>
  <c r="Z16" i="10"/>
  <c r="Z4" i="10" s="1"/>
  <c r="AC37" i="11"/>
  <c r="CC18" i="11"/>
  <c r="CF18" i="11"/>
  <c r="AD37" i="11"/>
  <c r="AE37" i="11"/>
  <c r="AF37" i="11"/>
  <c r="W25" i="11"/>
  <c r="CC18" i="10"/>
  <c r="CF18" i="10"/>
  <c r="Z4" i="12"/>
  <c r="BW10" i="11"/>
  <c r="CC3" i="12"/>
  <c r="BW10" i="12"/>
  <c r="BW3" i="12" s="1"/>
  <c r="CF3" i="12"/>
  <c r="K18" i="12"/>
  <c r="K17" i="12" s="1"/>
  <c r="AE37" i="12"/>
  <c r="AF37" i="12"/>
  <c r="H11" i="12"/>
  <c r="E20" i="12"/>
  <c r="E3" i="12" s="1"/>
  <c r="BT21" i="12"/>
  <c r="AD37" i="12"/>
  <c r="CX11" i="12"/>
  <c r="CX20" i="12" s="1"/>
  <c r="E23" i="12"/>
  <c r="DA13" i="12"/>
  <c r="W25" i="12"/>
  <c r="CU16" i="12"/>
  <c r="Z25" i="12"/>
  <c r="BZ13" i="12"/>
  <c r="W4" i="12"/>
  <c r="AG40" i="12"/>
  <c r="CO18" i="11"/>
  <c r="W4" i="11"/>
  <c r="CI3" i="11"/>
  <c r="H15" i="11"/>
  <c r="H10" i="11" s="1"/>
  <c r="BZ16" i="11"/>
  <c r="BZ13" i="11" s="1"/>
  <c r="Z4" i="11"/>
  <c r="CX11" i="11"/>
  <c r="CX22" i="11" s="1"/>
  <c r="CO3" i="10"/>
  <c r="CL21" i="10"/>
  <c r="CL18" i="10" s="1"/>
  <c r="CR18" i="10" s="1"/>
  <c r="CX22" i="10"/>
  <c r="CX20" i="10"/>
  <c r="CU16" i="10"/>
  <c r="W16" i="10"/>
  <c r="W4" i="10" s="1"/>
  <c r="W25" i="10"/>
  <c r="Z19" i="12"/>
  <c r="Z18" i="12"/>
  <c r="H51" i="12"/>
  <c r="H50" i="12"/>
  <c r="W18" i="12"/>
  <c r="W19" i="12"/>
  <c r="AC37" i="12"/>
  <c r="BT19" i="12"/>
  <c r="BT22" i="12" s="1"/>
  <c r="BT23" i="12"/>
  <c r="CX23" i="12"/>
  <c r="H61" i="12"/>
  <c r="H52" i="12" s="1"/>
  <c r="H12" i="12"/>
  <c r="W18" i="11"/>
  <c r="W19" i="11"/>
  <c r="K16" i="11"/>
  <c r="K14" i="11"/>
  <c r="H56" i="11"/>
  <c r="H61" i="11"/>
  <c r="H52" i="11" s="1"/>
  <c r="BT10" i="11"/>
  <c r="BT21" i="11" s="1"/>
  <c r="Z18" i="11"/>
  <c r="Z3" i="11" s="1"/>
  <c r="BT19" i="11"/>
  <c r="BT22" i="11" s="1"/>
  <c r="BT23" i="11"/>
  <c r="CX23" i="11"/>
  <c r="Z24" i="11"/>
  <c r="H12" i="11"/>
  <c r="W18" i="10"/>
  <c r="W19" i="10"/>
  <c r="Z19" i="10"/>
  <c r="Z18" i="10"/>
  <c r="H56" i="10"/>
  <c r="H51" i="10" s="1"/>
  <c r="H61" i="10"/>
  <c r="H52" i="10" s="1"/>
  <c r="K14" i="10"/>
  <c r="BT19" i="10"/>
  <c r="BT22" i="10" s="1"/>
  <c r="CX23" i="10"/>
  <c r="W24" i="10"/>
  <c r="H12" i="10"/>
  <c r="AG9" i="1"/>
  <c r="AF9" i="1"/>
  <c r="AE9" i="1"/>
  <c r="AD9" i="1"/>
  <c r="AC9" i="1"/>
  <c r="AG9" i="6"/>
  <c r="AF9" i="6"/>
  <c r="AE9" i="6"/>
  <c r="AE37" i="6" s="1"/>
  <c r="AD9" i="6"/>
  <c r="AD37" i="6" s="1"/>
  <c r="AC9" i="6"/>
  <c r="AC37" i="6" s="1"/>
  <c r="AG9" i="8"/>
  <c r="AF9" i="8"/>
  <c r="AE9" i="8"/>
  <c r="AE37" i="8" s="1"/>
  <c r="AD9" i="8"/>
  <c r="AD37" i="8" s="1"/>
  <c r="AC9" i="8"/>
  <c r="AC37" i="8" s="1"/>
  <c r="CU19" i="11"/>
  <c r="DA18" i="11"/>
  <c r="H69" i="9"/>
  <c r="H65" i="9" s="1"/>
  <c r="K49" i="9"/>
  <c r="K50" i="9"/>
  <c r="H48" i="9"/>
  <c r="H46" i="9" s="1"/>
  <c r="E48" i="9"/>
  <c r="H47" i="9"/>
  <c r="E46" i="9"/>
  <c r="E44" i="9"/>
  <c r="H40" i="9"/>
  <c r="HE37" i="9"/>
  <c r="HE33" i="9" s="1"/>
  <c r="Z35" i="9"/>
  <c r="W35" i="9"/>
  <c r="W38" i="9" s="1"/>
  <c r="E35" i="9"/>
  <c r="BN33" i="9"/>
  <c r="BK33" i="9"/>
  <c r="AG33" i="9"/>
  <c r="AG32" i="9" s="1"/>
  <c r="AF33" i="9"/>
  <c r="AF32" i="9" s="1"/>
  <c r="AF35" i="9" s="1"/>
  <c r="AE33" i="9"/>
  <c r="AE32" i="9" s="1"/>
  <c r="AE35" i="9" s="1"/>
  <c r="AD33" i="9"/>
  <c r="AD32" i="9" s="1"/>
  <c r="AD35" i="9" s="1"/>
  <c r="AD37" i="9" s="1"/>
  <c r="AC33" i="9"/>
  <c r="AC32" i="9" s="1"/>
  <c r="AC35" i="9" s="1"/>
  <c r="E33" i="9"/>
  <c r="CL21" i="9" s="1"/>
  <c r="CL18" i="9" s="1"/>
  <c r="CR18" i="9" s="1"/>
  <c r="Z31" i="9"/>
  <c r="W31" i="9"/>
  <c r="AG29" i="9"/>
  <c r="AF29" i="9"/>
  <c r="HE28" i="9"/>
  <c r="HE27" i="9" s="1"/>
  <c r="HD23" i="9" s="1"/>
  <c r="BW28" i="9"/>
  <c r="AG28" i="9"/>
  <c r="AF28" i="9"/>
  <c r="Z28" i="9"/>
  <c r="Z27" i="9" s="1"/>
  <c r="Z38" i="9" s="1"/>
  <c r="W28" i="9"/>
  <c r="W27" i="9" s="1"/>
  <c r="HB27" i="9"/>
  <c r="GM27" i="9"/>
  <c r="FI27" i="9"/>
  <c r="ET27" i="9"/>
  <c r="EE27" i="9"/>
  <c r="BN26" i="9"/>
  <c r="BK26" i="9"/>
  <c r="ET23" i="9"/>
  <c r="EE23" i="9"/>
  <c r="DP25" i="9"/>
  <c r="DP23" i="9" s="1"/>
  <c r="BN25" i="9"/>
  <c r="BN24" i="9" s="1"/>
  <c r="BK25" i="9"/>
  <c r="BK24" i="9" s="1"/>
  <c r="BE25" i="9"/>
  <c r="BE24" i="9" s="1"/>
  <c r="BE20" i="9" s="1"/>
  <c r="BB25" i="9"/>
  <c r="BB24" i="9" s="1"/>
  <c r="BB20" i="9" s="1"/>
  <c r="AV25" i="9"/>
  <c r="AV24" i="9" s="1"/>
  <c r="AV20" i="9" s="1"/>
  <c r="AS25" i="9"/>
  <c r="AS24" i="9" s="1"/>
  <c r="AS20" i="9" s="1"/>
  <c r="AM25" i="9"/>
  <c r="AM24" i="9" s="1"/>
  <c r="AM20" i="9" s="1"/>
  <c r="AJ25" i="9"/>
  <c r="AJ24" i="9" s="1"/>
  <c r="AJ20" i="9" s="1"/>
  <c r="Q25" i="9"/>
  <c r="Q24" i="9" s="1"/>
  <c r="Q20" i="9" s="1"/>
  <c r="N25" i="9"/>
  <c r="N24" i="9" s="1"/>
  <c r="N20" i="9" s="1"/>
  <c r="HB24" i="9"/>
  <c r="GM24" i="9"/>
  <c r="FX24" i="9"/>
  <c r="ET24" i="9"/>
  <c r="EE24" i="9"/>
  <c r="DP24" i="9"/>
  <c r="AG24" i="9"/>
  <c r="AF24" i="9"/>
  <c r="AE24" i="9"/>
  <c r="AD24" i="9"/>
  <c r="AC24" i="9"/>
  <c r="HB23" i="9"/>
  <c r="GM23" i="9"/>
  <c r="FX23" i="9"/>
  <c r="DG23" i="9"/>
  <c r="DG20" i="9" s="1"/>
  <c r="CF23" i="9"/>
  <c r="CF22" i="9" s="1"/>
  <c r="AG23" i="9"/>
  <c r="AF23" i="9"/>
  <c r="AE23" i="9"/>
  <c r="AD23" i="9"/>
  <c r="AC23" i="9"/>
  <c r="CO22" i="9"/>
  <c r="CO21" i="9"/>
  <c r="BZ21" i="9"/>
  <c r="BZ20" i="9"/>
  <c r="AG20" i="9"/>
  <c r="AF20" i="9"/>
  <c r="BZ19" i="9"/>
  <c r="CX18" i="9"/>
  <c r="CX21" i="9" s="1"/>
  <c r="BZ18" i="9"/>
  <c r="E18" i="9"/>
  <c r="BT19" i="9" s="1"/>
  <c r="BT22" i="9" s="1"/>
  <c r="HB16" i="9"/>
  <c r="GM16" i="9"/>
  <c r="FX16" i="9"/>
  <c r="ET16" i="9"/>
  <c r="EE16" i="9"/>
  <c r="DP16" i="9"/>
  <c r="DP7" i="9" s="1"/>
  <c r="BW16" i="9"/>
  <c r="BQ15" i="9"/>
  <c r="BN15" i="9"/>
  <c r="BK15" i="9"/>
  <c r="FU14" i="9"/>
  <c r="Z14" i="9"/>
  <c r="Z17" i="9" s="1"/>
  <c r="W14" i="9"/>
  <c r="W17" i="9" s="1"/>
  <c r="CU13" i="9"/>
  <c r="CU12" i="9" s="1"/>
  <c r="CU11" i="9" s="1"/>
  <c r="BT13" i="9"/>
  <c r="K13" i="9"/>
  <c r="K12" i="9" s="1"/>
  <c r="K11" i="9" s="1"/>
  <c r="K16" i="9" s="1"/>
  <c r="DA12" i="9"/>
  <c r="DA11" i="9" s="1"/>
  <c r="DA10" i="9" s="1"/>
  <c r="BZ12" i="9"/>
  <c r="BZ11" i="9" s="1"/>
  <c r="BZ10" i="9" s="1"/>
  <c r="BT12" i="9"/>
  <c r="DP11" i="9"/>
  <c r="DP6" i="9" s="1"/>
  <c r="GA8" i="9"/>
  <c r="DP10" i="9"/>
  <c r="DG10" i="9"/>
  <c r="CX10" i="9"/>
  <c r="Z10" i="9"/>
  <c r="W10" i="9"/>
  <c r="E10" i="9"/>
  <c r="BZ7" i="9" s="1"/>
  <c r="HB9" i="9"/>
  <c r="GY9" i="9"/>
  <c r="GV9" i="9"/>
  <c r="GP8" i="9"/>
  <c r="GM9" i="9"/>
  <c r="GJ9" i="9"/>
  <c r="GG9" i="9"/>
  <c r="FI9" i="9"/>
  <c r="FF9" i="9"/>
  <c r="FC9" i="9"/>
  <c r="EW8" i="9"/>
  <c r="ET9" i="9"/>
  <c r="EQ9" i="9"/>
  <c r="EN9" i="9"/>
  <c r="EE9" i="9"/>
  <c r="EB9" i="9"/>
  <c r="DY9" i="9"/>
  <c r="DA9" i="9"/>
  <c r="CU9" i="9"/>
  <c r="BQ9" i="9"/>
  <c r="BN9" i="9"/>
  <c r="BK9" i="9"/>
  <c r="H9" i="9"/>
  <c r="HE8" i="9"/>
  <c r="HE7" i="9" s="1"/>
  <c r="HD3" i="9" s="1"/>
  <c r="FL8" i="9"/>
  <c r="EH8" i="9"/>
  <c r="DA8" i="9"/>
  <c r="CU8" i="9"/>
  <c r="CI8" i="9"/>
  <c r="CI7" i="9" s="1"/>
  <c r="CF8" i="9"/>
  <c r="CF7" i="9" s="1"/>
  <c r="CC8" i="9"/>
  <c r="CC7" i="9" s="1"/>
  <c r="CC3" i="9" s="1"/>
  <c r="BZ8" i="9"/>
  <c r="BQ8" i="9"/>
  <c r="BQ7" i="9" s="1"/>
  <c r="BQ3" i="9" s="1"/>
  <c r="BN8" i="9"/>
  <c r="BN7" i="9" s="1"/>
  <c r="BN3" i="9" s="1"/>
  <c r="BK8" i="9"/>
  <c r="BK7" i="9" s="1"/>
  <c r="BH8" i="9"/>
  <c r="BH7" i="9" s="1"/>
  <c r="BH3" i="9" s="1"/>
  <c r="BE8" i="9"/>
  <c r="BE7" i="9" s="1"/>
  <c r="BE3" i="9" s="1"/>
  <c r="BB8" i="9"/>
  <c r="BB7" i="9" s="1"/>
  <c r="BB3" i="9" s="1"/>
  <c r="AY8" i="9"/>
  <c r="AY7" i="9" s="1"/>
  <c r="AY3" i="9" s="1"/>
  <c r="AV8" i="9"/>
  <c r="AV7" i="9" s="1"/>
  <c r="AV3" i="9" s="1"/>
  <c r="AS8" i="9"/>
  <c r="AS7" i="9" s="1"/>
  <c r="AS3" i="9" s="1"/>
  <c r="AP8" i="9"/>
  <c r="AP7" i="9" s="1"/>
  <c r="AP3" i="9" s="1"/>
  <c r="AM8" i="9"/>
  <c r="AM7" i="9" s="1"/>
  <c r="AM3" i="9" s="1"/>
  <c r="AJ8" i="9"/>
  <c r="AJ7" i="9" s="1"/>
  <c r="AJ3" i="9" s="1"/>
  <c r="AG7" i="9"/>
  <c r="AF7" i="9"/>
  <c r="T8" i="9"/>
  <c r="T7" i="9" s="1"/>
  <c r="T3" i="9" s="1"/>
  <c r="Q8" i="9"/>
  <c r="Q7" i="9" s="1"/>
  <c r="Q3" i="9" s="1"/>
  <c r="N8" i="9"/>
  <c r="N7" i="9" s="1"/>
  <c r="N3" i="9" s="1"/>
  <c r="H8" i="9"/>
  <c r="ET5" i="9"/>
  <c r="EQ5" i="9"/>
  <c r="EN5" i="9"/>
  <c r="EE5" i="9"/>
  <c r="EB5" i="9"/>
  <c r="DY5" i="9"/>
  <c r="DM7" i="9"/>
  <c r="DM5" i="9" s="1"/>
  <c r="DJ7" i="9"/>
  <c r="DJ5" i="9" s="1"/>
  <c r="DA7" i="9"/>
  <c r="CX7" i="9"/>
  <c r="CX6" i="9" s="1"/>
  <c r="CU7" i="9"/>
  <c r="BT7" i="9"/>
  <c r="BT6" i="9" s="1"/>
  <c r="BT24" i="9" s="1"/>
  <c r="Z7" i="9"/>
  <c r="Z6" i="9" s="1"/>
  <c r="W7" i="9"/>
  <c r="W6" i="9" s="1"/>
  <c r="H7" i="9"/>
  <c r="HB6" i="9"/>
  <c r="GY6" i="9"/>
  <c r="GV6" i="9"/>
  <c r="GP6" i="9"/>
  <c r="GM6" i="9"/>
  <c r="GJ6" i="9"/>
  <c r="GG6" i="9"/>
  <c r="GA6" i="9"/>
  <c r="FX6" i="9"/>
  <c r="FU6" i="9"/>
  <c r="FL6" i="9"/>
  <c r="FI6" i="9"/>
  <c r="FF6" i="9"/>
  <c r="FC6" i="9"/>
  <c r="EW6" i="9"/>
  <c r="ET6" i="9"/>
  <c r="EQ6" i="9"/>
  <c r="EN6" i="9"/>
  <c r="EH6" i="9"/>
  <c r="EE6" i="9"/>
  <c r="EB6" i="9"/>
  <c r="DY6" i="9"/>
  <c r="DS6" i="9"/>
  <c r="DS7" i="9" s="1"/>
  <c r="DM6" i="9"/>
  <c r="DJ6" i="9"/>
  <c r="DD6" i="9"/>
  <c r="DA6" i="9"/>
  <c r="CU6" i="9"/>
  <c r="BZ6" i="9"/>
  <c r="H6" i="9"/>
  <c r="BW6" i="9" s="1"/>
  <c r="BW10" i="9" s="1"/>
  <c r="E6" i="9"/>
  <c r="HB5" i="9"/>
  <c r="GY5" i="9"/>
  <c r="GV5" i="9"/>
  <c r="GS5" i="9"/>
  <c r="GM5" i="9"/>
  <c r="GJ5" i="9"/>
  <c r="GG5" i="9"/>
  <c r="GD5" i="9"/>
  <c r="FX5" i="9"/>
  <c r="FU5" i="9"/>
  <c r="FR5" i="9"/>
  <c r="FI5" i="9"/>
  <c r="FF5" i="9"/>
  <c r="FC5" i="9"/>
  <c r="EZ5" i="9"/>
  <c r="EK5" i="9"/>
  <c r="DV5" i="9"/>
  <c r="GM3" i="9"/>
  <c r="FX3" i="9"/>
  <c r="EE9" i="7"/>
  <c r="EB9" i="7"/>
  <c r="DY9" i="7"/>
  <c r="DV5" i="7"/>
  <c r="EE27" i="7"/>
  <c r="EE9" i="8"/>
  <c r="EB9" i="8"/>
  <c r="DY9" i="8"/>
  <c r="DV5" i="8"/>
  <c r="EE27" i="8"/>
  <c r="EE9" i="1"/>
  <c r="EB9" i="1"/>
  <c r="DY9" i="1"/>
  <c r="DV5" i="1"/>
  <c r="EE27" i="1"/>
  <c r="DV5" i="6"/>
  <c r="EE27" i="6"/>
  <c r="EE9" i="6"/>
  <c r="EB9" i="6"/>
  <c r="DY9" i="6"/>
  <c r="H69" i="7"/>
  <c r="H65" i="7" s="1"/>
  <c r="K49" i="7"/>
  <c r="K50" i="7"/>
  <c r="H46" i="7"/>
  <c r="E48" i="7"/>
  <c r="H47" i="7"/>
  <c r="E46" i="7"/>
  <c r="E44" i="7"/>
  <c r="H40" i="7"/>
  <c r="HE37" i="7"/>
  <c r="HE33" i="7"/>
  <c r="Z35" i="7"/>
  <c r="W38" i="7"/>
  <c r="E35" i="7"/>
  <c r="DA34" i="7"/>
  <c r="Z34" i="7"/>
  <c r="W34" i="7"/>
  <c r="DA33" i="7"/>
  <c r="AG33" i="7"/>
  <c r="AG32" i="7" s="1"/>
  <c r="AG35" i="7" s="1"/>
  <c r="AF33" i="7"/>
  <c r="AF32" i="7" s="1"/>
  <c r="AF35" i="7" s="1"/>
  <c r="AE33" i="7"/>
  <c r="AE32" i="7" s="1"/>
  <c r="AE35" i="7" s="1"/>
  <c r="AD33" i="7"/>
  <c r="AD32" i="7" s="1"/>
  <c r="AD35" i="7" s="1"/>
  <c r="AC33" i="7"/>
  <c r="AC32" i="7" s="1"/>
  <c r="AC35" i="7" s="1"/>
  <c r="H33" i="7"/>
  <c r="E33" i="7"/>
  <c r="CL21" i="7" s="1"/>
  <c r="CL18" i="7" s="1"/>
  <c r="DA32" i="7"/>
  <c r="DA31" i="7"/>
  <c r="BE31" i="7"/>
  <c r="BB31" i="7"/>
  <c r="AV31" i="7"/>
  <c r="AS31" i="7"/>
  <c r="Z31" i="7"/>
  <c r="W31" i="7"/>
  <c r="W37" i="7" s="1"/>
  <c r="W25" i="7" s="1"/>
  <c r="DA30" i="7"/>
  <c r="CU30" i="7"/>
  <c r="BB30" i="7"/>
  <c r="AM30" i="7"/>
  <c r="AV30" i="7" s="1"/>
  <c r="BE30" i="7" s="1"/>
  <c r="AJ30" i="7"/>
  <c r="AS30" i="7" s="1"/>
  <c r="K30" i="7"/>
  <c r="K28" i="7" s="1"/>
  <c r="DA29" i="7"/>
  <c r="DA25" i="7" s="1"/>
  <c r="CU29" i="7"/>
  <c r="AG29" i="7"/>
  <c r="AF29" i="7"/>
  <c r="AE29" i="7"/>
  <c r="AD29" i="7"/>
  <c r="AC29" i="7"/>
  <c r="Z29" i="7"/>
  <c r="K29" i="7"/>
  <c r="HE28" i="7"/>
  <c r="HE27" i="7" s="1"/>
  <c r="DA28" i="7"/>
  <c r="CU28" i="7"/>
  <c r="CU25" i="7" s="1"/>
  <c r="BW28" i="7"/>
  <c r="AG28" i="7"/>
  <c r="AF28" i="7"/>
  <c r="AE28" i="7"/>
  <c r="AD28" i="7"/>
  <c r="AC28" i="7"/>
  <c r="Z28" i="7"/>
  <c r="Z27" i="7" s="1"/>
  <c r="W28" i="7"/>
  <c r="W27" i="7" s="1"/>
  <c r="HB27" i="7"/>
  <c r="GM27" i="7"/>
  <c r="FI27" i="7"/>
  <c r="ET27" i="7"/>
  <c r="DA27" i="7"/>
  <c r="DA24" i="7" s="1"/>
  <c r="CU27" i="7"/>
  <c r="K27" i="7"/>
  <c r="H27" i="7"/>
  <c r="DA26" i="7"/>
  <c r="BN26" i="7"/>
  <c r="BK26" i="7"/>
  <c r="K26" i="7"/>
  <c r="H26" i="7"/>
  <c r="ET23" i="7"/>
  <c r="DP23" i="7"/>
  <c r="BN25" i="7"/>
  <c r="BN24" i="7" s="1"/>
  <c r="BK25" i="7"/>
  <c r="BK24" i="7" s="1"/>
  <c r="BE25" i="7"/>
  <c r="BE24" i="7" s="1"/>
  <c r="BB25" i="7"/>
  <c r="BB24" i="7" s="1"/>
  <c r="AV25" i="7"/>
  <c r="AV24" i="7" s="1"/>
  <c r="AS25" i="7"/>
  <c r="AS24" i="7" s="1"/>
  <c r="AM25" i="7"/>
  <c r="AM24" i="7" s="1"/>
  <c r="AM20" i="7" s="1"/>
  <c r="AJ25" i="7"/>
  <c r="AJ24" i="7" s="1"/>
  <c r="AJ20" i="7" s="1"/>
  <c r="Q25" i="7"/>
  <c r="Q24" i="7" s="1"/>
  <c r="Q20" i="7" s="1"/>
  <c r="N25" i="7"/>
  <c r="N24" i="7" s="1"/>
  <c r="N20" i="7" s="1"/>
  <c r="HB24" i="7"/>
  <c r="GM24" i="7"/>
  <c r="FX24" i="7"/>
  <c r="ET24" i="7"/>
  <c r="EE24" i="7"/>
  <c r="DP24" i="7"/>
  <c r="AG24" i="7"/>
  <c r="AF24" i="7"/>
  <c r="AE24" i="7"/>
  <c r="AD24" i="7"/>
  <c r="AC24" i="7"/>
  <c r="K24" i="7"/>
  <c r="K20" i="7" s="1"/>
  <c r="H24" i="7"/>
  <c r="HB23" i="7"/>
  <c r="GM23" i="7"/>
  <c r="FX23" i="7"/>
  <c r="EE23" i="7"/>
  <c r="DG23" i="7"/>
  <c r="DG20" i="7" s="1"/>
  <c r="CF23" i="7"/>
  <c r="CF22" i="7" s="1"/>
  <c r="CC23" i="7"/>
  <c r="CC22" i="7" s="1"/>
  <c r="AG23" i="7"/>
  <c r="AF23" i="7"/>
  <c r="AE23" i="7"/>
  <c r="AD23" i="7"/>
  <c r="AC23" i="7"/>
  <c r="K23" i="7"/>
  <c r="H23" i="7"/>
  <c r="H22" i="7" s="1"/>
  <c r="BW22" i="7"/>
  <c r="BW16" i="7" s="1"/>
  <c r="BW12" i="7" s="1"/>
  <c r="BW3" i="7" s="1"/>
  <c r="K22" i="7"/>
  <c r="BZ21" i="7"/>
  <c r="K21" i="7"/>
  <c r="H21" i="7"/>
  <c r="CR20" i="7"/>
  <c r="BZ20" i="7"/>
  <c r="BZ17" i="7" s="1"/>
  <c r="AG20" i="7"/>
  <c r="AF20" i="7"/>
  <c r="AE20" i="7"/>
  <c r="AD20" i="7"/>
  <c r="AC20" i="7"/>
  <c r="H20" i="7"/>
  <c r="BZ19" i="7"/>
  <c r="H19" i="7"/>
  <c r="CX18" i="7"/>
  <c r="CX21" i="7" s="1"/>
  <c r="BZ18" i="7"/>
  <c r="H18" i="7"/>
  <c r="E18" i="7"/>
  <c r="BT19" i="7" s="1"/>
  <c r="BT22" i="7" s="1"/>
  <c r="H17" i="7"/>
  <c r="HB16" i="7"/>
  <c r="GM16" i="7"/>
  <c r="FX16" i="7"/>
  <c r="ET16" i="7"/>
  <c r="EE16" i="7"/>
  <c r="DP16" i="7"/>
  <c r="DP7" i="7" s="1"/>
  <c r="BQ16" i="7"/>
  <c r="BN16" i="7"/>
  <c r="BK16" i="7"/>
  <c r="AP16" i="7"/>
  <c r="AM16" i="7"/>
  <c r="AJ16" i="7"/>
  <c r="FU14" i="7"/>
  <c r="Z17" i="7"/>
  <c r="W17" i="7"/>
  <c r="DD13" i="7"/>
  <c r="CX13" i="7"/>
  <c r="CU13" i="7"/>
  <c r="CU12" i="7" s="1"/>
  <c r="CU11" i="7" s="1"/>
  <c r="BW13" i="7"/>
  <c r="BT13" i="7"/>
  <c r="AJ13" i="7"/>
  <c r="AS13" i="7" s="1"/>
  <c r="AS3" i="7" s="1"/>
  <c r="Z13" i="7"/>
  <c r="W13" i="7"/>
  <c r="T13" i="7"/>
  <c r="AP13" i="7" s="1"/>
  <c r="AY13" i="7" s="1"/>
  <c r="BH13" i="7" s="1"/>
  <c r="Q13" i="7"/>
  <c r="AM13" i="7" s="1"/>
  <c r="AV13" i="7" s="1"/>
  <c r="BE13" i="7" s="1"/>
  <c r="K13" i="7"/>
  <c r="K12" i="7" s="1"/>
  <c r="K11" i="7" s="1"/>
  <c r="K16" i="7" s="1"/>
  <c r="E13" i="7"/>
  <c r="E11" i="7" s="1"/>
  <c r="E22" i="7" s="1"/>
  <c r="DD12" i="7"/>
  <c r="DA12" i="7"/>
  <c r="DA11" i="7" s="1"/>
  <c r="DA10" i="7" s="1"/>
  <c r="CX12" i="7"/>
  <c r="BZ12" i="7"/>
  <c r="BZ11" i="7" s="1"/>
  <c r="BZ10" i="7" s="1"/>
  <c r="BZ15" i="7" s="1"/>
  <c r="BT12" i="7"/>
  <c r="BT11" i="7" s="1"/>
  <c r="E12" i="7"/>
  <c r="DP11" i="7"/>
  <c r="GP10" i="7"/>
  <c r="GA10" i="7"/>
  <c r="FL10" i="7"/>
  <c r="EW10" i="7"/>
  <c r="EH10" i="7"/>
  <c r="EH8" i="7" s="1"/>
  <c r="DS10" i="7"/>
  <c r="DD10" i="7"/>
  <c r="CX10" i="7"/>
  <c r="Z10" i="7"/>
  <c r="Z16" i="7" s="1"/>
  <c r="Z4" i="7" s="1"/>
  <c r="W10" i="7"/>
  <c r="E10" i="7"/>
  <c r="BW7" i="7" s="1"/>
  <c r="HB9" i="7"/>
  <c r="GY9" i="7"/>
  <c r="GV9" i="7"/>
  <c r="GP9" i="7"/>
  <c r="GM9" i="7"/>
  <c r="GJ9" i="7"/>
  <c r="GG9" i="7"/>
  <c r="GA9" i="7"/>
  <c r="FL9" i="7"/>
  <c r="FI9" i="7"/>
  <c r="FF9" i="7"/>
  <c r="FC9" i="7"/>
  <c r="EW9" i="7"/>
  <c r="ET9" i="7"/>
  <c r="EQ9" i="7"/>
  <c r="EN9" i="7"/>
  <c r="EH9" i="7"/>
  <c r="DS9" i="7"/>
  <c r="DS8" i="7" s="1"/>
  <c r="DS7" i="7" s="1"/>
  <c r="DD9" i="7"/>
  <c r="DA9" i="7"/>
  <c r="CU9" i="7"/>
  <c r="BQ9" i="7"/>
  <c r="BN9" i="7"/>
  <c r="BK9" i="7"/>
  <c r="AG9" i="7"/>
  <c r="AF9" i="7"/>
  <c r="AE9" i="7"/>
  <c r="AD9" i="7"/>
  <c r="AC9" i="7"/>
  <c r="H9" i="7"/>
  <c r="HE8" i="7"/>
  <c r="HE7" i="7" s="1"/>
  <c r="EW8" i="7"/>
  <c r="DA8" i="7"/>
  <c r="DA15" i="7" s="1"/>
  <c r="CU8" i="7"/>
  <c r="CI8" i="7"/>
  <c r="CI7" i="7"/>
  <c r="CI3" i="7" s="1"/>
  <c r="CF8" i="7"/>
  <c r="CF7" i="7" s="1"/>
  <c r="CF3" i="7" s="1"/>
  <c r="CC8" i="7"/>
  <c r="CC7" i="7" s="1"/>
  <c r="CC3" i="7" s="1"/>
  <c r="BQ8" i="7"/>
  <c r="BQ7" i="7" s="1"/>
  <c r="BN8" i="7"/>
  <c r="BN7" i="7" s="1"/>
  <c r="BK8" i="7"/>
  <c r="BK7" i="7" s="1"/>
  <c r="BH8" i="7"/>
  <c r="BH7" i="7" s="1"/>
  <c r="BH3" i="7" s="1"/>
  <c r="BE8" i="7"/>
  <c r="BE7" i="7" s="1"/>
  <c r="BB8" i="7"/>
  <c r="BB7" i="7" s="1"/>
  <c r="BB3" i="7" s="1"/>
  <c r="AY8" i="7"/>
  <c r="AY7" i="7" s="1"/>
  <c r="AV8" i="7"/>
  <c r="AS8" i="7"/>
  <c r="AS7" i="7" s="1"/>
  <c r="AP8" i="7"/>
  <c r="AP7" i="7" s="1"/>
  <c r="AM8" i="7"/>
  <c r="AM7" i="7" s="1"/>
  <c r="AJ8" i="7"/>
  <c r="AJ7" i="7" s="1"/>
  <c r="AJ3" i="7" s="1"/>
  <c r="AG8" i="7"/>
  <c r="AF8" i="7"/>
  <c r="T8" i="7"/>
  <c r="T7" i="7"/>
  <c r="T3" i="7" s="1"/>
  <c r="Q8" i="7"/>
  <c r="Q7" i="7" s="1"/>
  <c r="Q3" i="7" s="1"/>
  <c r="N8" i="7"/>
  <c r="N7" i="7" s="1"/>
  <c r="N3" i="7" s="1"/>
  <c r="H8" i="7"/>
  <c r="ET5" i="7"/>
  <c r="EQ5" i="7"/>
  <c r="EN5" i="7"/>
  <c r="EE5" i="7"/>
  <c r="DY5" i="7"/>
  <c r="DM5" i="7"/>
  <c r="DJ5" i="7"/>
  <c r="DA7" i="7"/>
  <c r="CX7" i="7"/>
  <c r="CX6" i="7" s="1"/>
  <c r="CU7" i="7"/>
  <c r="BT7" i="7"/>
  <c r="BT6" i="7" s="1"/>
  <c r="AV7" i="7"/>
  <c r="Z7" i="7"/>
  <c r="Z6" i="7" s="1"/>
  <c r="Z19" i="7" s="1"/>
  <c r="W7" i="7"/>
  <c r="W6" i="7" s="1"/>
  <c r="W19" i="7" s="1"/>
  <c r="H7" i="7"/>
  <c r="HB6" i="7"/>
  <c r="GY6" i="7"/>
  <c r="GV6" i="7"/>
  <c r="GP6" i="7"/>
  <c r="GM6" i="7"/>
  <c r="GJ6" i="7"/>
  <c r="GG6" i="7"/>
  <c r="GA6" i="7"/>
  <c r="FX6" i="7"/>
  <c r="FU6" i="7"/>
  <c r="FL6" i="7"/>
  <c r="FI6" i="7"/>
  <c r="FF6" i="7"/>
  <c r="FC6" i="7"/>
  <c r="EW6" i="7"/>
  <c r="ET6" i="7"/>
  <c r="EQ6" i="7"/>
  <c r="EN6" i="7"/>
  <c r="EH6" i="7"/>
  <c r="EE6" i="7"/>
  <c r="EB6" i="7"/>
  <c r="DY6" i="7"/>
  <c r="DS6" i="7"/>
  <c r="DM6" i="7"/>
  <c r="DJ6" i="7"/>
  <c r="DD6" i="7"/>
  <c r="DA6" i="7"/>
  <c r="CU6" i="7"/>
  <c r="CL6" i="7"/>
  <c r="CL3" i="7" s="1"/>
  <c r="H6" i="7"/>
  <c r="E6" i="7"/>
  <c r="HB5" i="7"/>
  <c r="GY5" i="7"/>
  <c r="GV5" i="7"/>
  <c r="GS5" i="7"/>
  <c r="GM5" i="7"/>
  <c r="GJ5" i="7"/>
  <c r="GG5" i="7"/>
  <c r="GD5" i="7"/>
  <c r="FX5" i="7"/>
  <c r="FU5" i="7"/>
  <c r="FR5" i="7"/>
  <c r="FI5" i="7"/>
  <c r="FF5" i="7"/>
  <c r="FC5" i="7"/>
  <c r="EZ5" i="7"/>
  <c r="EK5" i="7"/>
  <c r="EB5" i="7"/>
  <c r="CR5" i="7"/>
  <c r="CR3" i="7" s="1"/>
  <c r="FX3" i="7"/>
  <c r="H65" i="8"/>
  <c r="H61" i="8" s="1"/>
  <c r="H52" i="8" s="1"/>
  <c r="K49" i="8"/>
  <c r="K50" i="8"/>
  <c r="H46" i="8"/>
  <c r="E48" i="8"/>
  <c r="H47" i="8"/>
  <c r="E46" i="8"/>
  <c r="E44" i="8"/>
  <c r="H40" i="8"/>
  <c r="HE37" i="8"/>
  <c r="HE33" i="8" s="1"/>
  <c r="Z40" i="8"/>
  <c r="E35" i="8"/>
  <c r="DA34" i="8"/>
  <c r="W25" i="8"/>
  <c r="DA33" i="8"/>
  <c r="H33" i="8"/>
  <c r="E33" i="8"/>
  <c r="CL21" i="8" s="1"/>
  <c r="CL18" i="8" s="1"/>
  <c r="DA32" i="8"/>
  <c r="DA31" i="8"/>
  <c r="DA30" i="8"/>
  <c r="CU30" i="8"/>
  <c r="K30" i="8"/>
  <c r="DA29" i="8"/>
  <c r="DA25" i="8" s="1"/>
  <c r="CU29" i="8"/>
  <c r="CU26" i="8" s="1"/>
  <c r="K29" i="8"/>
  <c r="K28" i="8" s="1"/>
  <c r="HE28" i="8"/>
  <c r="HE27" i="8" s="1"/>
  <c r="DA28" i="8"/>
  <c r="CU28" i="8"/>
  <c r="BW28" i="8"/>
  <c r="AG28" i="8"/>
  <c r="AF28" i="8"/>
  <c r="AE28" i="8"/>
  <c r="AD28" i="8"/>
  <c r="AC28" i="8"/>
  <c r="Z28" i="8"/>
  <c r="Z27" i="8" s="1"/>
  <c r="W28" i="8"/>
  <c r="W27" i="8" s="1"/>
  <c r="W39" i="8" s="1"/>
  <c r="HB27" i="8"/>
  <c r="GM27" i="8"/>
  <c r="FI27" i="8"/>
  <c r="ET27" i="8"/>
  <c r="DA27" i="8"/>
  <c r="CU27" i="8"/>
  <c r="CU25" i="8" s="1"/>
  <c r="K27" i="8"/>
  <c r="H27" i="8"/>
  <c r="DA26" i="8"/>
  <c r="BN26" i="8"/>
  <c r="BK26" i="8"/>
  <c r="K26" i="8"/>
  <c r="H26" i="8"/>
  <c r="ET23" i="8"/>
  <c r="EE23" i="8"/>
  <c r="DP23" i="8"/>
  <c r="BN25" i="8"/>
  <c r="BN24" i="8" s="1"/>
  <c r="BN20" i="8" s="1"/>
  <c r="BK25" i="8"/>
  <c r="BK24" i="8" s="1"/>
  <c r="BK20" i="8" s="1"/>
  <c r="BE25" i="8"/>
  <c r="BE24" i="8" s="1"/>
  <c r="BE20" i="8" s="1"/>
  <c r="BB25" i="8"/>
  <c r="BB24" i="8" s="1"/>
  <c r="BB20" i="8" s="1"/>
  <c r="AV25" i="8"/>
  <c r="AV24" i="8" s="1"/>
  <c r="AV20" i="8" s="1"/>
  <c r="AS25" i="8"/>
  <c r="AM25" i="8"/>
  <c r="AM24" i="8" s="1"/>
  <c r="AM20" i="8" s="1"/>
  <c r="AJ25" i="8"/>
  <c r="AJ24" i="8" s="1"/>
  <c r="AJ20" i="8" s="1"/>
  <c r="Q25" i="8"/>
  <c r="Q24" i="8" s="1"/>
  <c r="Q20" i="8" s="1"/>
  <c r="N25" i="8"/>
  <c r="HB24" i="8"/>
  <c r="GM24" i="8"/>
  <c r="FX24" i="8"/>
  <c r="ET24" i="8"/>
  <c r="EE24" i="8"/>
  <c r="DP24" i="8"/>
  <c r="AS24" i="8"/>
  <c r="AS20" i="8" s="1"/>
  <c r="AG24" i="8"/>
  <c r="AF24" i="8"/>
  <c r="AE24" i="8"/>
  <c r="AD24" i="8"/>
  <c r="AC24" i="8"/>
  <c r="N24" i="8"/>
  <c r="N20" i="8" s="1"/>
  <c r="K24" i="8"/>
  <c r="H24" i="8"/>
  <c r="HB23" i="8"/>
  <c r="GM23" i="8"/>
  <c r="FX23" i="8"/>
  <c r="DG23" i="8"/>
  <c r="DG20" i="8" s="1"/>
  <c r="DG16" i="8" s="1"/>
  <c r="DG7" i="8" s="1"/>
  <c r="CF23" i="8"/>
  <c r="CF22" i="8" s="1"/>
  <c r="CF18" i="8" s="1"/>
  <c r="CC23" i="8"/>
  <c r="CC22" i="8" s="1"/>
  <c r="CC18" i="8" s="1"/>
  <c r="AG23" i="8"/>
  <c r="AF23" i="8"/>
  <c r="AE23" i="8"/>
  <c r="AE39" i="8" s="1"/>
  <c r="AD23" i="8"/>
  <c r="AD39" i="8" s="1"/>
  <c r="AC23" i="8"/>
  <c r="AC39" i="8" s="1"/>
  <c r="K23" i="8"/>
  <c r="H23" i="8"/>
  <c r="BW22" i="8"/>
  <c r="BW16" i="8" s="1"/>
  <c r="K22" i="8"/>
  <c r="BZ21" i="8"/>
  <c r="K21" i="8"/>
  <c r="CR20" i="8"/>
  <c r="CR18" i="8" s="1"/>
  <c r="BZ20" i="8"/>
  <c r="AG20" i="8"/>
  <c r="AF20" i="8"/>
  <c r="AE20" i="8"/>
  <c r="AD20" i="8"/>
  <c r="AC20" i="8"/>
  <c r="H20" i="8"/>
  <c r="BZ19" i="8"/>
  <c r="H19" i="8"/>
  <c r="H16" i="8" s="1"/>
  <c r="H11" i="8" s="1"/>
  <c r="CX18" i="8"/>
  <c r="CX21" i="8" s="1"/>
  <c r="BZ18" i="8"/>
  <c r="BZ16" i="8" s="1"/>
  <c r="H18" i="8"/>
  <c r="E18" i="8"/>
  <c r="H17" i="8"/>
  <c r="HB16" i="8"/>
  <c r="GM16" i="8"/>
  <c r="FX16" i="8"/>
  <c r="ET16" i="8"/>
  <c r="EE16" i="8"/>
  <c r="DP16" i="8"/>
  <c r="BQ16" i="8"/>
  <c r="BN16" i="8"/>
  <c r="BK16" i="8"/>
  <c r="AP16" i="8"/>
  <c r="AM16" i="8"/>
  <c r="AJ16" i="8"/>
  <c r="FU14" i="8"/>
  <c r="Z17" i="8"/>
  <c r="W17" i="8"/>
  <c r="DD13" i="8"/>
  <c r="CX13" i="8"/>
  <c r="CU13" i="8"/>
  <c r="CU12" i="8" s="1"/>
  <c r="CU11" i="8" s="1"/>
  <c r="BT13" i="8"/>
  <c r="AJ13" i="8"/>
  <c r="AS13" i="8" s="1"/>
  <c r="Z13" i="8"/>
  <c r="W13" i="8"/>
  <c r="T13" i="8"/>
  <c r="AP13" i="8" s="1"/>
  <c r="AY13" i="8"/>
  <c r="BH13" i="8" s="1"/>
  <c r="Q13" i="8"/>
  <c r="AM13" i="8" s="1"/>
  <c r="K13" i="8"/>
  <c r="K12" i="8" s="1"/>
  <c r="K11" i="8" s="1"/>
  <c r="E13" i="8"/>
  <c r="DD12" i="8"/>
  <c r="DA12" i="8"/>
  <c r="DA11" i="8" s="1"/>
  <c r="DA10" i="8" s="1"/>
  <c r="CX12" i="8"/>
  <c r="BZ12" i="8"/>
  <c r="BT12" i="8"/>
  <c r="E12" i="8"/>
  <c r="E11" i="8" s="1"/>
  <c r="DP11" i="8"/>
  <c r="BZ11" i="8"/>
  <c r="GP10" i="8"/>
  <c r="GA10" i="8"/>
  <c r="FL10" i="8"/>
  <c r="EW10" i="8"/>
  <c r="EW8" i="8"/>
  <c r="EH10" i="8"/>
  <c r="DS10" i="8"/>
  <c r="DD10" i="8"/>
  <c r="CX10" i="8"/>
  <c r="Z10" i="8"/>
  <c r="W10" i="8"/>
  <c r="E10" i="8"/>
  <c r="BT10" i="8"/>
  <c r="HB9" i="8"/>
  <c r="GY9" i="8"/>
  <c r="GV9" i="8"/>
  <c r="GP9" i="8"/>
  <c r="GP8" i="8" s="1"/>
  <c r="GM9" i="8"/>
  <c r="GJ9" i="8"/>
  <c r="GG9" i="8"/>
  <c r="GA9" i="8"/>
  <c r="GA8" i="8" s="1"/>
  <c r="FL9" i="8"/>
  <c r="FL8" i="8" s="1"/>
  <c r="FI9" i="8"/>
  <c r="FF9" i="8"/>
  <c r="FC9" i="8"/>
  <c r="EW9" i="8"/>
  <c r="ET9" i="8"/>
  <c r="EQ9" i="8"/>
  <c r="EN9" i="8"/>
  <c r="EH9" i="8"/>
  <c r="DS9" i="8"/>
  <c r="DS8" i="8"/>
  <c r="DD9" i="8"/>
  <c r="DD8" i="8" s="1"/>
  <c r="DA9" i="8"/>
  <c r="CU9" i="8"/>
  <c r="BW9" i="8"/>
  <c r="BQ9" i="8"/>
  <c r="BN9" i="8"/>
  <c r="BK9" i="8"/>
  <c r="H9" i="8"/>
  <c r="HE8" i="8"/>
  <c r="HE7" i="8" s="1"/>
  <c r="HD3" i="8" s="1"/>
  <c r="DA8" i="8"/>
  <c r="CU8" i="8"/>
  <c r="CI8" i="8"/>
  <c r="CI7" i="8" s="1"/>
  <c r="CI3" i="8" s="1"/>
  <c r="CF8" i="8"/>
  <c r="CF7" i="8" s="1"/>
  <c r="CF3" i="8" s="1"/>
  <c r="CC8" i="8"/>
  <c r="CC7" i="8" s="1"/>
  <c r="CC3" i="8" s="1"/>
  <c r="BQ8" i="8"/>
  <c r="BQ7" i="8" s="1"/>
  <c r="BN8" i="8"/>
  <c r="BN7" i="8" s="1"/>
  <c r="BN3" i="8" s="1"/>
  <c r="BK8" i="8"/>
  <c r="BK7" i="8" s="1"/>
  <c r="BH8" i="8"/>
  <c r="BH7" i="8" s="1"/>
  <c r="BE8" i="8"/>
  <c r="BE7" i="8" s="1"/>
  <c r="BB8" i="8"/>
  <c r="BB7" i="8" s="1"/>
  <c r="BB3" i="8" s="1"/>
  <c r="AY8" i="8"/>
  <c r="AY7" i="8" s="1"/>
  <c r="AV8" i="8"/>
  <c r="AV7" i="8"/>
  <c r="AS8" i="8"/>
  <c r="AS7" i="8" s="1"/>
  <c r="AP8" i="8"/>
  <c r="AM8" i="8"/>
  <c r="AM7" i="8" s="1"/>
  <c r="AJ8" i="8"/>
  <c r="AJ7" i="8" s="1"/>
  <c r="AJ3" i="8" s="1"/>
  <c r="AG8" i="8"/>
  <c r="AF8" i="8"/>
  <c r="T8" i="8"/>
  <c r="T7" i="8" s="1"/>
  <c r="T3" i="8" s="1"/>
  <c r="Q8" i="8"/>
  <c r="Q7" i="8" s="1"/>
  <c r="Q3" i="8" s="1"/>
  <c r="N8" i="8"/>
  <c r="N7" i="8" s="1"/>
  <c r="N3" i="8" s="1"/>
  <c r="H8" i="8"/>
  <c r="BW8" i="8" s="1"/>
  <c r="ET5" i="8"/>
  <c r="EQ5" i="8"/>
  <c r="EN5" i="8"/>
  <c r="EE5" i="8"/>
  <c r="EB5" i="8"/>
  <c r="DY5" i="8"/>
  <c r="DP7" i="8"/>
  <c r="DJ5" i="8"/>
  <c r="DA7" i="8"/>
  <c r="DA14" i="8" s="1"/>
  <c r="CX7" i="8"/>
  <c r="CX6" i="8" s="1"/>
  <c r="CU7" i="8"/>
  <c r="BW7" i="8"/>
  <c r="BT7" i="8"/>
  <c r="AP7" i="8"/>
  <c r="AP3" i="8" s="1"/>
  <c r="Z7" i="8"/>
  <c r="Z6" i="8" s="1"/>
  <c r="Z19" i="8" s="1"/>
  <c r="W7" i="8"/>
  <c r="W6" i="8" s="1"/>
  <c r="H7" i="8"/>
  <c r="HB6" i="8"/>
  <c r="GY6" i="8"/>
  <c r="GV6" i="8"/>
  <c r="GP6" i="8"/>
  <c r="GM6" i="8"/>
  <c r="GJ6" i="8"/>
  <c r="GG6" i="8"/>
  <c r="GA6" i="8"/>
  <c r="FX6" i="8"/>
  <c r="FU6" i="8"/>
  <c r="FL6" i="8"/>
  <c r="FL7" i="8" s="1"/>
  <c r="FI6" i="8"/>
  <c r="FF6" i="8"/>
  <c r="FC6" i="8"/>
  <c r="EW6" i="8"/>
  <c r="ET6" i="8"/>
  <c r="EQ6" i="8"/>
  <c r="EN6" i="8"/>
  <c r="EH6" i="8"/>
  <c r="EE6" i="8"/>
  <c r="EB6" i="8"/>
  <c r="DY6" i="8"/>
  <c r="DS6" i="8"/>
  <c r="DM6" i="8"/>
  <c r="DJ6" i="8"/>
  <c r="DD6" i="8"/>
  <c r="DA6" i="8"/>
  <c r="CU6" i="8"/>
  <c r="CL6" i="8"/>
  <c r="CL3" i="8" s="1"/>
  <c r="CO3" i="8" s="1"/>
  <c r="BT6" i="8"/>
  <c r="H6" i="8"/>
  <c r="BW6" i="8" s="1"/>
  <c r="E6" i="8"/>
  <c r="E23" i="8" s="1"/>
  <c r="HB5" i="8"/>
  <c r="GY5" i="8"/>
  <c r="GV5" i="8"/>
  <c r="GS5" i="8"/>
  <c r="GM5" i="8"/>
  <c r="GM3" i="8" s="1"/>
  <c r="GJ5" i="8"/>
  <c r="GG5" i="8"/>
  <c r="GD5" i="8"/>
  <c r="FX5" i="8"/>
  <c r="FU5" i="8"/>
  <c r="FR5" i="8"/>
  <c r="FI5" i="8"/>
  <c r="FI3" i="8" s="1"/>
  <c r="FF5" i="8"/>
  <c r="FC5" i="8"/>
  <c r="EZ5" i="8"/>
  <c r="EK5" i="8"/>
  <c r="DM5" i="8"/>
  <c r="CR5" i="8"/>
  <c r="FX3" i="8"/>
  <c r="H69" i="6"/>
  <c r="H65" i="6" s="1"/>
  <c r="K49" i="6"/>
  <c r="K50" i="6"/>
  <c r="H46" i="6"/>
  <c r="E48" i="6"/>
  <c r="H47" i="6"/>
  <c r="E46" i="6"/>
  <c r="E50" i="6" s="1"/>
  <c r="E40" i="6" s="1"/>
  <c r="E44" i="6"/>
  <c r="H40" i="6"/>
  <c r="HE37" i="6"/>
  <c r="HE33" i="6"/>
  <c r="Z40" i="6"/>
  <c r="E35" i="6"/>
  <c r="DA34" i="6"/>
  <c r="DA33" i="6"/>
  <c r="H33" i="6"/>
  <c r="E33" i="6"/>
  <c r="DA32" i="6"/>
  <c r="DA31" i="6"/>
  <c r="DA30" i="6"/>
  <c r="CU30" i="6"/>
  <c r="K30" i="6"/>
  <c r="DA29" i="6"/>
  <c r="DA25" i="6" s="1"/>
  <c r="DA14" i="6" s="1"/>
  <c r="CU29" i="6"/>
  <c r="K29" i="6"/>
  <c r="K28" i="6" s="1"/>
  <c r="HE28" i="6"/>
  <c r="HE27" i="6" s="1"/>
  <c r="DA28" i="6"/>
  <c r="CU28" i="6"/>
  <c r="BW28" i="6"/>
  <c r="AG28" i="6"/>
  <c r="AF28" i="6"/>
  <c r="AE28" i="6"/>
  <c r="AD28" i="6"/>
  <c r="AC28" i="6"/>
  <c r="Z28" i="6"/>
  <c r="Z27" i="6" s="1"/>
  <c r="W28" i="6"/>
  <c r="HB27" i="6"/>
  <c r="GM27" i="6"/>
  <c r="FI27" i="6"/>
  <c r="ET27" i="6"/>
  <c r="DA27" i="6"/>
  <c r="CU27" i="6"/>
  <c r="CU25" i="6" s="1"/>
  <c r="W27" i="6"/>
  <c r="W39" i="6" s="1"/>
  <c r="K27" i="6"/>
  <c r="H27" i="6"/>
  <c r="DA26" i="6"/>
  <c r="BN26" i="6"/>
  <c r="BK26" i="6"/>
  <c r="K26" i="6"/>
  <c r="H26" i="6"/>
  <c r="ET23" i="6"/>
  <c r="EE23" i="6"/>
  <c r="DP23" i="6"/>
  <c r="BN25" i="6"/>
  <c r="BN24" i="6" s="1"/>
  <c r="BN20" i="6" s="1"/>
  <c r="BK25" i="6"/>
  <c r="BK24" i="6"/>
  <c r="BE25" i="6"/>
  <c r="BE24" i="6" s="1"/>
  <c r="BE20" i="6" s="1"/>
  <c r="BB25" i="6"/>
  <c r="BB24" i="6" s="1"/>
  <c r="BB20" i="6" s="1"/>
  <c r="AV25" i="6"/>
  <c r="AV24" i="6" s="1"/>
  <c r="AV20" i="6" s="1"/>
  <c r="AS25" i="6"/>
  <c r="AS24" i="6" s="1"/>
  <c r="AS20" i="6" s="1"/>
  <c r="AM25" i="6"/>
  <c r="AM24" i="6" s="1"/>
  <c r="AJ25" i="6"/>
  <c r="AJ24" i="6" s="1"/>
  <c r="AJ20" i="6" s="1"/>
  <c r="Q25" i="6"/>
  <c r="Q24" i="6" s="1"/>
  <c r="Q20" i="6" s="1"/>
  <c r="N25" i="6"/>
  <c r="N24" i="6" s="1"/>
  <c r="N20" i="6" s="1"/>
  <c r="HB24" i="6"/>
  <c r="GM24" i="6"/>
  <c r="FX24" i="6"/>
  <c r="ET24" i="6"/>
  <c r="EE24" i="6"/>
  <c r="DP24" i="6"/>
  <c r="AG24" i="6"/>
  <c r="AF24" i="6"/>
  <c r="AE24" i="6"/>
  <c r="AD24" i="6"/>
  <c r="AC24" i="6"/>
  <c r="K24" i="6"/>
  <c r="H24" i="6"/>
  <c r="HB23" i="6"/>
  <c r="GM23" i="6"/>
  <c r="FX23" i="6"/>
  <c r="DG23" i="6"/>
  <c r="DG20" i="6" s="1"/>
  <c r="CF23" i="6"/>
  <c r="CF22" i="6" s="1"/>
  <c r="CF18" i="6" s="1"/>
  <c r="CC23" i="6"/>
  <c r="CC22" i="6" s="1"/>
  <c r="CC18" i="6" s="1"/>
  <c r="AG23" i="6"/>
  <c r="AF23" i="6"/>
  <c r="AE23" i="6"/>
  <c r="AE39" i="6" s="1"/>
  <c r="AD23" i="6"/>
  <c r="AD39" i="6" s="1"/>
  <c r="AC23" i="6"/>
  <c r="AC39" i="6" s="1"/>
  <c r="K23" i="6"/>
  <c r="H23" i="6"/>
  <c r="H22" i="6" s="1"/>
  <c r="BW22" i="6"/>
  <c r="BW16" i="6" s="1"/>
  <c r="K22" i="6"/>
  <c r="BZ21" i="6"/>
  <c r="K21" i="6"/>
  <c r="K19" i="6" s="1"/>
  <c r="H21" i="6"/>
  <c r="CR20" i="6"/>
  <c r="BZ20" i="6"/>
  <c r="BZ17" i="6" s="1"/>
  <c r="AG20" i="6"/>
  <c r="AF20" i="6"/>
  <c r="AE20" i="6"/>
  <c r="AD20" i="6"/>
  <c r="AC20" i="6"/>
  <c r="H20" i="6"/>
  <c r="BZ19" i="6"/>
  <c r="H19" i="6"/>
  <c r="CX18" i="6"/>
  <c r="CX21" i="6" s="1"/>
  <c r="BZ18" i="6"/>
  <c r="H18" i="6"/>
  <c r="E18" i="6"/>
  <c r="E21" i="6" s="1"/>
  <c r="BT19" i="6"/>
  <c r="BT22" i="6" s="1"/>
  <c r="H17" i="6"/>
  <c r="HB16" i="6"/>
  <c r="GM16" i="6"/>
  <c r="FX16" i="6"/>
  <c r="ET16" i="6"/>
  <c r="EE16" i="6"/>
  <c r="DP16" i="6"/>
  <c r="DP7" i="6" s="1"/>
  <c r="BQ16" i="6"/>
  <c r="BN16" i="6"/>
  <c r="BK16" i="6"/>
  <c r="AP16" i="6"/>
  <c r="AM16" i="6"/>
  <c r="AJ16" i="6"/>
  <c r="FU14" i="6"/>
  <c r="Z17" i="6"/>
  <c r="W17" i="6"/>
  <c r="DD13" i="6"/>
  <c r="CX13" i="6"/>
  <c r="CU13" i="6"/>
  <c r="CU12" i="6" s="1"/>
  <c r="CU11" i="6" s="1"/>
  <c r="BT13" i="6"/>
  <c r="AJ13" i="6"/>
  <c r="AS13" i="6" s="1"/>
  <c r="Z13" i="6"/>
  <c r="W13" i="6"/>
  <c r="T13" i="6"/>
  <c r="AP13" i="6" s="1"/>
  <c r="AY13" i="6" s="1"/>
  <c r="BH13" i="6" s="1"/>
  <c r="Q13" i="6"/>
  <c r="AM13" i="6" s="1"/>
  <c r="AV13" i="6" s="1"/>
  <c r="BE13" i="6" s="1"/>
  <c r="K13" i="6"/>
  <c r="K12" i="6" s="1"/>
  <c r="K11" i="6" s="1"/>
  <c r="K16" i="6" s="1"/>
  <c r="E13" i="6"/>
  <c r="DD12" i="6"/>
  <c r="DD11" i="6" s="1"/>
  <c r="DA12" i="6"/>
  <c r="DA11" i="6"/>
  <c r="DA10" i="6" s="1"/>
  <c r="CX12" i="6"/>
  <c r="CX11" i="6" s="1"/>
  <c r="BZ12" i="6"/>
  <c r="BZ11" i="6" s="1"/>
  <c r="BZ10" i="6" s="1"/>
  <c r="BZ15" i="6" s="1"/>
  <c r="BT12" i="6"/>
  <c r="E12" i="6"/>
  <c r="DP11" i="6"/>
  <c r="DP5" i="6" s="1"/>
  <c r="GP10" i="6"/>
  <c r="GA10" i="6"/>
  <c r="FL10" i="6"/>
  <c r="EW10" i="6"/>
  <c r="EH10" i="6"/>
  <c r="DS10" i="6"/>
  <c r="DD10" i="6"/>
  <c r="CX10" i="6"/>
  <c r="CX20" i="6" s="1"/>
  <c r="CX3" i="6" s="1"/>
  <c r="W10" i="6"/>
  <c r="E10" i="6"/>
  <c r="BW7" i="6" s="1"/>
  <c r="HB9" i="6"/>
  <c r="GY9" i="6"/>
  <c r="GV9" i="6"/>
  <c r="GP9" i="6"/>
  <c r="GM9" i="6"/>
  <c r="GJ9" i="6"/>
  <c r="GG9" i="6"/>
  <c r="GA9" i="6"/>
  <c r="FL9" i="6"/>
  <c r="FI9" i="6"/>
  <c r="FF9" i="6"/>
  <c r="FC9" i="6"/>
  <c r="EW9" i="6"/>
  <c r="ET9" i="6"/>
  <c r="EQ9" i="6"/>
  <c r="EN9" i="6"/>
  <c r="EH9" i="6"/>
  <c r="EH8" i="6"/>
  <c r="DS9" i="6"/>
  <c r="DS8" i="6" s="1"/>
  <c r="DD9" i="6"/>
  <c r="DA9" i="6"/>
  <c r="CU9" i="6"/>
  <c r="BQ9" i="6"/>
  <c r="BN9" i="6"/>
  <c r="BK9" i="6"/>
  <c r="H9" i="6"/>
  <c r="HE8" i="6"/>
  <c r="HE7" i="6" s="1"/>
  <c r="HD3" i="6" s="1"/>
  <c r="GA8" i="6"/>
  <c r="DA8" i="6"/>
  <c r="DA15" i="6" s="1"/>
  <c r="CU8" i="6"/>
  <c r="CI8" i="6"/>
  <c r="CI7" i="6" s="1"/>
  <c r="CI3" i="6" s="1"/>
  <c r="CF8" i="6"/>
  <c r="CF7" i="6" s="1"/>
  <c r="CF3" i="6" s="1"/>
  <c r="CC8" i="6"/>
  <c r="CC7" i="6"/>
  <c r="CC3" i="6" s="1"/>
  <c r="BQ8" i="6"/>
  <c r="BQ7" i="6" s="1"/>
  <c r="BQ3" i="6" s="1"/>
  <c r="BN8" i="6"/>
  <c r="BN7" i="6" s="1"/>
  <c r="BK8" i="6"/>
  <c r="BK7" i="6" s="1"/>
  <c r="BK3" i="6" s="1"/>
  <c r="BH8" i="6"/>
  <c r="BH7" i="6" s="1"/>
  <c r="BE8" i="6"/>
  <c r="BE7" i="6" s="1"/>
  <c r="BB8" i="6"/>
  <c r="BB7" i="6"/>
  <c r="BB3" i="6" s="1"/>
  <c r="AY8" i="6"/>
  <c r="AY7" i="6" s="1"/>
  <c r="AV8" i="6"/>
  <c r="AV7" i="6" s="1"/>
  <c r="AS8" i="6"/>
  <c r="AS7" i="6" s="1"/>
  <c r="AP8" i="6"/>
  <c r="AP7" i="6" s="1"/>
  <c r="AM8" i="6"/>
  <c r="AM7" i="6" s="1"/>
  <c r="AJ8" i="6"/>
  <c r="AJ7" i="6" s="1"/>
  <c r="AG8" i="6"/>
  <c r="AF8" i="6"/>
  <c r="T8" i="6"/>
  <c r="T7" i="6" s="1"/>
  <c r="T3" i="6" s="1"/>
  <c r="Q8" i="6"/>
  <c r="Q7" i="6" s="1"/>
  <c r="N7" i="6"/>
  <c r="N3" i="6" s="1"/>
  <c r="H8" i="6"/>
  <c r="H12" i="6" s="1"/>
  <c r="ET5" i="6"/>
  <c r="EN5" i="6"/>
  <c r="EE5" i="6"/>
  <c r="EB5" i="6"/>
  <c r="DY5" i="6"/>
  <c r="DM5" i="6"/>
  <c r="DA7" i="6"/>
  <c r="CX7" i="6"/>
  <c r="CX6" i="6" s="1"/>
  <c r="CU7" i="6"/>
  <c r="BT7" i="6"/>
  <c r="BT6" i="6" s="1"/>
  <c r="Z7" i="6"/>
  <c r="Z6" i="6" s="1"/>
  <c r="W7" i="6"/>
  <c r="W6" i="6" s="1"/>
  <c r="H7" i="6"/>
  <c r="HB6" i="6"/>
  <c r="GY6" i="6"/>
  <c r="GV6" i="6"/>
  <c r="GP6" i="6"/>
  <c r="GM6" i="6"/>
  <c r="GJ6" i="6"/>
  <c r="GG6" i="6"/>
  <c r="GA6" i="6"/>
  <c r="GA7" i="6" s="1"/>
  <c r="FX6" i="6"/>
  <c r="FU6" i="6"/>
  <c r="FL6" i="6"/>
  <c r="FI6" i="6"/>
  <c r="FF6" i="6"/>
  <c r="FC6" i="6"/>
  <c r="EW6" i="6"/>
  <c r="ET6" i="6"/>
  <c r="EQ6" i="6"/>
  <c r="EN6" i="6"/>
  <c r="EH6" i="6"/>
  <c r="EE6" i="6"/>
  <c r="EB6" i="6"/>
  <c r="DY6" i="6"/>
  <c r="DS6" i="6"/>
  <c r="DP6" i="6"/>
  <c r="DM6" i="6"/>
  <c r="DJ6" i="6"/>
  <c r="DD6" i="6"/>
  <c r="DA6" i="6"/>
  <c r="CU6" i="6"/>
  <c r="H6" i="6"/>
  <c r="E6" i="6"/>
  <c r="E23" i="6" s="1"/>
  <c r="HB5" i="6"/>
  <c r="GY5" i="6"/>
  <c r="GV5" i="6"/>
  <c r="GS5" i="6"/>
  <c r="GM5" i="6"/>
  <c r="GJ5" i="6"/>
  <c r="GG5" i="6"/>
  <c r="GD5" i="6"/>
  <c r="FX5" i="6"/>
  <c r="FU5" i="6"/>
  <c r="FR5" i="6"/>
  <c r="FI5" i="6"/>
  <c r="FF5" i="6"/>
  <c r="FC5" i="6"/>
  <c r="EZ5" i="6"/>
  <c r="EQ5" i="6"/>
  <c r="EK5" i="6"/>
  <c r="DJ5" i="6"/>
  <c r="CR5" i="6"/>
  <c r="FX3" i="6"/>
  <c r="GP10" i="1"/>
  <c r="GP9" i="1"/>
  <c r="FL10" i="1"/>
  <c r="FL9" i="1"/>
  <c r="GA10" i="1"/>
  <c r="GA9" i="1"/>
  <c r="EW10" i="1"/>
  <c r="EW9" i="1"/>
  <c r="EW8" i="1" s="1"/>
  <c r="EH10" i="1"/>
  <c r="EH9" i="1"/>
  <c r="EH8" i="1" s="1"/>
  <c r="H69" i="1"/>
  <c r="H65" i="1" s="1"/>
  <c r="H56" i="1" s="1"/>
  <c r="H68" i="1"/>
  <c r="K49" i="1"/>
  <c r="K50" i="1"/>
  <c r="H46" i="1"/>
  <c r="E48" i="1"/>
  <c r="H47" i="1"/>
  <c r="E46" i="1"/>
  <c r="E44" i="1"/>
  <c r="H40" i="1"/>
  <c r="HE37" i="1"/>
  <c r="HE33" i="1" s="1"/>
  <c r="Z35" i="1"/>
  <c r="Z40" i="1" s="1"/>
  <c r="W35" i="1"/>
  <c r="W38" i="1" s="1"/>
  <c r="E35" i="1"/>
  <c r="DA34" i="1"/>
  <c r="Z34" i="1"/>
  <c r="W34" i="1"/>
  <c r="DA33" i="1"/>
  <c r="BN33" i="1"/>
  <c r="BK33" i="1"/>
  <c r="AM33" i="1"/>
  <c r="AJ33" i="1"/>
  <c r="AG33" i="1"/>
  <c r="AG32" i="1" s="1"/>
  <c r="AG35" i="1" s="1"/>
  <c r="AF33" i="1"/>
  <c r="AF32" i="1" s="1"/>
  <c r="AF35" i="1" s="1"/>
  <c r="AE33" i="1"/>
  <c r="AE32" i="1" s="1"/>
  <c r="AE35" i="1" s="1"/>
  <c r="AD33" i="1"/>
  <c r="AD32" i="1" s="1"/>
  <c r="AC33" i="1"/>
  <c r="AC32" i="1" s="1"/>
  <c r="AC35" i="1" s="1"/>
  <c r="H33" i="1"/>
  <c r="H21" i="1" s="1"/>
  <c r="E33" i="1"/>
  <c r="CL6" i="1" s="1"/>
  <c r="CL3" i="1" s="1"/>
  <c r="DA32" i="1"/>
  <c r="DA31" i="1"/>
  <c r="BE31" i="1"/>
  <c r="BB31" i="1"/>
  <c r="AV31" i="1"/>
  <c r="AS31" i="1"/>
  <c r="Z31" i="1"/>
  <c r="W31" i="1"/>
  <c r="DA30" i="1"/>
  <c r="CU30" i="1"/>
  <c r="AM30" i="1"/>
  <c r="AV30" i="1" s="1"/>
  <c r="AJ30" i="1"/>
  <c r="AS30" i="1" s="1"/>
  <c r="BB30" i="1" s="1"/>
  <c r="K30" i="1"/>
  <c r="DA29" i="1"/>
  <c r="CU29" i="1"/>
  <c r="AG29" i="1"/>
  <c r="AF29" i="1"/>
  <c r="AE29" i="1"/>
  <c r="AD29" i="1"/>
  <c r="AC29" i="1"/>
  <c r="Z29" i="1"/>
  <c r="K29" i="1"/>
  <c r="HE28" i="1"/>
  <c r="HE27" i="1" s="1"/>
  <c r="HD23" i="1" s="1"/>
  <c r="DA28" i="1"/>
  <c r="CU28" i="1"/>
  <c r="BW28" i="1"/>
  <c r="AG28" i="1"/>
  <c r="AF28" i="1"/>
  <c r="AE28" i="1"/>
  <c r="AD28" i="1"/>
  <c r="AC28" i="1"/>
  <c r="Z28" i="1"/>
  <c r="Z27" i="1"/>
  <c r="W28" i="1"/>
  <c r="W27" i="1" s="1"/>
  <c r="W40" i="1" s="1"/>
  <c r="HB27" i="1"/>
  <c r="GM27" i="1"/>
  <c r="FI27" i="1"/>
  <c r="ET27" i="1"/>
  <c r="DA27" i="1"/>
  <c r="CU27" i="1"/>
  <c r="K27" i="1"/>
  <c r="H27" i="1"/>
  <c r="DA26" i="1"/>
  <c r="BN26" i="1"/>
  <c r="BK26" i="1"/>
  <c r="K26" i="1"/>
  <c r="H26" i="1"/>
  <c r="ET23" i="1"/>
  <c r="EE23" i="1"/>
  <c r="DP23" i="1"/>
  <c r="BN25" i="1"/>
  <c r="BN24" i="1" s="1"/>
  <c r="BK25" i="1"/>
  <c r="BK24" i="1" s="1"/>
  <c r="BE25" i="1"/>
  <c r="BE24" i="1" s="1"/>
  <c r="BB25" i="1"/>
  <c r="BB24" i="1" s="1"/>
  <c r="AV25" i="1"/>
  <c r="AV24" i="1" s="1"/>
  <c r="AV20" i="1" s="1"/>
  <c r="AS25" i="1"/>
  <c r="AS24" i="1" s="1"/>
  <c r="AM25" i="1"/>
  <c r="AM24" i="1" s="1"/>
  <c r="AM20" i="1" s="1"/>
  <c r="AJ25" i="1"/>
  <c r="AJ24" i="1" s="1"/>
  <c r="Q25" i="1"/>
  <c r="Q24" i="1" s="1"/>
  <c r="Q20" i="1" s="1"/>
  <c r="N25" i="1"/>
  <c r="N24" i="1" s="1"/>
  <c r="N20" i="1" s="1"/>
  <c r="HB24" i="1"/>
  <c r="GM24" i="1"/>
  <c r="FX24" i="1"/>
  <c r="ET24" i="1"/>
  <c r="EE24" i="1"/>
  <c r="DP24" i="1"/>
  <c r="AG24" i="1"/>
  <c r="AF24" i="1"/>
  <c r="AE24" i="1"/>
  <c r="AD24" i="1"/>
  <c r="AC24" i="1"/>
  <c r="K24" i="1"/>
  <c r="H24" i="1"/>
  <c r="HB23" i="1"/>
  <c r="GM23" i="1"/>
  <c r="FX23" i="1"/>
  <c r="DG23" i="1"/>
  <c r="DG20" i="1" s="1"/>
  <c r="CF23" i="1"/>
  <c r="CF22" i="1" s="1"/>
  <c r="CC23" i="1"/>
  <c r="CC22" i="1" s="1"/>
  <c r="CC18" i="1" s="1"/>
  <c r="AG23" i="1"/>
  <c r="AF23" i="1"/>
  <c r="AE23" i="1"/>
  <c r="AD23" i="1"/>
  <c r="AC23" i="1"/>
  <c r="K23" i="1"/>
  <c r="H23" i="1"/>
  <c r="CO22" i="1"/>
  <c r="BW22" i="1"/>
  <c r="BW13" i="1" s="1"/>
  <c r="K22" i="1"/>
  <c r="CO21" i="1"/>
  <c r="BZ21" i="1"/>
  <c r="K21" i="1"/>
  <c r="CR20" i="1"/>
  <c r="BZ20" i="1"/>
  <c r="AG20" i="1"/>
  <c r="AF20" i="1"/>
  <c r="AE20" i="1"/>
  <c r="AD20" i="1"/>
  <c r="AC20" i="1"/>
  <c r="H20" i="1"/>
  <c r="H16" i="1" s="1"/>
  <c r="H11" i="1" s="1"/>
  <c r="BZ19" i="1"/>
  <c r="H19" i="1"/>
  <c r="CX18" i="1"/>
  <c r="CX21" i="1" s="1"/>
  <c r="BZ18" i="1"/>
  <c r="BZ16" i="1" s="1"/>
  <c r="H18" i="1"/>
  <c r="E18" i="1"/>
  <c r="E21" i="1" s="1"/>
  <c r="H17" i="1"/>
  <c r="HB16" i="1"/>
  <c r="GM16" i="1"/>
  <c r="FX16" i="1"/>
  <c r="ET16" i="1"/>
  <c r="EE16" i="1"/>
  <c r="DP16" i="1"/>
  <c r="BK16" i="1"/>
  <c r="AP16" i="1"/>
  <c r="AM16" i="1"/>
  <c r="AJ16" i="1"/>
  <c r="BQ15" i="1"/>
  <c r="BN15" i="1"/>
  <c r="BK15" i="1"/>
  <c r="BB15" i="1"/>
  <c r="AS15" i="1"/>
  <c r="AJ15" i="1"/>
  <c r="FU14" i="1"/>
  <c r="AY14" i="1"/>
  <c r="AV14" i="1"/>
  <c r="AS14" i="1"/>
  <c r="Z14" i="1"/>
  <c r="Z17" i="1" s="1"/>
  <c r="W14" i="1"/>
  <c r="W17" i="1" s="1"/>
  <c r="DD13" i="1"/>
  <c r="CX13" i="1"/>
  <c r="CU13" i="1"/>
  <c r="CU12" i="1" s="1"/>
  <c r="BT13" i="1"/>
  <c r="AJ13" i="1"/>
  <c r="AS13" i="1" s="1"/>
  <c r="Z13" i="1"/>
  <c r="W13" i="1"/>
  <c r="T13" i="1"/>
  <c r="AP13" i="1" s="1"/>
  <c r="AY13" i="1" s="1"/>
  <c r="BH13" i="1" s="1"/>
  <c r="Q13" i="1"/>
  <c r="AM13" i="1" s="1"/>
  <c r="AV13" i="1" s="1"/>
  <c r="BE13" i="1" s="1"/>
  <c r="K13" i="1"/>
  <c r="K12" i="1" s="1"/>
  <c r="E13" i="1"/>
  <c r="DD12" i="1"/>
  <c r="DA12" i="1"/>
  <c r="DA11" i="1" s="1"/>
  <c r="DA10" i="1" s="1"/>
  <c r="CX12" i="1"/>
  <c r="CX11" i="1" s="1"/>
  <c r="BZ12" i="1"/>
  <c r="BZ11" i="1" s="1"/>
  <c r="BZ10" i="1" s="1"/>
  <c r="BT12" i="1"/>
  <c r="BT11" i="1" s="1"/>
  <c r="BS35" i="1" s="1"/>
  <c r="E12" i="1"/>
  <c r="DP11" i="1"/>
  <c r="DP6" i="1" s="1"/>
  <c r="DS10" i="1"/>
  <c r="DD10" i="1"/>
  <c r="CX10" i="1"/>
  <c r="Z10" i="1"/>
  <c r="Z16" i="1" s="1"/>
  <c r="Z4" i="1" s="1"/>
  <c r="W10" i="1"/>
  <c r="BT10" i="1"/>
  <c r="HB9" i="1"/>
  <c r="GY9" i="1"/>
  <c r="GV9" i="1"/>
  <c r="GM9" i="1"/>
  <c r="GJ9" i="1"/>
  <c r="GG9" i="1"/>
  <c r="FI9" i="1"/>
  <c r="FF9" i="1"/>
  <c r="FC9" i="1"/>
  <c r="ET9" i="1"/>
  <c r="EQ9" i="1"/>
  <c r="EN9" i="1"/>
  <c r="DS9" i="1"/>
  <c r="DS8" i="1" s="1"/>
  <c r="DD9" i="1"/>
  <c r="DA9" i="1"/>
  <c r="CU9" i="1"/>
  <c r="BQ9" i="1"/>
  <c r="BN9" i="1"/>
  <c r="BK9" i="1"/>
  <c r="H9" i="1"/>
  <c r="HE8" i="1"/>
  <c r="HE7" i="1" s="1"/>
  <c r="HD3" i="1" s="1"/>
  <c r="DA8" i="1"/>
  <c r="DA15" i="1" s="1"/>
  <c r="CU8" i="1"/>
  <c r="CI8" i="1"/>
  <c r="CI7" i="1" s="1"/>
  <c r="CI3" i="1" s="1"/>
  <c r="CF8" i="1"/>
  <c r="CF7" i="1" s="1"/>
  <c r="CC8" i="1"/>
  <c r="CC7" i="1" s="1"/>
  <c r="CC3" i="1" s="1"/>
  <c r="BQ8" i="1"/>
  <c r="BQ7" i="1" s="1"/>
  <c r="BN8" i="1"/>
  <c r="BN7" i="1" s="1"/>
  <c r="BK8" i="1"/>
  <c r="BK7" i="1" s="1"/>
  <c r="BH8" i="1"/>
  <c r="BH7" i="1" s="1"/>
  <c r="BE8" i="1"/>
  <c r="BE7" i="1"/>
  <c r="BB8" i="1"/>
  <c r="BB7" i="1" s="1"/>
  <c r="AY8" i="1"/>
  <c r="AY7" i="1" s="1"/>
  <c r="AV8" i="1"/>
  <c r="AV7" i="1" s="1"/>
  <c r="AS8" i="1"/>
  <c r="AS7" i="1" s="1"/>
  <c r="AP8" i="1"/>
  <c r="AP7" i="1" s="1"/>
  <c r="AM8" i="1"/>
  <c r="AM7" i="1" s="1"/>
  <c r="AJ8" i="1"/>
  <c r="AJ7" i="1" s="1"/>
  <c r="AF8" i="1"/>
  <c r="T8" i="1"/>
  <c r="T7" i="1" s="1"/>
  <c r="Q8" i="1"/>
  <c r="Q7" i="1" s="1"/>
  <c r="N8" i="1"/>
  <c r="H8" i="1"/>
  <c r="BW8" i="1" s="1"/>
  <c r="EQ5" i="1"/>
  <c r="EN5" i="1"/>
  <c r="EE5" i="1"/>
  <c r="EB5" i="1"/>
  <c r="DP7" i="1"/>
  <c r="DM5" i="1"/>
  <c r="DA7" i="1"/>
  <c r="CX7" i="1"/>
  <c r="CX6" i="1" s="1"/>
  <c r="CU7" i="1"/>
  <c r="CO7" i="1"/>
  <c r="BT7" i="1"/>
  <c r="BT6" i="1" s="1"/>
  <c r="Z7" i="1"/>
  <c r="Z6" i="1" s="1"/>
  <c r="Z18" i="1" s="1"/>
  <c r="W7" i="1"/>
  <c r="W6" i="1" s="1"/>
  <c r="N7" i="1"/>
  <c r="N3" i="1" s="1"/>
  <c r="H7" i="1"/>
  <c r="HB6" i="1"/>
  <c r="GY6" i="1"/>
  <c r="GV6" i="1"/>
  <c r="GP6" i="1"/>
  <c r="GM6" i="1"/>
  <c r="GJ6" i="1"/>
  <c r="GG6" i="1"/>
  <c r="GA6" i="1"/>
  <c r="FX6" i="1"/>
  <c r="FU6" i="1"/>
  <c r="FI6" i="1"/>
  <c r="FF6" i="1"/>
  <c r="FC6" i="1"/>
  <c r="EW6" i="1"/>
  <c r="ET6" i="1"/>
  <c r="EQ6" i="1"/>
  <c r="EN6" i="1"/>
  <c r="EH6" i="1"/>
  <c r="EE6" i="1"/>
  <c r="EB6" i="1"/>
  <c r="DY6" i="1"/>
  <c r="DS6" i="1"/>
  <c r="DM6" i="1"/>
  <c r="DJ6" i="1"/>
  <c r="DD6" i="1"/>
  <c r="DA6" i="1"/>
  <c r="CU6" i="1"/>
  <c r="CO6" i="1"/>
  <c r="H6" i="1"/>
  <c r="BW6" i="1" s="1"/>
  <c r="BW10" i="1" s="1"/>
  <c r="HB5" i="1"/>
  <c r="GY5" i="1"/>
  <c r="GV5" i="1"/>
  <c r="GS5" i="1"/>
  <c r="GM5" i="1"/>
  <c r="GJ5" i="1"/>
  <c r="GG5" i="1"/>
  <c r="GD5" i="1"/>
  <c r="FX5" i="1"/>
  <c r="FU5" i="1"/>
  <c r="FI5" i="1"/>
  <c r="FF5" i="1"/>
  <c r="FC5" i="1"/>
  <c r="EZ5" i="1"/>
  <c r="ET5" i="1"/>
  <c r="EK5" i="1"/>
  <c r="DY5" i="1"/>
  <c r="DJ5" i="1"/>
  <c r="FX3" i="1"/>
  <c r="J4" i="5"/>
  <c r="G4" i="5"/>
  <c r="G7" i="5"/>
  <c r="D8" i="5"/>
  <c r="D3" i="5" s="1"/>
  <c r="J10" i="5"/>
  <c r="G11" i="5"/>
  <c r="G6" i="5" s="1"/>
  <c r="J13" i="5"/>
  <c r="J14" i="5"/>
  <c r="J9" i="5" s="1"/>
  <c r="J15" i="5"/>
  <c r="J11" i="5" s="1"/>
  <c r="J16" i="5"/>
  <c r="J12" i="5" s="1"/>
  <c r="G19" i="5"/>
  <c r="G20" i="5"/>
  <c r="G27" i="5"/>
  <c r="J39" i="5"/>
  <c r="J40" i="5"/>
  <c r="J6" i="5"/>
  <c r="J7" i="5" s="1"/>
  <c r="J42" i="5"/>
  <c r="AM20" i="6"/>
  <c r="Z16" i="6"/>
  <c r="CU24" i="11"/>
  <c r="DA23" i="11"/>
  <c r="CU24" i="10"/>
  <c r="E21" i="9"/>
  <c r="E23" i="9"/>
  <c r="CO18" i="8"/>
  <c r="E36" i="6"/>
  <c r="E29" i="6" s="1"/>
  <c r="BK20" i="6"/>
  <c r="AJ3" i="6"/>
  <c r="Z25" i="8"/>
  <c r="E36" i="8"/>
  <c r="E29" i="8" s="1"/>
  <c r="BW8" i="7"/>
  <c r="BT10" i="7"/>
  <c r="BT21" i="7" s="1"/>
  <c r="H25" i="7"/>
  <c r="CL21" i="1"/>
  <c r="CL18" i="1" s="1"/>
  <c r="CU25" i="1"/>
  <c r="BW7" i="1"/>
  <c r="DD8" i="1"/>
  <c r="BW9" i="1"/>
  <c r="DA24" i="1"/>
  <c r="DA13" i="1" s="1"/>
  <c r="W37" i="1"/>
  <c r="E11" i="1"/>
  <c r="Z39" i="1"/>
  <c r="DD11" i="7"/>
  <c r="DD8" i="7"/>
  <c r="BZ17" i="8"/>
  <c r="W16" i="6"/>
  <c r="BW6" i="7"/>
  <c r="BW10" i="7" s="1"/>
  <c r="FL8" i="7"/>
  <c r="FL7" i="7" s="1"/>
  <c r="FR3" i="7" s="1"/>
  <c r="CU24" i="7" s="1"/>
  <c r="E21" i="7"/>
  <c r="E23" i="7"/>
  <c r="CO18" i="7"/>
  <c r="AV13" i="8"/>
  <c r="BE13" i="8" s="1"/>
  <c r="H56" i="8"/>
  <c r="H51" i="8" s="1"/>
  <c r="H21" i="8"/>
  <c r="H12" i="8" s="1"/>
  <c r="H15" i="8"/>
  <c r="H10" i="8" s="1"/>
  <c r="GA3" i="6"/>
  <c r="W25" i="6"/>
  <c r="BW6" i="6"/>
  <c r="BT10" i="6"/>
  <c r="BE30" i="1"/>
  <c r="J17" i="5"/>
  <c r="J5" i="5" s="1"/>
  <c r="G12" i="5"/>
  <c r="G10" i="5"/>
  <c r="G9" i="5" s="1"/>
  <c r="Z18" i="6" l="1"/>
  <c r="Z19" i="6"/>
  <c r="H12" i="1"/>
  <c r="BW3" i="11"/>
  <c r="AY3" i="8"/>
  <c r="E20" i="1"/>
  <c r="E22" i="1"/>
  <c r="DP5" i="1"/>
  <c r="DP3" i="1" s="1"/>
  <c r="EE3" i="1"/>
  <c r="AJ3" i="1"/>
  <c r="BQ3" i="1"/>
  <c r="DD11" i="1"/>
  <c r="DD7" i="1" s="1"/>
  <c r="BK20" i="1"/>
  <c r="Z37" i="1"/>
  <c r="FL8" i="1"/>
  <c r="FL7" i="1" s="1"/>
  <c r="AP3" i="6"/>
  <c r="EW8" i="6"/>
  <c r="K25" i="6"/>
  <c r="K18" i="6" s="1"/>
  <c r="K17" i="6" s="1"/>
  <c r="EE3" i="8"/>
  <c r="BW12" i="8"/>
  <c r="FI3" i="7"/>
  <c r="AD37" i="7"/>
  <c r="W40" i="9"/>
  <c r="H14" i="11"/>
  <c r="Z25" i="1"/>
  <c r="H15" i="1"/>
  <c r="H10" i="1" s="1"/>
  <c r="BW16" i="1"/>
  <c r="BW12" i="1" s="1"/>
  <c r="BW3" i="1" s="1"/>
  <c r="H22" i="1"/>
  <c r="H14" i="1" s="1"/>
  <c r="H13" i="1" s="1"/>
  <c r="AD35" i="1"/>
  <c r="AD39" i="1"/>
  <c r="E36" i="1"/>
  <c r="E29" i="1" s="1"/>
  <c r="GA8" i="1"/>
  <c r="GP8" i="1"/>
  <c r="GP7" i="1" s="1"/>
  <c r="EH7" i="6"/>
  <c r="EH3" i="6" s="1"/>
  <c r="BN3" i="6"/>
  <c r="E11" i="6"/>
  <c r="CU16" i="6"/>
  <c r="Z4" i="6"/>
  <c r="H16" i="6"/>
  <c r="H11" i="6" s="1"/>
  <c r="DA15" i="8"/>
  <c r="W16" i="8"/>
  <c r="BW13" i="8"/>
  <c r="BW10" i="8" s="1"/>
  <c r="BW3" i="8" s="1"/>
  <c r="K20" i="8"/>
  <c r="AF39" i="8"/>
  <c r="DA24" i="8"/>
  <c r="DA13" i="8" s="1"/>
  <c r="GA8" i="7"/>
  <c r="GA7" i="7" s="1"/>
  <c r="GP8" i="7"/>
  <c r="CU26" i="7"/>
  <c r="AE39" i="7"/>
  <c r="BN20" i="9"/>
  <c r="E22" i="11"/>
  <c r="E4" i="11" s="1"/>
  <c r="CO18" i="12"/>
  <c r="K11" i="1"/>
  <c r="K16" i="1"/>
  <c r="ET3" i="7"/>
  <c r="BE3" i="7"/>
  <c r="BW8" i="6"/>
  <c r="BW12" i="6" s="1"/>
  <c r="BW3" i="6" s="1"/>
  <c r="EW7" i="1"/>
  <c r="EZ3" i="1" s="1"/>
  <c r="DA18" i="1" s="1"/>
  <c r="K25" i="1"/>
  <c r="H25" i="1"/>
  <c r="CU26" i="1"/>
  <c r="GM3" i="6"/>
  <c r="BT11" i="6"/>
  <c r="BT21" i="6" s="1"/>
  <c r="BT3" i="6" s="1"/>
  <c r="BZ16" i="6"/>
  <c r="EW7" i="8"/>
  <c r="FC3" i="8" s="1"/>
  <c r="CU19" i="8" s="1"/>
  <c r="AS3" i="8"/>
  <c r="Z18" i="8"/>
  <c r="Z3" i="8" s="1"/>
  <c r="H22" i="8"/>
  <c r="DA13" i="7"/>
  <c r="BZ17" i="9"/>
  <c r="AM3" i="1"/>
  <c r="Q3" i="1"/>
  <c r="B30" i="12"/>
  <c r="B30" i="10"/>
  <c r="B30" i="11"/>
  <c r="B30" i="9"/>
  <c r="B18" i="8"/>
  <c r="B18" i="7"/>
  <c r="B18" i="6"/>
  <c r="B18" i="1"/>
  <c r="W19" i="1"/>
  <c r="W18" i="1"/>
  <c r="DG16" i="1"/>
  <c r="DG7" i="1" s="1"/>
  <c r="DG11" i="1"/>
  <c r="BB20" i="1"/>
  <c r="DD7" i="7"/>
  <c r="DG11" i="8"/>
  <c r="Z16" i="8"/>
  <c r="Z4" i="8" s="1"/>
  <c r="G8" i="5"/>
  <c r="G13" i="5"/>
  <c r="CO3" i="1"/>
  <c r="ET3" i="1"/>
  <c r="FI3" i="1"/>
  <c r="GA7" i="1"/>
  <c r="AP3" i="1"/>
  <c r="BB3" i="1"/>
  <c r="BK3" i="1"/>
  <c r="BT21" i="1"/>
  <c r="W16" i="1"/>
  <c r="W4" i="1" s="1"/>
  <c r="E50" i="1"/>
  <c r="E40" i="1" s="1"/>
  <c r="Q3" i="6"/>
  <c r="CU26" i="6"/>
  <c r="GA7" i="8"/>
  <c r="GP7" i="8"/>
  <c r="AV3" i="8"/>
  <c r="BE3" i="8"/>
  <c r="BQ3" i="8"/>
  <c r="DS7" i="8"/>
  <c r="CU16" i="8"/>
  <c r="BT23" i="7"/>
  <c r="BT24" i="7"/>
  <c r="AG37" i="6"/>
  <c r="E22" i="10"/>
  <c r="E20" i="10"/>
  <c r="G5" i="5"/>
  <c r="BH3" i="1"/>
  <c r="CU14" i="6"/>
  <c r="BW9" i="6"/>
  <c r="CL21" i="6"/>
  <c r="CL18" i="6" s="1"/>
  <c r="CO18" i="6" s="1"/>
  <c r="AS3" i="1"/>
  <c r="BE3" i="1"/>
  <c r="BN3" i="1"/>
  <c r="CU11" i="1"/>
  <c r="CU16" i="1"/>
  <c r="AS20" i="1"/>
  <c r="DS7" i="6"/>
  <c r="DS3" i="6" s="1"/>
  <c r="BH3" i="6"/>
  <c r="ET3" i="6"/>
  <c r="FL8" i="6"/>
  <c r="FL7" i="6" s="1"/>
  <c r="CR18" i="6"/>
  <c r="K20" i="6"/>
  <c r="AF39" i="6"/>
  <c r="CR3" i="8"/>
  <c r="Z38" i="8"/>
  <c r="Z37" i="8"/>
  <c r="BN3" i="7"/>
  <c r="DP6" i="7"/>
  <c r="DP5" i="7"/>
  <c r="BW8" i="9"/>
  <c r="H12" i="9"/>
  <c r="G3" i="5"/>
  <c r="B31" i="9" s="1"/>
  <c r="AF41" i="9" s="1"/>
  <c r="AF38" i="9" s="1"/>
  <c r="AY3" i="1"/>
  <c r="DP3" i="6"/>
  <c r="Z37" i="6"/>
  <c r="Z24" i="6" s="1"/>
  <c r="Z38" i="6"/>
  <c r="BT19" i="8"/>
  <c r="BT22" i="8" s="1"/>
  <c r="E21" i="8"/>
  <c r="J8" i="5"/>
  <c r="J3" i="5" s="1"/>
  <c r="BW13" i="6"/>
  <c r="BW10" i="6" s="1"/>
  <c r="CO18" i="1"/>
  <c r="CR18" i="1"/>
  <c r="W39" i="1"/>
  <c r="W24" i="1" s="1"/>
  <c r="GM3" i="1"/>
  <c r="DS7" i="1"/>
  <c r="EH7" i="1"/>
  <c r="EQ3" i="1" s="1"/>
  <c r="FC3" i="1"/>
  <c r="T3" i="1"/>
  <c r="AV3" i="1"/>
  <c r="CX20" i="1"/>
  <c r="CX3" i="1" s="1"/>
  <c r="BZ17" i="1"/>
  <c r="AJ20" i="1"/>
  <c r="BN20" i="1"/>
  <c r="FI3" i="6"/>
  <c r="CL6" i="6"/>
  <c r="CL3" i="6" s="1"/>
  <c r="CR3" i="6" s="1"/>
  <c r="EW7" i="6"/>
  <c r="AM3" i="6"/>
  <c r="AY3" i="6"/>
  <c r="GP8" i="6"/>
  <c r="GP7" i="6" s="1"/>
  <c r="W4" i="6"/>
  <c r="AG40" i="6"/>
  <c r="BK3" i="8"/>
  <c r="EH8" i="8"/>
  <c r="EH7" i="8" s="1"/>
  <c r="DP6" i="8"/>
  <c r="DP5" i="8"/>
  <c r="DP3" i="8" s="1"/>
  <c r="CX11" i="8"/>
  <c r="CX20" i="8" s="1"/>
  <c r="CX3" i="8" s="1"/>
  <c r="K19" i="8"/>
  <c r="K14" i="8" s="1"/>
  <c r="HD23" i="8"/>
  <c r="CX23" i="7"/>
  <c r="AY3" i="7"/>
  <c r="BB20" i="7"/>
  <c r="BT21" i="10"/>
  <c r="BT23" i="10"/>
  <c r="BQ3" i="7"/>
  <c r="BE20" i="7"/>
  <c r="CX4" i="10"/>
  <c r="CX3" i="12"/>
  <c r="K19" i="1"/>
  <c r="K14" i="1" s="1"/>
  <c r="BE20" i="1"/>
  <c r="K28" i="1"/>
  <c r="K18" i="1" s="1"/>
  <c r="K17" i="1" s="1"/>
  <c r="DA25" i="1"/>
  <c r="DA14" i="1" s="1"/>
  <c r="BT23" i="6"/>
  <c r="AS3" i="6"/>
  <c r="W40" i="6"/>
  <c r="W24" i="6" s="1"/>
  <c r="DA24" i="6"/>
  <c r="DA13" i="6" s="1"/>
  <c r="HD23" i="6"/>
  <c r="AM3" i="8"/>
  <c r="BH3" i="8"/>
  <c r="BT11" i="8"/>
  <c r="BT21" i="8" s="1"/>
  <c r="BT3" i="8" s="1"/>
  <c r="DD11" i="8"/>
  <c r="DD7" i="8" s="1"/>
  <c r="W4" i="8"/>
  <c r="E50" i="8"/>
  <c r="E40" i="8" s="1"/>
  <c r="GM3" i="7"/>
  <c r="GP7" i="7"/>
  <c r="GV3" i="7" s="1"/>
  <c r="CU20" i="7" s="1"/>
  <c r="EE3" i="7"/>
  <c r="H12" i="7"/>
  <c r="AM3" i="7"/>
  <c r="BW9" i="7"/>
  <c r="W16" i="7"/>
  <c r="AS20" i="7"/>
  <c r="BK20" i="7"/>
  <c r="CU16" i="9"/>
  <c r="AG35" i="9"/>
  <c r="AG37" i="9" s="1"/>
  <c r="AG39" i="9"/>
  <c r="AF37" i="8"/>
  <c r="EE3" i="6"/>
  <c r="AV3" i="6"/>
  <c r="BE3" i="6"/>
  <c r="DD8" i="6"/>
  <c r="DD7" i="6" s="1"/>
  <c r="H15" i="6"/>
  <c r="H10" i="6" s="1"/>
  <c r="H25" i="6"/>
  <c r="H14" i="6" s="1"/>
  <c r="ET3" i="8"/>
  <c r="BZ15" i="8"/>
  <c r="BZ10" i="8"/>
  <c r="BZ13" i="8" s="1"/>
  <c r="K25" i="8"/>
  <c r="K18" i="8" s="1"/>
  <c r="K17" i="8" s="1"/>
  <c r="H25" i="8"/>
  <c r="H14" i="8" s="1"/>
  <c r="EH7" i="7"/>
  <c r="EN3" i="7" s="1"/>
  <c r="CU21" i="7" s="1"/>
  <c r="EW7" i="7"/>
  <c r="AV3" i="7"/>
  <c r="AP3" i="7"/>
  <c r="H15" i="7"/>
  <c r="H10" i="7" s="1"/>
  <c r="CR18" i="7"/>
  <c r="AV20" i="7"/>
  <c r="BN20" i="7"/>
  <c r="K25" i="7"/>
  <c r="K18" i="7" s="1"/>
  <c r="K17" i="7" s="1"/>
  <c r="DA14" i="7"/>
  <c r="Z39" i="7"/>
  <c r="Z40" i="7"/>
  <c r="E50" i="7"/>
  <c r="E40" i="7" s="1"/>
  <c r="ET3" i="9"/>
  <c r="BK3" i="9"/>
  <c r="DP5" i="9"/>
  <c r="BK20" i="9"/>
  <c r="AG37" i="8"/>
  <c r="AF37" i="6"/>
  <c r="CX3" i="10"/>
  <c r="FL3" i="1"/>
  <c r="FU3" i="1"/>
  <c r="GG3" i="6"/>
  <c r="CU23" i="6" s="1"/>
  <c r="FF3" i="6"/>
  <c r="AC39" i="9"/>
  <c r="AD39" i="9"/>
  <c r="AE39" i="9"/>
  <c r="BW12" i="9"/>
  <c r="CO18" i="9"/>
  <c r="Z24" i="12"/>
  <c r="AF39" i="9"/>
  <c r="E4" i="10"/>
  <c r="E3" i="10"/>
  <c r="FI3" i="9"/>
  <c r="EH7" i="9"/>
  <c r="EN3" i="9" s="1"/>
  <c r="CU21" i="9" s="1"/>
  <c r="DA15" i="9"/>
  <c r="AC37" i="9"/>
  <c r="BZ15" i="9"/>
  <c r="BT23" i="1"/>
  <c r="Z38" i="1"/>
  <c r="CU14" i="1"/>
  <c r="BZ15" i="1"/>
  <c r="DA22" i="12"/>
  <c r="DA23" i="12"/>
  <c r="Z3" i="12"/>
  <c r="E4" i="12"/>
  <c r="CO3" i="12"/>
  <c r="CU23" i="11"/>
  <c r="DA19" i="11"/>
  <c r="CX4" i="11"/>
  <c r="CX20" i="11"/>
  <c r="CX3" i="11" s="1"/>
  <c r="DA22" i="11"/>
  <c r="DA19" i="10"/>
  <c r="CU23" i="10"/>
  <c r="CO18" i="10"/>
  <c r="CU21" i="10"/>
  <c r="BT3" i="10"/>
  <c r="CX22" i="9"/>
  <c r="H50" i="8"/>
  <c r="Z38" i="7"/>
  <c r="Z24" i="7" s="1"/>
  <c r="Z37" i="7"/>
  <c r="CO3" i="7"/>
  <c r="DD3" i="7"/>
  <c r="CU18" i="7" s="1"/>
  <c r="DJ3" i="7"/>
  <c r="CU17" i="7" s="1"/>
  <c r="EW3" i="7"/>
  <c r="FC3" i="7"/>
  <c r="CU19" i="7" s="1"/>
  <c r="EZ3" i="7"/>
  <c r="DA18" i="7" s="1"/>
  <c r="FF3" i="7"/>
  <c r="FO3" i="7"/>
  <c r="DA23" i="7" s="1"/>
  <c r="FU3" i="7"/>
  <c r="BK3" i="7"/>
  <c r="H16" i="7"/>
  <c r="H11" i="7" s="1"/>
  <c r="H3" i="7" s="1"/>
  <c r="CX11" i="7"/>
  <c r="CX22" i="7" s="1"/>
  <c r="BZ16" i="7"/>
  <c r="BZ13" i="7" s="1"/>
  <c r="K19" i="7"/>
  <c r="K14" i="7" s="1"/>
  <c r="GJ3" i="7"/>
  <c r="E4" i="7"/>
  <c r="H14" i="7"/>
  <c r="E36" i="7"/>
  <c r="E29" i="7" s="1"/>
  <c r="CF18" i="9"/>
  <c r="CF3" i="9"/>
  <c r="CF18" i="7"/>
  <c r="CC18" i="7"/>
  <c r="BZ13" i="6"/>
  <c r="W4" i="7"/>
  <c r="BT3" i="7"/>
  <c r="Z3" i="6"/>
  <c r="DA20" i="12"/>
  <c r="W3" i="12"/>
  <c r="CX22" i="12"/>
  <c r="CX4" i="12" s="1"/>
  <c r="W24" i="12"/>
  <c r="H13" i="12"/>
  <c r="H3" i="12" s="1"/>
  <c r="CU21" i="12"/>
  <c r="DA19" i="12"/>
  <c r="CU24" i="12"/>
  <c r="CU23" i="12"/>
  <c r="CU20" i="12"/>
  <c r="BT3" i="12"/>
  <c r="DA21" i="11"/>
  <c r="CU22" i="11"/>
  <c r="W24" i="11"/>
  <c r="CU20" i="11"/>
  <c r="CU19" i="10"/>
  <c r="DA18" i="10"/>
  <c r="CU20" i="10"/>
  <c r="BT24" i="10"/>
  <c r="BT4" i="10" s="1"/>
  <c r="E50" i="9"/>
  <c r="E40" i="9" s="1"/>
  <c r="BT4" i="7"/>
  <c r="HD3" i="7"/>
  <c r="DA17" i="7"/>
  <c r="DG16" i="7"/>
  <c r="DG7" i="7" s="1"/>
  <c r="DG11" i="7"/>
  <c r="DV3" i="7"/>
  <c r="DA21" i="7" s="1"/>
  <c r="DS3" i="7"/>
  <c r="EB3" i="7"/>
  <c r="DY3" i="7"/>
  <c r="CU22" i="7" s="1"/>
  <c r="CX20" i="7"/>
  <c r="CX3" i="7" s="1"/>
  <c r="H56" i="7"/>
  <c r="H61" i="7"/>
  <c r="H52" i="7" s="1"/>
  <c r="EH3" i="7"/>
  <c r="GP3" i="7"/>
  <c r="FL3" i="7"/>
  <c r="GD3" i="7"/>
  <c r="DA22" i="7" s="1"/>
  <c r="E20" i="7"/>
  <c r="E3" i="7" s="1"/>
  <c r="DM3" i="7"/>
  <c r="CU14" i="8"/>
  <c r="FU3" i="8"/>
  <c r="FR3" i="8"/>
  <c r="CU24" i="8" s="1"/>
  <c r="FO3" i="8"/>
  <c r="DA23" i="8" s="1"/>
  <c r="GJ3" i="8"/>
  <c r="GD3" i="8"/>
  <c r="DA22" i="8" s="1"/>
  <c r="FL3" i="8"/>
  <c r="EW3" i="8"/>
  <c r="E20" i="8"/>
  <c r="E3" i="8" s="1"/>
  <c r="E22" i="8"/>
  <c r="E4" i="8" s="1"/>
  <c r="K16" i="8"/>
  <c r="GS3" i="8"/>
  <c r="DA19" i="8" s="1"/>
  <c r="GP3" i="8"/>
  <c r="HB3" i="8"/>
  <c r="GV3" i="8"/>
  <c r="CU20" i="8" s="1"/>
  <c r="GY3" i="8"/>
  <c r="DV3" i="8"/>
  <c r="DA21" i="8" s="1"/>
  <c r="DS3" i="8"/>
  <c r="EB3" i="8"/>
  <c r="DY3" i="8"/>
  <c r="CU22" i="8" s="1"/>
  <c r="W19" i="8"/>
  <c r="W18" i="8"/>
  <c r="W40" i="8"/>
  <c r="W24" i="8" s="1"/>
  <c r="AG40" i="8"/>
  <c r="CX23" i="8"/>
  <c r="BT24" i="6"/>
  <c r="DG11" i="6"/>
  <c r="DG16" i="6"/>
  <c r="DG7" i="6" s="1"/>
  <c r="H56" i="6"/>
  <c r="H51" i="6" s="1"/>
  <c r="H61" i="6"/>
  <c r="H52" i="6" s="1"/>
  <c r="E20" i="6"/>
  <c r="E3" i="6" s="1"/>
  <c r="E22" i="6"/>
  <c r="E4" i="6" s="1"/>
  <c r="W18" i="6"/>
  <c r="W19" i="6"/>
  <c r="CX22" i="6"/>
  <c r="CX23" i="6"/>
  <c r="Z25" i="6"/>
  <c r="K14" i="6"/>
  <c r="DY3" i="6"/>
  <c r="CU22" i="6" s="1"/>
  <c r="CF18" i="1"/>
  <c r="CF3" i="1"/>
  <c r="B19" i="1"/>
  <c r="AF41" i="1" s="1"/>
  <c r="AF38" i="1" s="1"/>
  <c r="B19" i="7"/>
  <c r="AF41" i="7" s="1"/>
  <c r="AF38" i="7" s="1"/>
  <c r="CX22" i="1"/>
  <c r="CX23" i="1"/>
  <c r="AD37" i="1"/>
  <c r="AG40" i="1"/>
  <c r="AG37" i="1"/>
  <c r="AF39" i="1"/>
  <c r="AF37" i="1"/>
  <c r="E3" i="1"/>
  <c r="H50" i="1"/>
  <c r="H51" i="1"/>
  <c r="DV3" i="1"/>
  <c r="DA21" i="1" s="1"/>
  <c r="EB3" i="1"/>
  <c r="DY3" i="1"/>
  <c r="CU22" i="1" s="1"/>
  <c r="DS3" i="1"/>
  <c r="AC37" i="1"/>
  <c r="AC39" i="1"/>
  <c r="GA3" i="1"/>
  <c r="GG3" i="1"/>
  <c r="CU23" i="1" s="1"/>
  <c r="CU19" i="1"/>
  <c r="W25" i="1"/>
  <c r="AE37" i="1"/>
  <c r="AE39" i="1"/>
  <c r="BT19" i="1"/>
  <c r="BT22" i="1" s="1"/>
  <c r="E23" i="1"/>
  <c r="E4" i="1" s="1"/>
  <c r="CR5" i="1"/>
  <c r="CR3" i="1" s="1"/>
  <c r="K20" i="1"/>
  <c r="FO3" i="1"/>
  <c r="DA23" i="1" s="1"/>
  <c r="GD3" i="1"/>
  <c r="DA22" i="1" s="1"/>
  <c r="EK3" i="1"/>
  <c r="DA20" i="1" s="1"/>
  <c r="H61" i="1"/>
  <c r="H52" i="1" s="1"/>
  <c r="Z19" i="1"/>
  <c r="Z3" i="1" s="1"/>
  <c r="GJ3" i="1"/>
  <c r="AG40" i="7"/>
  <c r="AG37" i="7"/>
  <c r="CU16" i="7"/>
  <c r="CU14" i="7"/>
  <c r="AC39" i="7"/>
  <c r="AC37" i="7"/>
  <c r="HD23" i="7"/>
  <c r="W39" i="7"/>
  <c r="W40" i="7"/>
  <c r="AF39" i="7"/>
  <c r="AF37" i="7"/>
  <c r="AE37" i="7"/>
  <c r="AD39" i="7"/>
  <c r="Z18" i="7"/>
  <c r="Z3" i="7" s="1"/>
  <c r="W18" i="7"/>
  <c r="W3" i="7" s="1"/>
  <c r="BT24" i="12"/>
  <c r="BT4" i="12" s="1"/>
  <c r="BT3" i="11"/>
  <c r="BT24" i="11"/>
  <c r="BT4" i="11" s="1"/>
  <c r="H51" i="11"/>
  <c r="H50" i="11"/>
  <c r="H13" i="11" s="1"/>
  <c r="H3" i="11" s="1"/>
  <c r="W3" i="11"/>
  <c r="W3" i="10"/>
  <c r="Z3" i="10"/>
  <c r="H50" i="10"/>
  <c r="H13" i="10" s="1"/>
  <c r="H3" i="10" s="1"/>
  <c r="DA18" i="12"/>
  <c r="CU19" i="12"/>
  <c r="DA20" i="10"/>
  <c r="DA22" i="10"/>
  <c r="DA23" i="10"/>
  <c r="CU22" i="10"/>
  <c r="DA20" i="11"/>
  <c r="CU21" i="11"/>
  <c r="GP7" i="9"/>
  <c r="HB3" i="9" s="1"/>
  <c r="Z39" i="9"/>
  <c r="BW3" i="9"/>
  <c r="Z19" i="9"/>
  <c r="Z18" i="9"/>
  <c r="DG16" i="9"/>
  <c r="DG7" i="9" s="1"/>
  <c r="DG11" i="9"/>
  <c r="DG6" i="9" s="1"/>
  <c r="CI3" i="9"/>
  <c r="AE37" i="9"/>
  <c r="W16" i="9"/>
  <c r="W4" i="9" s="1"/>
  <c r="W37" i="9"/>
  <c r="W25" i="9" s="1"/>
  <c r="CL6" i="9"/>
  <c r="CL3" i="9" s="1"/>
  <c r="CO3" i="9" s="1"/>
  <c r="BW7" i="9"/>
  <c r="BT10" i="9"/>
  <c r="BW9" i="9"/>
  <c r="EW7" i="9"/>
  <c r="FF3" i="9" s="1"/>
  <c r="E22" i="9"/>
  <c r="E4" i="9" s="1"/>
  <c r="BT11" i="9"/>
  <c r="BT23" i="9" s="1"/>
  <c r="BT4" i="9" s="1"/>
  <c r="K14" i="9"/>
  <c r="DD8" i="9"/>
  <c r="DD7" i="9" s="1"/>
  <c r="K25" i="9"/>
  <c r="DA24" i="9"/>
  <c r="DA13" i="9" s="1"/>
  <c r="E36" i="9"/>
  <c r="E29" i="9" s="1"/>
  <c r="K28" i="9"/>
  <c r="Z16" i="9"/>
  <c r="Z4" i="9" s="1"/>
  <c r="CU25" i="9"/>
  <c r="CU14" i="9" s="1"/>
  <c r="DA14" i="9"/>
  <c r="H56" i="9"/>
  <c r="H61" i="9"/>
  <c r="H52" i="9" s="1"/>
  <c r="W19" i="9"/>
  <c r="W18" i="9"/>
  <c r="CX23" i="9"/>
  <c r="EE3" i="9"/>
  <c r="BZ16" i="9"/>
  <c r="BZ13" i="9" s="1"/>
  <c r="GA7" i="9"/>
  <c r="GA3" i="9" s="1"/>
  <c r="DP3" i="9"/>
  <c r="Z40" i="9"/>
  <c r="FL7" i="9"/>
  <c r="FL3" i="9" s="1"/>
  <c r="W39" i="9"/>
  <c r="Z37" i="9"/>
  <c r="AF37" i="9"/>
  <c r="EQ3" i="9"/>
  <c r="GG3" i="7" l="1"/>
  <c r="CU23" i="7" s="1"/>
  <c r="GA3" i="7"/>
  <c r="GP3" i="1"/>
  <c r="HB3" i="1"/>
  <c r="GS3" i="1"/>
  <c r="DA19" i="1" s="1"/>
  <c r="GV3" i="1"/>
  <c r="CU20" i="1" s="1"/>
  <c r="GY3" i="1"/>
  <c r="EW3" i="1"/>
  <c r="B19" i="8"/>
  <c r="AF41" i="8" s="1"/>
  <c r="FF3" i="8"/>
  <c r="HB3" i="7"/>
  <c r="GY3" i="7"/>
  <c r="EK3" i="7"/>
  <c r="DA20" i="7" s="1"/>
  <c r="Z24" i="1"/>
  <c r="BT23" i="8"/>
  <c r="B19" i="6"/>
  <c r="AF41" i="6" s="1"/>
  <c r="CO3" i="6"/>
  <c r="FF3" i="1"/>
  <c r="B31" i="12"/>
  <c r="AF41" i="12" s="1"/>
  <c r="B31" i="10"/>
  <c r="AF41" i="10" s="1"/>
  <c r="AF38" i="10" s="1"/>
  <c r="AF3" i="10" s="1"/>
  <c r="EZ3" i="8"/>
  <c r="DA18" i="8" s="1"/>
  <c r="GS3" i="7"/>
  <c r="DA19" i="7" s="1"/>
  <c r="EQ3" i="7"/>
  <c r="CX4" i="7"/>
  <c r="Z25" i="7"/>
  <c r="EN3" i="6"/>
  <c r="CU21" i="6" s="1"/>
  <c r="EK3" i="6"/>
  <c r="DA20" i="6" s="1"/>
  <c r="B31" i="11"/>
  <c r="AF41" i="11" s="1"/>
  <c r="EQ3" i="6"/>
  <c r="DP3" i="7"/>
  <c r="W3" i="1"/>
  <c r="EK3" i="8"/>
  <c r="DA20" i="8" s="1"/>
  <c r="EQ3" i="8"/>
  <c r="EH3" i="8"/>
  <c r="EN3" i="8"/>
  <c r="CU21" i="8" s="1"/>
  <c r="DJ3" i="6"/>
  <c r="CU17" i="6" s="1"/>
  <c r="DD3" i="6"/>
  <c r="DM3" i="6"/>
  <c r="DM3" i="8"/>
  <c r="DD3" i="8"/>
  <c r="DA17" i="8" s="1"/>
  <c r="DJ3" i="8"/>
  <c r="CU17" i="8" s="1"/>
  <c r="GV3" i="6"/>
  <c r="CU20" i="6" s="1"/>
  <c r="GP3" i="6"/>
  <c r="HB3" i="6"/>
  <c r="GY3" i="6"/>
  <c r="GS3" i="6"/>
  <c r="DA19" i="6" s="1"/>
  <c r="HE26" i="12"/>
  <c r="HD24" i="12" s="1"/>
  <c r="HE6" i="12"/>
  <c r="HD4" i="12" s="1"/>
  <c r="GJ3" i="6"/>
  <c r="FO3" i="6"/>
  <c r="DA23" i="6" s="1"/>
  <c r="GD3" i="6"/>
  <c r="DA22" i="6" s="1"/>
  <c r="FR3" i="6"/>
  <c r="CU24" i="6" s="1"/>
  <c r="FU3" i="6"/>
  <c r="FL3" i="6"/>
  <c r="FC3" i="6"/>
  <c r="CU19" i="6" s="1"/>
  <c r="EW3" i="6"/>
  <c r="GA3" i="8"/>
  <c r="GG3" i="8"/>
  <c r="CU23" i="8" s="1"/>
  <c r="AC40" i="9"/>
  <c r="AC38" i="9" s="1"/>
  <c r="AC3" i="9" s="1"/>
  <c r="AD40" i="9"/>
  <c r="AD38" i="9" s="1"/>
  <c r="AD3" i="9" s="1"/>
  <c r="CU10" i="9"/>
  <c r="CU15" i="9" s="1"/>
  <c r="K10" i="9"/>
  <c r="K15" i="9" s="1"/>
  <c r="AE40" i="9"/>
  <c r="AE38" i="9" s="1"/>
  <c r="BZ9" i="9"/>
  <c r="BZ14" i="9" s="1"/>
  <c r="BZ3" i="9" s="1"/>
  <c r="EK3" i="9"/>
  <c r="DA20" i="9" s="1"/>
  <c r="BT24" i="8"/>
  <c r="BT4" i="8" s="1"/>
  <c r="AD40" i="6"/>
  <c r="AD38" i="6" s="1"/>
  <c r="AC40" i="6"/>
  <c r="AC38" i="6" s="1"/>
  <c r="BZ9" i="6"/>
  <c r="BZ14" i="6" s="1"/>
  <c r="BZ3" i="6" s="1"/>
  <c r="K10" i="6"/>
  <c r="K15" i="6" s="1"/>
  <c r="K3" i="6" s="1"/>
  <c r="CU10" i="6"/>
  <c r="CU15" i="6" s="1"/>
  <c r="CU3" i="6" s="1"/>
  <c r="AE40" i="6"/>
  <c r="AE38" i="6" s="1"/>
  <c r="AE3" i="6" s="1"/>
  <c r="AD40" i="11"/>
  <c r="AD38" i="11" s="1"/>
  <c r="AD3" i="11" s="1"/>
  <c r="AC40" i="11"/>
  <c r="AC38" i="11" s="1"/>
  <c r="AC3" i="11" s="1"/>
  <c r="K10" i="11"/>
  <c r="K15" i="11" s="1"/>
  <c r="K3" i="11" s="1"/>
  <c r="BZ9" i="11"/>
  <c r="BZ14" i="11" s="1"/>
  <c r="BZ3" i="11" s="1"/>
  <c r="CU10" i="11"/>
  <c r="CU15" i="11" s="1"/>
  <c r="AE40" i="11"/>
  <c r="AE38" i="11" s="1"/>
  <c r="AE3" i="11" s="1"/>
  <c r="HE26" i="10"/>
  <c r="HD24" i="10" s="1"/>
  <c r="HE6" i="10"/>
  <c r="HD4" i="10" s="1"/>
  <c r="AC40" i="1"/>
  <c r="AC38" i="1" s="1"/>
  <c r="AC3" i="1" s="1"/>
  <c r="K10" i="1"/>
  <c r="AD40" i="1"/>
  <c r="AD38" i="1" s="1"/>
  <c r="BZ9" i="1"/>
  <c r="CU10" i="1"/>
  <c r="CU15" i="1" s="1"/>
  <c r="AE40" i="1"/>
  <c r="AE38" i="1" s="1"/>
  <c r="AE3" i="1" s="1"/>
  <c r="AF38" i="12"/>
  <c r="AF3" i="12" s="1"/>
  <c r="EB3" i="6"/>
  <c r="BT24" i="1"/>
  <c r="AG40" i="9"/>
  <c r="EN3" i="1"/>
  <c r="CU21" i="1" s="1"/>
  <c r="EH3" i="1"/>
  <c r="EZ3" i="6"/>
  <c r="DA18" i="6" s="1"/>
  <c r="DG5" i="8"/>
  <c r="DG3" i="8" s="1"/>
  <c r="DA16" i="8" s="1"/>
  <c r="DA3" i="8" s="1"/>
  <c r="DG6" i="8"/>
  <c r="AC40" i="7"/>
  <c r="AC38" i="7" s="1"/>
  <c r="AC3" i="7" s="1"/>
  <c r="K10" i="7"/>
  <c r="K15" i="7" s="1"/>
  <c r="K3" i="7" s="1"/>
  <c r="AD40" i="7"/>
  <c r="AD38" i="7" s="1"/>
  <c r="CU10" i="7"/>
  <c r="CU15" i="7" s="1"/>
  <c r="BZ9" i="7"/>
  <c r="BZ14" i="7" s="1"/>
  <c r="BZ3" i="7" s="1"/>
  <c r="AE40" i="7"/>
  <c r="AE38" i="7" s="1"/>
  <c r="AE3" i="7" s="1"/>
  <c r="AE40" i="10"/>
  <c r="AE38" i="10" s="1"/>
  <c r="AE3" i="10" s="1"/>
  <c r="CU10" i="10"/>
  <c r="CU15" i="10" s="1"/>
  <c r="K10" i="10"/>
  <c r="K15" i="10" s="1"/>
  <c r="K3" i="10" s="1"/>
  <c r="BZ9" i="10"/>
  <c r="BZ14" i="10" s="1"/>
  <c r="BZ3" i="10" s="1"/>
  <c r="AD40" i="10"/>
  <c r="AD38" i="10" s="1"/>
  <c r="AD3" i="10" s="1"/>
  <c r="AC40" i="10"/>
  <c r="AC38" i="10" s="1"/>
  <c r="AC3" i="10" s="1"/>
  <c r="HE26" i="11"/>
  <c r="HD24" i="11" s="1"/>
  <c r="HE6" i="11"/>
  <c r="HD4" i="11" s="1"/>
  <c r="DG6" i="1"/>
  <c r="DG5" i="1"/>
  <c r="EH3" i="9"/>
  <c r="K15" i="1"/>
  <c r="K3" i="1" s="1"/>
  <c r="GY3" i="9"/>
  <c r="AF38" i="11"/>
  <c r="AF3" i="11" s="1"/>
  <c r="DV3" i="6"/>
  <c r="DA21" i="6" s="1"/>
  <c r="W3" i="8"/>
  <c r="H13" i="8"/>
  <c r="H3" i="8" s="1"/>
  <c r="CX22" i="8"/>
  <c r="CX4" i="8" s="1"/>
  <c r="AC40" i="8"/>
  <c r="AC38" i="8" s="1"/>
  <c r="AD40" i="8"/>
  <c r="AD38" i="8" s="1"/>
  <c r="BZ9" i="8"/>
  <c r="BZ14" i="8" s="1"/>
  <c r="BZ3" i="8" s="1"/>
  <c r="CU10" i="8"/>
  <c r="CU15" i="8" s="1"/>
  <c r="CU3" i="8" s="1"/>
  <c r="K10" i="8"/>
  <c r="K15" i="8" s="1"/>
  <c r="AE40" i="8"/>
  <c r="AE38" i="8" s="1"/>
  <c r="AC40" i="12"/>
  <c r="AC38" i="12" s="1"/>
  <c r="AC3" i="12" s="1"/>
  <c r="CU10" i="12"/>
  <c r="CU15" i="12" s="1"/>
  <c r="K10" i="12"/>
  <c r="K15" i="12" s="1"/>
  <c r="K3" i="12" s="1"/>
  <c r="BZ9" i="12"/>
  <c r="BZ14" i="12" s="1"/>
  <c r="BZ3" i="12" s="1"/>
  <c r="AE40" i="12"/>
  <c r="AE38" i="12" s="1"/>
  <c r="AE3" i="12" s="1"/>
  <c r="AD40" i="12"/>
  <c r="AD38" i="12" s="1"/>
  <c r="AD3" i="12" s="1"/>
  <c r="EB3" i="9"/>
  <c r="FR3" i="1"/>
  <c r="CU24" i="1" s="1"/>
  <c r="CR3" i="9"/>
  <c r="CX20" i="9"/>
  <c r="CX3" i="9" s="1"/>
  <c r="EW3" i="9"/>
  <c r="E20" i="9"/>
  <c r="E3" i="9" s="1"/>
  <c r="H3" i="1"/>
  <c r="HE6" i="1" s="1"/>
  <c r="HD4" i="1" s="1"/>
  <c r="AF38" i="6"/>
  <c r="AF3" i="6" s="1"/>
  <c r="AF38" i="8"/>
  <c r="AF3" i="8" s="1"/>
  <c r="AF3" i="1"/>
  <c r="AD3" i="1"/>
  <c r="BZ14" i="1"/>
  <c r="BZ13" i="1"/>
  <c r="CU17" i="12"/>
  <c r="DA21" i="12"/>
  <c r="CU22" i="12"/>
  <c r="GJ3" i="9"/>
  <c r="W3" i="9"/>
  <c r="GG3" i="9"/>
  <c r="CU23" i="9" s="1"/>
  <c r="AF3" i="7"/>
  <c r="CU18" i="12"/>
  <c r="DA17" i="12"/>
  <c r="DA16" i="11"/>
  <c r="DA3" i="11" s="1"/>
  <c r="CU17" i="11"/>
  <c r="DA21" i="10"/>
  <c r="Z25" i="9"/>
  <c r="GV3" i="9"/>
  <c r="CU20" i="9" s="1"/>
  <c r="GP3" i="9"/>
  <c r="GS3" i="9"/>
  <c r="DA19" i="9" s="1"/>
  <c r="FO3" i="9"/>
  <c r="DA23" i="9" s="1"/>
  <c r="Z3" i="9"/>
  <c r="H51" i="7"/>
  <c r="H50" i="7"/>
  <c r="H13" i="7" s="1"/>
  <c r="DG5" i="7"/>
  <c r="DG6" i="7"/>
  <c r="Z24" i="8"/>
  <c r="HE6" i="8"/>
  <c r="HD4" i="8" s="1"/>
  <c r="HE26" i="8"/>
  <c r="HD24" i="8" s="1"/>
  <c r="AD3" i="8"/>
  <c r="AE3" i="8"/>
  <c r="AC3" i="8"/>
  <c r="CU18" i="8"/>
  <c r="K3" i="8"/>
  <c r="CX4" i="6"/>
  <c r="DA17" i="6"/>
  <c r="CU18" i="6"/>
  <c r="W3" i="6"/>
  <c r="DG6" i="6"/>
  <c r="DG5" i="6"/>
  <c r="BT4" i="6"/>
  <c r="AC3" i="6"/>
  <c r="AD3" i="6"/>
  <c r="H50" i="6"/>
  <c r="H13" i="6" s="1"/>
  <c r="H3" i="6" s="1"/>
  <c r="DJ3" i="1"/>
  <c r="CU17" i="1" s="1"/>
  <c r="CU3" i="1" s="1"/>
  <c r="DM3" i="1"/>
  <c r="DD3" i="1"/>
  <c r="DG3" i="1"/>
  <c r="DA16" i="1" s="1"/>
  <c r="DA3" i="1" s="1"/>
  <c r="BZ3" i="1"/>
  <c r="CX4" i="1"/>
  <c r="BT3" i="1"/>
  <c r="BT4" i="1"/>
  <c r="B20" i="7"/>
  <c r="AG42" i="7" s="1"/>
  <c r="AG39" i="7" s="1"/>
  <c r="AG3" i="7" s="1"/>
  <c r="B20" i="1"/>
  <c r="AG42" i="1" s="1"/>
  <c r="AG39" i="1" s="1"/>
  <c r="AG3" i="1" s="1"/>
  <c r="B32" i="10"/>
  <c r="AG42" i="10" s="1"/>
  <c r="B20" i="6"/>
  <c r="AG42" i="6" s="1"/>
  <c r="B20" i="8"/>
  <c r="AG42" i="8" s="1"/>
  <c r="B32" i="9"/>
  <c r="AG42" i="9" s="1"/>
  <c r="B32" i="11"/>
  <c r="AG42" i="11" s="1"/>
  <c r="B32" i="12"/>
  <c r="AG42" i="12" s="1"/>
  <c r="W24" i="7"/>
  <c r="AD3" i="7"/>
  <c r="CU3" i="7"/>
  <c r="DA16" i="12"/>
  <c r="DA3" i="12" s="1"/>
  <c r="CU17" i="10"/>
  <c r="CU3" i="10" s="1"/>
  <c r="FR3" i="9"/>
  <c r="CU24" i="9" s="1"/>
  <c r="FU3" i="9"/>
  <c r="GD3" i="9"/>
  <c r="DA22" i="9" s="1"/>
  <c r="DG5" i="9"/>
  <c r="FC3" i="9"/>
  <c r="CU19" i="9" s="1"/>
  <c r="AE3" i="9"/>
  <c r="EZ3" i="9"/>
  <c r="DA18" i="9" s="1"/>
  <c r="W24" i="9"/>
  <c r="BT21" i="9"/>
  <c r="BT3" i="9" s="1"/>
  <c r="DM3" i="9"/>
  <c r="DY3" i="9"/>
  <c r="CU22" i="9" s="1"/>
  <c r="DV3" i="9"/>
  <c r="DA21" i="9" s="1"/>
  <c r="DS3" i="9"/>
  <c r="K18" i="9"/>
  <c r="K17" i="9" s="1"/>
  <c r="K3" i="9" s="1"/>
  <c r="CX4" i="9"/>
  <c r="H51" i="9"/>
  <c r="H50" i="9"/>
  <c r="AF3" i="9"/>
  <c r="Z24" i="9"/>
  <c r="DG3" i="6" l="1"/>
  <c r="DA16" i="6" s="1"/>
  <c r="DA3" i="6" s="1"/>
  <c r="CU3" i="11"/>
  <c r="HE26" i="1"/>
  <c r="HD24" i="1" s="1"/>
  <c r="AG3" i="11"/>
  <c r="AG38" i="11"/>
  <c r="AG3" i="9"/>
  <c r="AG38" i="9"/>
  <c r="CU3" i="12"/>
  <c r="AG3" i="10"/>
  <c r="AG38" i="10"/>
  <c r="AG38" i="12"/>
  <c r="AG3" i="12" s="1"/>
  <c r="AG39" i="8"/>
  <c r="AG3" i="8" s="1"/>
  <c r="AG39" i="6"/>
  <c r="AG3" i="6" s="1"/>
  <c r="DA16" i="10"/>
  <c r="DA3" i="10" s="1"/>
  <c r="CU18" i="11"/>
  <c r="DA17" i="11"/>
  <c r="CU18" i="10"/>
  <c r="DA17" i="10"/>
  <c r="DJ3" i="9"/>
  <c r="CU17" i="9" s="1"/>
  <c r="CU3" i="9" s="1"/>
  <c r="DG3" i="7"/>
  <c r="DA16" i="7" s="1"/>
  <c r="DA3" i="7" s="1"/>
  <c r="HE6" i="7"/>
  <c r="HD4" i="7" s="1"/>
  <c r="HE26" i="7"/>
  <c r="HD24" i="7" s="1"/>
  <c r="HE6" i="6"/>
  <c r="HD4" i="6" s="1"/>
  <c r="HE26" i="6"/>
  <c r="HD24" i="6" s="1"/>
  <c r="DA17" i="1"/>
  <c r="CU18" i="1"/>
  <c r="DG3" i="9"/>
  <c r="DA16" i="9" s="1"/>
  <c r="DA3" i="9" s="1"/>
  <c r="DD3" i="9"/>
  <c r="DA17" i="9" s="1"/>
  <c r="CU18" i="9" l="1"/>
  <c r="H16" i="9"/>
  <c r="H11" i="9" s="1"/>
  <c r="H25" i="9"/>
  <c r="H22" i="9"/>
  <c r="H31" i="9"/>
  <c r="H15" i="9"/>
  <c r="H10" i="9" s="1"/>
  <c r="H14" i="9" l="1"/>
  <c r="H13" i="9" s="1"/>
  <c r="H3" i="9" s="1"/>
  <c r="HE6" i="9" l="1"/>
  <c r="HD4" i="9" s="1"/>
  <c r="HE26" i="9"/>
  <c r="HD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000-000001000000}">
      <text>
        <r>
          <rPr>
            <b/>
            <sz val="9"/>
            <color indexed="81"/>
            <rFont val="Tahoma"/>
            <family val="2"/>
          </rPr>
          <t>Jared, Karessa L.:</t>
        </r>
        <r>
          <rPr>
            <sz val="9"/>
            <color indexed="81"/>
            <rFont val="Tahoma"/>
            <family val="2"/>
          </rPr>
          <t xml:space="preserve">
No Default Given.</t>
        </r>
      </text>
    </comment>
    <comment ref="CR6" authorId="0" shapeId="0" xr:uid="{00000000-0006-0000-0000-000002000000}">
      <text>
        <r>
          <rPr>
            <b/>
            <sz val="9"/>
            <color indexed="81"/>
            <rFont val="Tahoma"/>
            <family val="2"/>
          </rPr>
          <t>Jared, Karessa L.:</t>
        </r>
        <r>
          <rPr>
            <sz val="9"/>
            <color indexed="81"/>
            <rFont val="Tahoma"/>
            <family val="2"/>
          </rPr>
          <t xml:space="preserve">
No Default Given.</t>
        </r>
      </text>
    </comment>
    <comment ref="FO6" authorId="0" shapeId="0" xr:uid="{00000000-0006-0000-0000-000003000000}">
      <text>
        <r>
          <rPr>
            <b/>
            <sz val="9"/>
            <color indexed="81"/>
            <rFont val="Tahoma"/>
            <family val="2"/>
          </rPr>
          <t>Jared, Karessa L.:</t>
        </r>
        <r>
          <rPr>
            <sz val="9"/>
            <color indexed="81"/>
            <rFont val="Tahoma"/>
            <family val="2"/>
          </rPr>
          <t xml:space="preserve">
No Default Given.</t>
        </r>
      </text>
    </comment>
    <comment ref="CL9" authorId="0" shapeId="0" xr:uid="{00000000-0006-0000-0000-000004000000}">
      <text>
        <r>
          <rPr>
            <b/>
            <sz val="9"/>
            <color indexed="81"/>
            <rFont val="Tahoma"/>
            <family val="2"/>
          </rPr>
          <t>Jared, Karessa L.:</t>
        </r>
        <r>
          <rPr>
            <sz val="9"/>
            <color indexed="81"/>
            <rFont val="Tahoma"/>
            <family val="2"/>
          </rPr>
          <t xml:space="preserve">
No Default Given.</t>
        </r>
      </text>
    </comment>
    <comment ref="CO9" authorId="0" shapeId="0" xr:uid="{00000000-0006-0000-0000-000005000000}">
      <text>
        <r>
          <rPr>
            <b/>
            <sz val="9"/>
            <color indexed="81"/>
            <rFont val="Tahoma"/>
            <family val="2"/>
          </rPr>
          <t>Jared, Karessa L.:</t>
        </r>
        <r>
          <rPr>
            <sz val="9"/>
            <color indexed="81"/>
            <rFont val="Tahoma"/>
            <family val="2"/>
          </rPr>
          <t xml:space="preserve">
No Default Given.</t>
        </r>
      </text>
    </comment>
    <comment ref="FU9" authorId="0" shapeId="0" xr:uid="{00000000-0006-0000-0000-000006000000}">
      <text>
        <r>
          <rPr>
            <b/>
            <sz val="9"/>
            <color indexed="81"/>
            <rFont val="Tahoma"/>
            <family val="2"/>
          </rPr>
          <t>Jared, Karessa L.:</t>
        </r>
        <r>
          <rPr>
            <sz val="9"/>
            <color indexed="81"/>
            <rFont val="Tahoma"/>
            <family val="2"/>
          </rPr>
          <t xml:space="preserve">
No Default Given.</t>
        </r>
      </text>
    </comment>
    <comment ref="FX9" authorId="0" shapeId="0" xr:uid="{00000000-0006-0000-0000-000007000000}">
      <text>
        <r>
          <rPr>
            <b/>
            <sz val="9"/>
            <color indexed="81"/>
            <rFont val="Tahoma"/>
            <family val="2"/>
          </rPr>
          <t>Jared, Karessa L.:</t>
        </r>
        <r>
          <rPr>
            <sz val="9"/>
            <color indexed="81"/>
            <rFont val="Tahoma"/>
            <family val="2"/>
          </rPr>
          <t xml:space="preserve">
No Default Given.</t>
        </r>
      </text>
    </comment>
    <comment ref="CO10" authorId="0" shapeId="0" xr:uid="{00000000-0006-0000-0000-000008000000}">
      <text>
        <r>
          <rPr>
            <b/>
            <sz val="9"/>
            <color indexed="81"/>
            <rFont val="Tahoma"/>
            <family val="2"/>
          </rPr>
          <t>Jared, Karessa L.:</t>
        </r>
        <r>
          <rPr>
            <sz val="9"/>
            <color indexed="81"/>
            <rFont val="Tahoma"/>
            <family val="2"/>
          </rPr>
          <t xml:space="preserve">
No Default Given.</t>
        </r>
      </text>
    </comment>
    <comment ref="FU10" authorId="0" shapeId="0" xr:uid="{00000000-0006-0000-0000-000009000000}">
      <text>
        <r>
          <rPr>
            <b/>
            <sz val="9"/>
            <color indexed="81"/>
            <rFont val="Tahoma"/>
            <family val="2"/>
          </rPr>
          <t>Jared, Karessa L.:</t>
        </r>
        <r>
          <rPr>
            <sz val="9"/>
            <color indexed="81"/>
            <rFont val="Tahoma"/>
            <family val="2"/>
          </rPr>
          <t xml:space="preserve">
No Default Given.</t>
        </r>
      </text>
    </comment>
    <comment ref="FX10" authorId="0" shapeId="0" xr:uid="{00000000-0006-0000-0000-00000A000000}">
      <text>
        <r>
          <rPr>
            <b/>
            <sz val="9"/>
            <color indexed="81"/>
            <rFont val="Tahoma"/>
            <family val="2"/>
          </rPr>
          <t>Jared, Karessa L.:</t>
        </r>
        <r>
          <rPr>
            <sz val="9"/>
            <color indexed="81"/>
            <rFont val="Tahoma"/>
            <family val="2"/>
          </rPr>
          <t xml:space="preserve">
No Default Given.</t>
        </r>
      </text>
    </comment>
    <comment ref="CO11" authorId="0" shapeId="0" xr:uid="{00000000-0006-0000-0000-00000B000000}">
      <text>
        <r>
          <rPr>
            <b/>
            <sz val="9"/>
            <color indexed="81"/>
            <rFont val="Tahoma"/>
            <family val="2"/>
          </rPr>
          <t>Jared, Karessa L.:</t>
        </r>
        <r>
          <rPr>
            <sz val="9"/>
            <color indexed="81"/>
            <rFont val="Tahoma"/>
            <family val="2"/>
          </rPr>
          <t xml:space="preserve">
No Default Given.</t>
        </r>
      </text>
    </comment>
    <comment ref="FU11" authorId="0" shapeId="0" xr:uid="{00000000-0006-0000-0000-00000C000000}">
      <text>
        <r>
          <rPr>
            <b/>
            <sz val="9"/>
            <color indexed="81"/>
            <rFont val="Tahoma"/>
            <family val="2"/>
          </rPr>
          <t>Jared, Karessa L.:</t>
        </r>
        <r>
          <rPr>
            <sz val="9"/>
            <color indexed="81"/>
            <rFont val="Tahoma"/>
            <family val="2"/>
          </rPr>
          <t xml:space="preserve">
No Default Given.</t>
        </r>
      </text>
    </comment>
    <comment ref="FX11" authorId="0" shapeId="0" xr:uid="{00000000-0006-0000-0000-00000D000000}">
      <text>
        <r>
          <rPr>
            <b/>
            <sz val="9"/>
            <color indexed="81"/>
            <rFont val="Tahoma"/>
            <family val="2"/>
          </rPr>
          <t>Jared, Karessa L.:</t>
        </r>
        <r>
          <rPr>
            <sz val="9"/>
            <color indexed="81"/>
            <rFont val="Tahoma"/>
            <family val="2"/>
          </rPr>
          <t xml:space="preserve">
No Default Given.</t>
        </r>
      </text>
    </comment>
    <comment ref="CO12" authorId="0" shapeId="0" xr:uid="{00000000-0006-0000-0000-00000E000000}">
      <text>
        <r>
          <rPr>
            <b/>
            <sz val="9"/>
            <color indexed="81"/>
            <rFont val="Tahoma"/>
            <family val="2"/>
          </rPr>
          <t>Jared, Karessa L.:</t>
        </r>
        <r>
          <rPr>
            <sz val="9"/>
            <color indexed="81"/>
            <rFont val="Tahoma"/>
            <family val="2"/>
          </rPr>
          <t xml:space="preserve">
No Default Given.</t>
        </r>
      </text>
    </comment>
    <comment ref="FF12" authorId="0" shapeId="0" xr:uid="{00000000-0006-0000-0000-00000F000000}">
      <text>
        <r>
          <rPr>
            <b/>
            <sz val="9"/>
            <color indexed="81"/>
            <rFont val="Tahoma"/>
            <family val="2"/>
          </rPr>
          <t>Jared, Karessa L.:</t>
        </r>
        <r>
          <rPr>
            <sz val="9"/>
            <color indexed="81"/>
            <rFont val="Tahoma"/>
            <family val="2"/>
          </rPr>
          <t xml:space="preserve">
No Default Given.</t>
        </r>
      </text>
    </comment>
    <comment ref="FU12" authorId="0" shapeId="0" xr:uid="{00000000-0006-0000-0000-000010000000}">
      <text>
        <r>
          <rPr>
            <b/>
            <sz val="9"/>
            <color indexed="81"/>
            <rFont val="Tahoma"/>
            <family val="2"/>
          </rPr>
          <t>Jared, Karessa L.:</t>
        </r>
        <r>
          <rPr>
            <sz val="9"/>
            <color indexed="81"/>
            <rFont val="Tahoma"/>
            <family val="2"/>
          </rPr>
          <t xml:space="preserve">
No Default Given.</t>
        </r>
      </text>
    </comment>
    <comment ref="FX12" authorId="0" shapeId="0" xr:uid="{00000000-0006-0000-0000-000011000000}">
      <text>
        <r>
          <rPr>
            <b/>
            <sz val="9"/>
            <color indexed="81"/>
            <rFont val="Tahoma"/>
            <family val="2"/>
          </rPr>
          <t>Jared, Karessa L.:</t>
        </r>
        <r>
          <rPr>
            <sz val="9"/>
            <color indexed="81"/>
            <rFont val="Tahoma"/>
            <family val="2"/>
          </rPr>
          <t xml:space="preserve">
No Default Given.</t>
        </r>
      </text>
    </comment>
    <comment ref="CO13" authorId="0" shapeId="0" xr:uid="{00000000-0006-0000-0000-000012000000}">
      <text>
        <r>
          <rPr>
            <b/>
            <sz val="9"/>
            <color indexed="81"/>
            <rFont val="Tahoma"/>
            <family val="2"/>
          </rPr>
          <t>Jared, Karessa L.:</t>
        </r>
        <r>
          <rPr>
            <sz val="9"/>
            <color indexed="81"/>
            <rFont val="Tahoma"/>
            <family val="2"/>
          </rPr>
          <t xml:space="preserve">
No Default Given.</t>
        </r>
      </text>
    </comment>
    <comment ref="FF13" authorId="0" shapeId="0" xr:uid="{00000000-0006-0000-0000-000013000000}">
      <text>
        <r>
          <rPr>
            <b/>
            <sz val="9"/>
            <color indexed="81"/>
            <rFont val="Tahoma"/>
            <family val="2"/>
          </rPr>
          <t>Jared, Karessa L.:</t>
        </r>
        <r>
          <rPr>
            <sz val="9"/>
            <color indexed="81"/>
            <rFont val="Tahoma"/>
            <family val="2"/>
          </rPr>
          <t xml:space="preserve">
No Default Given.</t>
        </r>
      </text>
    </comment>
    <comment ref="FU13" authorId="0" shapeId="0" xr:uid="{00000000-0006-0000-0000-000014000000}">
      <text>
        <r>
          <rPr>
            <b/>
            <sz val="9"/>
            <color indexed="81"/>
            <rFont val="Tahoma"/>
            <family val="2"/>
          </rPr>
          <t>Jared, Karessa L.:</t>
        </r>
        <r>
          <rPr>
            <sz val="9"/>
            <color indexed="81"/>
            <rFont val="Tahoma"/>
            <family val="2"/>
          </rPr>
          <t xml:space="preserve">
No Default Given.</t>
        </r>
      </text>
    </comment>
    <comment ref="FX13" authorId="0" shapeId="0" xr:uid="{00000000-0006-0000-0000-000015000000}">
      <text>
        <r>
          <rPr>
            <b/>
            <sz val="9"/>
            <color indexed="81"/>
            <rFont val="Tahoma"/>
            <family val="2"/>
          </rPr>
          <t>Jared, Karessa L.:</t>
        </r>
        <r>
          <rPr>
            <sz val="9"/>
            <color indexed="81"/>
            <rFont val="Tahoma"/>
            <family val="2"/>
          </rPr>
          <t xml:space="preserve">
No Default Given.</t>
        </r>
      </text>
    </comment>
    <comment ref="FX15" authorId="0" shapeId="0" xr:uid="{00000000-0006-0000-0000-000016000000}">
      <text>
        <r>
          <rPr>
            <b/>
            <sz val="9"/>
            <color indexed="81"/>
            <rFont val="Tahoma"/>
            <family val="2"/>
          </rPr>
          <t>Jared, Karessa L.:</t>
        </r>
        <r>
          <rPr>
            <sz val="9"/>
            <color indexed="81"/>
            <rFont val="Tahoma"/>
            <family val="2"/>
          </rPr>
          <t xml:space="preserve">
No Default Given.</t>
        </r>
      </text>
    </comment>
    <comment ref="CR21" authorId="0" shapeId="0" xr:uid="{00000000-0006-0000-0000-000017000000}">
      <text>
        <r>
          <rPr>
            <b/>
            <sz val="9"/>
            <color indexed="81"/>
            <rFont val="Tahoma"/>
            <family val="2"/>
          </rPr>
          <t>Jared, Karessa L.:</t>
        </r>
        <r>
          <rPr>
            <sz val="9"/>
            <color indexed="81"/>
            <rFont val="Tahoma"/>
            <family val="2"/>
          </rPr>
          <t xml:space="preserve">
No Default Given.</t>
        </r>
      </text>
    </comment>
    <comment ref="CL24" authorId="0" shapeId="0" xr:uid="{00000000-0006-0000-0000-000018000000}">
      <text>
        <r>
          <rPr>
            <b/>
            <sz val="9"/>
            <color indexed="81"/>
            <rFont val="Tahoma"/>
            <family val="2"/>
          </rPr>
          <t>Jared, Karessa L.:</t>
        </r>
        <r>
          <rPr>
            <sz val="9"/>
            <color indexed="81"/>
            <rFont val="Tahoma"/>
            <family val="2"/>
          </rPr>
          <t xml:space="preserve">
No Default Given.</t>
        </r>
      </text>
    </comment>
    <comment ref="CO24" authorId="0" shapeId="0" xr:uid="{00000000-0006-0000-0000-000019000000}">
      <text>
        <r>
          <rPr>
            <b/>
            <sz val="9"/>
            <color indexed="81"/>
            <rFont val="Tahoma"/>
            <family val="2"/>
          </rPr>
          <t>Jared, Karessa L.:</t>
        </r>
        <r>
          <rPr>
            <sz val="9"/>
            <color indexed="81"/>
            <rFont val="Tahoma"/>
            <family val="2"/>
          </rPr>
          <t xml:space="preserve">
No Default Given.</t>
        </r>
      </text>
    </comment>
    <comment ref="CO25" authorId="0" shapeId="0" xr:uid="{00000000-0006-0000-0000-00001A000000}">
      <text>
        <r>
          <rPr>
            <b/>
            <sz val="9"/>
            <color indexed="81"/>
            <rFont val="Tahoma"/>
            <family val="2"/>
          </rPr>
          <t>Jared, Karessa L.:</t>
        </r>
        <r>
          <rPr>
            <sz val="9"/>
            <color indexed="81"/>
            <rFont val="Tahoma"/>
            <family val="2"/>
          </rPr>
          <t xml:space="preserve">
No Default Given.</t>
        </r>
      </text>
    </comment>
    <comment ref="CO26" authorId="0" shapeId="0" xr:uid="{00000000-0006-0000-0000-00001B000000}">
      <text>
        <r>
          <rPr>
            <b/>
            <sz val="9"/>
            <color indexed="81"/>
            <rFont val="Tahoma"/>
            <family val="2"/>
          </rPr>
          <t>Jared, Karessa L.:</t>
        </r>
        <r>
          <rPr>
            <sz val="9"/>
            <color indexed="81"/>
            <rFont val="Tahoma"/>
            <family val="2"/>
          </rPr>
          <t xml:space="preserve">
No Default Given.</t>
        </r>
      </text>
    </comment>
    <comment ref="CO27" authorId="0" shapeId="0" xr:uid="{00000000-0006-0000-0000-00001C000000}">
      <text>
        <r>
          <rPr>
            <b/>
            <sz val="9"/>
            <color indexed="81"/>
            <rFont val="Tahoma"/>
            <family val="2"/>
          </rPr>
          <t>Jared, Karessa L.:</t>
        </r>
        <r>
          <rPr>
            <sz val="9"/>
            <color indexed="81"/>
            <rFont val="Tahoma"/>
            <family val="2"/>
          </rPr>
          <t xml:space="preserve">
No Default Given.</t>
        </r>
      </text>
    </comment>
    <comment ref="FX27" authorId="0" shapeId="0" xr:uid="{00000000-0006-0000-0000-00001D000000}">
      <text>
        <r>
          <rPr>
            <b/>
            <sz val="9"/>
            <color indexed="81"/>
            <rFont val="Tahoma"/>
            <family val="2"/>
          </rPr>
          <t>Jared, Karessa L.:</t>
        </r>
        <r>
          <rPr>
            <sz val="9"/>
            <color indexed="81"/>
            <rFont val="Tahoma"/>
            <family val="2"/>
          </rPr>
          <t xml:space="preserve">
No Default Given.</t>
        </r>
      </text>
    </comment>
    <comment ref="CO28" authorId="0" shapeId="0" xr:uid="{00000000-0006-0000-0000-00001E000000}">
      <text>
        <r>
          <rPr>
            <b/>
            <sz val="9"/>
            <color indexed="81"/>
            <rFont val="Tahoma"/>
            <family val="2"/>
          </rPr>
          <t>Jared, Karessa L.:</t>
        </r>
        <r>
          <rPr>
            <sz val="9"/>
            <color indexed="81"/>
            <rFont val="Tahoma"/>
            <family val="2"/>
          </rPr>
          <t xml:space="preserve">
No Default Given.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100-000001000000}">
      <text>
        <r>
          <rPr>
            <b/>
            <sz val="9"/>
            <color indexed="81"/>
            <rFont val="Tahoma"/>
            <family val="2"/>
          </rPr>
          <t>Jared, Karessa L.:</t>
        </r>
        <r>
          <rPr>
            <sz val="9"/>
            <color indexed="81"/>
            <rFont val="Tahoma"/>
            <family val="2"/>
          </rPr>
          <t xml:space="preserve">
No Default Given.</t>
        </r>
      </text>
    </comment>
    <comment ref="CR6" authorId="0" shapeId="0" xr:uid="{00000000-0006-0000-0100-000002000000}">
      <text>
        <r>
          <rPr>
            <b/>
            <sz val="9"/>
            <color indexed="81"/>
            <rFont val="Tahoma"/>
            <family val="2"/>
          </rPr>
          <t>Jared, Karessa L.:</t>
        </r>
        <r>
          <rPr>
            <sz val="9"/>
            <color indexed="81"/>
            <rFont val="Tahoma"/>
            <family val="2"/>
          </rPr>
          <t xml:space="preserve">
No Default Given.</t>
        </r>
      </text>
    </comment>
    <comment ref="FO6" authorId="0" shapeId="0" xr:uid="{00000000-0006-0000-0100-000003000000}">
      <text>
        <r>
          <rPr>
            <b/>
            <sz val="9"/>
            <color indexed="81"/>
            <rFont val="Tahoma"/>
            <family val="2"/>
          </rPr>
          <t>Jared, Karessa L.:</t>
        </r>
        <r>
          <rPr>
            <sz val="9"/>
            <color indexed="81"/>
            <rFont val="Tahoma"/>
            <family val="2"/>
          </rPr>
          <t xml:space="preserve">
No Default Given.</t>
        </r>
      </text>
    </comment>
    <comment ref="CL9" authorId="0" shapeId="0" xr:uid="{00000000-0006-0000-0100-000004000000}">
      <text>
        <r>
          <rPr>
            <b/>
            <sz val="9"/>
            <color indexed="81"/>
            <rFont val="Tahoma"/>
            <family val="2"/>
          </rPr>
          <t>Jared, Karessa L.:</t>
        </r>
        <r>
          <rPr>
            <sz val="9"/>
            <color indexed="81"/>
            <rFont val="Tahoma"/>
            <family val="2"/>
          </rPr>
          <t xml:space="preserve">
No Default Given.</t>
        </r>
      </text>
    </comment>
    <comment ref="CO9" authorId="0" shapeId="0" xr:uid="{00000000-0006-0000-0100-000005000000}">
      <text>
        <r>
          <rPr>
            <b/>
            <sz val="9"/>
            <color indexed="81"/>
            <rFont val="Tahoma"/>
            <family val="2"/>
          </rPr>
          <t>Jared, Karessa L.:</t>
        </r>
        <r>
          <rPr>
            <sz val="9"/>
            <color indexed="81"/>
            <rFont val="Tahoma"/>
            <family val="2"/>
          </rPr>
          <t xml:space="preserve">
No Default Given.</t>
        </r>
      </text>
    </comment>
    <comment ref="FU9" authorId="0" shapeId="0" xr:uid="{00000000-0006-0000-0100-000006000000}">
      <text>
        <r>
          <rPr>
            <b/>
            <sz val="9"/>
            <color indexed="81"/>
            <rFont val="Tahoma"/>
            <family val="2"/>
          </rPr>
          <t>Jared, Karessa L.:</t>
        </r>
        <r>
          <rPr>
            <sz val="9"/>
            <color indexed="81"/>
            <rFont val="Tahoma"/>
            <family val="2"/>
          </rPr>
          <t xml:space="preserve">
No Default Given.</t>
        </r>
      </text>
    </comment>
    <comment ref="FX9" authorId="0" shapeId="0" xr:uid="{00000000-0006-0000-0100-000007000000}">
      <text>
        <r>
          <rPr>
            <b/>
            <sz val="9"/>
            <color indexed="81"/>
            <rFont val="Tahoma"/>
            <family val="2"/>
          </rPr>
          <t>Jared, Karessa L.:</t>
        </r>
        <r>
          <rPr>
            <sz val="9"/>
            <color indexed="81"/>
            <rFont val="Tahoma"/>
            <family val="2"/>
          </rPr>
          <t xml:space="preserve">
No Default Given.</t>
        </r>
      </text>
    </comment>
    <comment ref="CO10" authorId="0" shapeId="0" xr:uid="{00000000-0006-0000-0100-000008000000}">
      <text>
        <r>
          <rPr>
            <b/>
            <sz val="9"/>
            <color indexed="81"/>
            <rFont val="Tahoma"/>
            <family val="2"/>
          </rPr>
          <t>Jared, Karessa L.:</t>
        </r>
        <r>
          <rPr>
            <sz val="9"/>
            <color indexed="81"/>
            <rFont val="Tahoma"/>
            <family val="2"/>
          </rPr>
          <t xml:space="preserve">
No Default Given.</t>
        </r>
      </text>
    </comment>
    <comment ref="FU10" authorId="0" shapeId="0" xr:uid="{00000000-0006-0000-0100-000009000000}">
      <text>
        <r>
          <rPr>
            <b/>
            <sz val="9"/>
            <color indexed="81"/>
            <rFont val="Tahoma"/>
            <family val="2"/>
          </rPr>
          <t>Jared, Karessa L.:</t>
        </r>
        <r>
          <rPr>
            <sz val="9"/>
            <color indexed="81"/>
            <rFont val="Tahoma"/>
            <family val="2"/>
          </rPr>
          <t xml:space="preserve">
No Default Given.</t>
        </r>
      </text>
    </comment>
    <comment ref="FX10" authorId="0" shapeId="0" xr:uid="{00000000-0006-0000-0100-00000A000000}">
      <text>
        <r>
          <rPr>
            <b/>
            <sz val="9"/>
            <color indexed="81"/>
            <rFont val="Tahoma"/>
            <family val="2"/>
          </rPr>
          <t>Jared, Karessa L.:</t>
        </r>
        <r>
          <rPr>
            <sz val="9"/>
            <color indexed="81"/>
            <rFont val="Tahoma"/>
            <family val="2"/>
          </rPr>
          <t xml:space="preserve">
No Default Given.</t>
        </r>
      </text>
    </comment>
    <comment ref="CO11" authorId="0" shapeId="0" xr:uid="{00000000-0006-0000-0100-00000B000000}">
      <text>
        <r>
          <rPr>
            <b/>
            <sz val="9"/>
            <color indexed="81"/>
            <rFont val="Tahoma"/>
            <family val="2"/>
          </rPr>
          <t>Jared, Karessa L.:</t>
        </r>
        <r>
          <rPr>
            <sz val="9"/>
            <color indexed="81"/>
            <rFont val="Tahoma"/>
            <family val="2"/>
          </rPr>
          <t xml:space="preserve">
No Default Given.</t>
        </r>
      </text>
    </comment>
    <comment ref="FU11" authorId="0" shapeId="0" xr:uid="{00000000-0006-0000-0100-00000C000000}">
      <text>
        <r>
          <rPr>
            <b/>
            <sz val="9"/>
            <color indexed="81"/>
            <rFont val="Tahoma"/>
            <family val="2"/>
          </rPr>
          <t>Jared, Karessa L.:</t>
        </r>
        <r>
          <rPr>
            <sz val="9"/>
            <color indexed="81"/>
            <rFont val="Tahoma"/>
            <family val="2"/>
          </rPr>
          <t xml:space="preserve">
No Default Given.</t>
        </r>
      </text>
    </comment>
    <comment ref="FX11" authorId="0" shapeId="0" xr:uid="{00000000-0006-0000-0100-00000D000000}">
      <text>
        <r>
          <rPr>
            <b/>
            <sz val="9"/>
            <color indexed="81"/>
            <rFont val="Tahoma"/>
            <family val="2"/>
          </rPr>
          <t>Jared, Karessa L.:</t>
        </r>
        <r>
          <rPr>
            <sz val="9"/>
            <color indexed="81"/>
            <rFont val="Tahoma"/>
            <family val="2"/>
          </rPr>
          <t xml:space="preserve">
No Default Given.</t>
        </r>
      </text>
    </comment>
    <comment ref="CO12" authorId="0" shapeId="0" xr:uid="{00000000-0006-0000-0100-00000E000000}">
      <text>
        <r>
          <rPr>
            <b/>
            <sz val="9"/>
            <color indexed="81"/>
            <rFont val="Tahoma"/>
            <family val="2"/>
          </rPr>
          <t>Jared, Karessa L.:</t>
        </r>
        <r>
          <rPr>
            <sz val="9"/>
            <color indexed="81"/>
            <rFont val="Tahoma"/>
            <family val="2"/>
          </rPr>
          <t xml:space="preserve">
No Default Given.</t>
        </r>
      </text>
    </comment>
    <comment ref="FF12" authorId="0" shapeId="0" xr:uid="{00000000-0006-0000-0100-00000F000000}">
      <text>
        <r>
          <rPr>
            <b/>
            <sz val="9"/>
            <color indexed="81"/>
            <rFont val="Tahoma"/>
            <family val="2"/>
          </rPr>
          <t>Jared, Karessa L.:</t>
        </r>
        <r>
          <rPr>
            <sz val="9"/>
            <color indexed="81"/>
            <rFont val="Tahoma"/>
            <family val="2"/>
          </rPr>
          <t xml:space="preserve">
No Default Given.</t>
        </r>
      </text>
    </comment>
    <comment ref="FU12" authorId="0" shapeId="0" xr:uid="{00000000-0006-0000-0100-000010000000}">
      <text>
        <r>
          <rPr>
            <b/>
            <sz val="9"/>
            <color indexed="81"/>
            <rFont val="Tahoma"/>
            <family val="2"/>
          </rPr>
          <t>Jared, Karessa L.:</t>
        </r>
        <r>
          <rPr>
            <sz val="9"/>
            <color indexed="81"/>
            <rFont val="Tahoma"/>
            <family val="2"/>
          </rPr>
          <t xml:space="preserve">
No Default Given.</t>
        </r>
      </text>
    </comment>
    <comment ref="FX12" authorId="0" shapeId="0" xr:uid="{00000000-0006-0000-0100-000011000000}">
      <text>
        <r>
          <rPr>
            <b/>
            <sz val="9"/>
            <color indexed="81"/>
            <rFont val="Tahoma"/>
            <family val="2"/>
          </rPr>
          <t>Jared, Karessa L.:</t>
        </r>
        <r>
          <rPr>
            <sz val="9"/>
            <color indexed="81"/>
            <rFont val="Tahoma"/>
            <family val="2"/>
          </rPr>
          <t xml:space="preserve">
No Default Given.</t>
        </r>
      </text>
    </comment>
    <comment ref="CO13" authorId="0" shapeId="0" xr:uid="{00000000-0006-0000-0100-000012000000}">
      <text>
        <r>
          <rPr>
            <b/>
            <sz val="9"/>
            <color indexed="81"/>
            <rFont val="Tahoma"/>
            <family val="2"/>
          </rPr>
          <t>Jared, Karessa L.:</t>
        </r>
        <r>
          <rPr>
            <sz val="9"/>
            <color indexed="81"/>
            <rFont val="Tahoma"/>
            <family val="2"/>
          </rPr>
          <t xml:space="preserve">
No Default Given.</t>
        </r>
      </text>
    </comment>
    <comment ref="FF13" authorId="0" shapeId="0" xr:uid="{00000000-0006-0000-0100-000013000000}">
      <text>
        <r>
          <rPr>
            <b/>
            <sz val="9"/>
            <color indexed="81"/>
            <rFont val="Tahoma"/>
            <family val="2"/>
          </rPr>
          <t>Jared, Karessa L.:</t>
        </r>
        <r>
          <rPr>
            <sz val="9"/>
            <color indexed="81"/>
            <rFont val="Tahoma"/>
            <family val="2"/>
          </rPr>
          <t xml:space="preserve">
No Default Given.</t>
        </r>
      </text>
    </comment>
    <comment ref="FU13" authorId="0" shapeId="0" xr:uid="{00000000-0006-0000-0100-000014000000}">
      <text>
        <r>
          <rPr>
            <b/>
            <sz val="9"/>
            <color indexed="81"/>
            <rFont val="Tahoma"/>
            <family val="2"/>
          </rPr>
          <t>Jared, Karessa L.:</t>
        </r>
        <r>
          <rPr>
            <sz val="9"/>
            <color indexed="81"/>
            <rFont val="Tahoma"/>
            <family val="2"/>
          </rPr>
          <t xml:space="preserve">
No Default Given.</t>
        </r>
      </text>
    </comment>
    <comment ref="FX13" authorId="0" shapeId="0" xr:uid="{00000000-0006-0000-0100-000015000000}">
      <text>
        <r>
          <rPr>
            <b/>
            <sz val="9"/>
            <color indexed="81"/>
            <rFont val="Tahoma"/>
            <family val="2"/>
          </rPr>
          <t>Jared, Karessa L.:</t>
        </r>
        <r>
          <rPr>
            <sz val="9"/>
            <color indexed="81"/>
            <rFont val="Tahoma"/>
            <family val="2"/>
          </rPr>
          <t xml:space="preserve">
No Default Given.</t>
        </r>
      </text>
    </comment>
    <comment ref="FX15" authorId="0" shapeId="0" xr:uid="{00000000-0006-0000-0100-000016000000}">
      <text>
        <r>
          <rPr>
            <b/>
            <sz val="9"/>
            <color indexed="81"/>
            <rFont val="Tahoma"/>
            <family val="2"/>
          </rPr>
          <t>Jared, Karessa L.:</t>
        </r>
        <r>
          <rPr>
            <sz val="9"/>
            <color indexed="81"/>
            <rFont val="Tahoma"/>
            <family val="2"/>
          </rPr>
          <t xml:space="preserve">
No Default Given.</t>
        </r>
      </text>
    </comment>
    <comment ref="CR21" authorId="0" shapeId="0" xr:uid="{00000000-0006-0000-0100-000017000000}">
      <text>
        <r>
          <rPr>
            <b/>
            <sz val="9"/>
            <color indexed="81"/>
            <rFont val="Tahoma"/>
            <family val="2"/>
          </rPr>
          <t>Jared, Karessa L.:</t>
        </r>
        <r>
          <rPr>
            <sz val="9"/>
            <color indexed="81"/>
            <rFont val="Tahoma"/>
            <family val="2"/>
          </rPr>
          <t xml:space="preserve">
No Default Given.</t>
        </r>
      </text>
    </comment>
    <comment ref="CL24" authorId="0" shapeId="0" xr:uid="{00000000-0006-0000-0100-000018000000}">
      <text>
        <r>
          <rPr>
            <b/>
            <sz val="9"/>
            <color indexed="81"/>
            <rFont val="Tahoma"/>
            <family val="2"/>
          </rPr>
          <t>Jared, Karessa L.:</t>
        </r>
        <r>
          <rPr>
            <sz val="9"/>
            <color indexed="81"/>
            <rFont val="Tahoma"/>
            <family val="2"/>
          </rPr>
          <t xml:space="preserve">
No Default Given.</t>
        </r>
      </text>
    </comment>
    <comment ref="CO24" authorId="0" shapeId="0" xr:uid="{00000000-0006-0000-0100-000019000000}">
      <text>
        <r>
          <rPr>
            <b/>
            <sz val="9"/>
            <color indexed="81"/>
            <rFont val="Tahoma"/>
            <family val="2"/>
          </rPr>
          <t>Jared, Karessa L.:</t>
        </r>
        <r>
          <rPr>
            <sz val="9"/>
            <color indexed="81"/>
            <rFont val="Tahoma"/>
            <family val="2"/>
          </rPr>
          <t xml:space="preserve">
No Default Given.</t>
        </r>
      </text>
    </comment>
    <comment ref="CO25" authorId="0" shapeId="0" xr:uid="{00000000-0006-0000-0100-00001A000000}">
      <text>
        <r>
          <rPr>
            <b/>
            <sz val="9"/>
            <color indexed="81"/>
            <rFont val="Tahoma"/>
            <family val="2"/>
          </rPr>
          <t>Jared, Karessa L.:</t>
        </r>
        <r>
          <rPr>
            <sz val="9"/>
            <color indexed="81"/>
            <rFont val="Tahoma"/>
            <family val="2"/>
          </rPr>
          <t xml:space="preserve">
No Default Given.</t>
        </r>
      </text>
    </comment>
    <comment ref="CO26" authorId="0" shapeId="0" xr:uid="{00000000-0006-0000-0100-00001B000000}">
      <text>
        <r>
          <rPr>
            <b/>
            <sz val="9"/>
            <color indexed="81"/>
            <rFont val="Tahoma"/>
            <family val="2"/>
          </rPr>
          <t>Jared, Karessa L.:</t>
        </r>
        <r>
          <rPr>
            <sz val="9"/>
            <color indexed="81"/>
            <rFont val="Tahoma"/>
            <family val="2"/>
          </rPr>
          <t xml:space="preserve">
No Default Given.</t>
        </r>
      </text>
    </comment>
    <comment ref="CO27" authorId="0" shapeId="0" xr:uid="{00000000-0006-0000-0100-00001C000000}">
      <text>
        <r>
          <rPr>
            <b/>
            <sz val="9"/>
            <color indexed="81"/>
            <rFont val="Tahoma"/>
            <family val="2"/>
          </rPr>
          <t>Jared, Karessa L.:</t>
        </r>
        <r>
          <rPr>
            <sz val="9"/>
            <color indexed="81"/>
            <rFont val="Tahoma"/>
            <family val="2"/>
          </rPr>
          <t xml:space="preserve">
No Default Given.</t>
        </r>
      </text>
    </comment>
    <comment ref="FX27" authorId="0" shapeId="0" xr:uid="{00000000-0006-0000-0100-00001D000000}">
      <text>
        <r>
          <rPr>
            <b/>
            <sz val="9"/>
            <color indexed="81"/>
            <rFont val="Tahoma"/>
            <family val="2"/>
          </rPr>
          <t>Jared, Karessa L.:</t>
        </r>
        <r>
          <rPr>
            <sz val="9"/>
            <color indexed="81"/>
            <rFont val="Tahoma"/>
            <family val="2"/>
          </rPr>
          <t xml:space="preserve">
No Default Given.</t>
        </r>
      </text>
    </comment>
    <comment ref="CO28" authorId="0" shapeId="0" xr:uid="{00000000-0006-0000-0100-00001E000000}">
      <text>
        <r>
          <rPr>
            <b/>
            <sz val="9"/>
            <color indexed="81"/>
            <rFont val="Tahoma"/>
            <family val="2"/>
          </rPr>
          <t>Jared, Karessa L.:</t>
        </r>
        <r>
          <rPr>
            <sz val="9"/>
            <color indexed="81"/>
            <rFont val="Tahoma"/>
            <family val="2"/>
          </rPr>
          <t xml:space="preserve">
No Default Given.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200-000001000000}">
      <text>
        <r>
          <rPr>
            <b/>
            <sz val="9"/>
            <color indexed="81"/>
            <rFont val="Tahoma"/>
            <family val="2"/>
          </rPr>
          <t>Jared, Karessa L.:</t>
        </r>
        <r>
          <rPr>
            <sz val="9"/>
            <color indexed="81"/>
            <rFont val="Tahoma"/>
            <family val="2"/>
          </rPr>
          <t xml:space="preserve">
No Default Given.</t>
        </r>
      </text>
    </comment>
    <comment ref="CR6" authorId="0" shapeId="0" xr:uid="{00000000-0006-0000-0200-000002000000}">
      <text>
        <r>
          <rPr>
            <b/>
            <sz val="9"/>
            <color indexed="81"/>
            <rFont val="Tahoma"/>
            <family val="2"/>
          </rPr>
          <t>Jared, Karessa L.:</t>
        </r>
        <r>
          <rPr>
            <sz val="9"/>
            <color indexed="81"/>
            <rFont val="Tahoma"/>
            <family val="2"/>
          </rPr>
          <t xml:space="preserve">
No Default Given.</t>
        </r>
      </text>
    </comment>
    <comment ref="FO6" authorId="0" shapeId="0" xr:uid="{00000000-0006-0000-0200-000003000000}">
      <text>
        <r>
          <rPr>
            <b/>
            <sz val="9"/>
            <color indexed="81"/>
            <rFont val="Tahoma"/>
            <family val="2"/>
          </rPr>
          <t>Jared, Karessa L.:</t>
        </r>
        <r>
          <rPr>
            <sz val="9"/>
            <color indexed="81"/>
            <rFont val="Tahoma"/>
            <family val="2"/>
          </rPr>
          <t xml:space="preserve">
No Default Given.</t>
        </r>
      </text>
    </comment>
    <comment ref="CL9" authorId="0" shapeId="0" xr:uid="{00000000-0006-0000-0200-000004000000}">
      <text>
        <r>
          <rPr>
            <b/>
            <sz val="9"/>
            <color indexed="81"/>
            <rFont val="Tahoma"/>
            <family val="2"/>
          </rPr>
          <t>Jared, Karessa L.:</t>
        </r>
        <r>
          <rPr>
            <sz val="9"/>
            <color indexed="81"/>
            <rFont val="Tahoma"/>
            <family val="2"/>
          </rPr>
          <t xml:space="preserve">
No Default Given.</t>
        </r>
      </text>
    </comment>
    <comment ref="CO9" authorId="0" shapeId="0" xr:uid="{00000000-0006-0000-0200-000005000000}">
      <text>
        <r>
          <rPr>
            <b/>
            <sz val="9"/>
            <color indexed="81"/>
            <rFont val="Tahoma"/>
            <family val="2"/>
          </rPr>
          <t>Jared, Karessa L.:</t>
        </r>
        <r>
          <rPr>
            <sz val="9"/>
            <color indexed="81"/>
            <rFont val="Tahoma"/>
            <family val="2"/>
          </rPr>
          <t xml:space="preserve">
No Default Given.</t>
        </r>
      </text>
    </comment>
    <comment ref="FU9" authorId="0" shapeId="0" xr:uid="{00000000-0006-0000-0200-000006000000}">
      <text>
        <r>
          <rPr>
            <b/>
            <sz val="9"/>
            <color indexed="81"/>
            <rFont val="Tahoma"/>
            <family val="2"/>
          </rPr>
          <t>Jared, Karessa L.:</t>
        </r>
        <r>
          <rPr>
            <sz val="9"/>
            <color indexed="81"/>
            <rFont val="Tahoma"/>
            <family val="2"/>
          </rPr>
          <t xml:space="preserve">
No Default Given.</t>
        </r>
      </text>
    </comment>
    <comment ref="FX9" authorId="0" shapeId="0" xr:uid="{00000000-0006-0000-0200-000007000000}">
      <text>
        <r>
          <rPr>
            <b/>
            <sz val="9"/>
            <color indexed="81"/>
            <rFont val="Tahoma"/>
            <family val="2"/>
          </rPr>
          <t>Jared, Karessa L.:</t>
        </r>
        <r>
          <rPr>
            <sz val="9"/>
            <color indexed="81"/>
            <rFont val="Tahoma"/>
            <family val="2"/>
          </rPr>
          <t xml:space="preserve">
No Default Given.</t>
        </r>
      </text>
    </comment>
    <comment ref="CO10" authorId="0" shapeId="0" xr:uid="{00000000-0006-0000-0200-000008000000}">
      <text>
        <r>
          <rPr>
            <b/>
            <sz val="9"/>
            <color indexed="81"/>
            <rFont val="Tahoma"/>
            <family val="2"/>
          </rPr>
          <t>Jared, Karessa L.:</t>
        </r>
        <r>
          <rPr>
            <sz val="9"/>
            <color indexed="81"/>
            <rFont val="Tahoma"/>
            <family val="2"/>
          </rPr>
          <t xml:space="preserve">
No Default Given.</t>
        </r>
      </text>
    </comment>
    <comment ref="FU10" authorId="0" shapeId="0" xr:uid="{00000000-0006-0000-0200-000009000000}">
      <text>
        <r>
          <rPr>
            <b/>
            <sz val="9"/>
            <color indexed="81"/>
            <rFont val="Tahoma"/>
            <family val="2"/>
          </rPr>
          <t>Jared, Karessa L.:</t>
        </r>
        <r>
          <rPr>
            <sz val="9"/>
            <color indexed="81"/>
            <rFont val="Tahoma"/>
            <family val="2"/>
          </rPr>
          <t xml:space="preserve">
No Default Given.</t>
        </r>
      </text>
    </comment>
    <comment ref="FX10" authorId="0" shapeId="0" xr:uid="{00000000-0006-0000-0200-00000A000000}">
      <text>
        <r>
          <rPr>
            <b/>
            <sz val="9"/>
            <color indexed="81"/>
            <rFont val="Tahoma"/>
            <family val="2"/>
          </rPr>
          <t>Jared, Karessa L.:</t>
        </r>
        <r>
          <rPr>
            <sz val="9"/>
            <color indexed="81"/>
            <rFont val="Tahoma"/>
            <family val="2"/>
          </rPr>
          <t xml:space="preserve">
No Default Given.</t>
        </r>
      </text>
    </comment>
    <comment ref="CO11" authorId="0" shapeId="0" xr:uid="{00000000-0006-0000-0200-00000B000000}">
      <text>
        <r>
          <rPr>
            <b/>
            <sz val="9"/>
            <color indexed="81"/>
            <rFont val="Tahoma"/>
            <family val="2"/>
          </rPr>
          <t>Jared, Karessa L.:</t>
        </r>
        <r>
          <rPr>
            <sz val="9"/>
            <color indexed="81"/>
            <rFont val="Tahoma"/>
            <family val="2"/>
          </rPr>
          <t xml:space="preserve">
No Default Given.</t>
        </r>
      </text>
    </comment>
    <comment ref="FU11" authorId="0" shapeId="0" xr:uid="{00000000-0006-0000-0200-00000C000000}">
      <text>
        <r>
          <rPr>
            <b/>
            <sz val="9"/>
            <color indexed="81"/>
            <rFont val="Tahoma"/>
            <family val="2"/>
          </rPr>
          <t>Jared, Karessa L.:</t>
        </r>
        <r>
          <rPr>
            <sz val="9"/>
            <color indexed="81"/>
            <rFont val="Tahoma"/>
            <family val="2"/>
          </rPr>
          <t xml:space="preserve">
No Default Given.</t>
        </r>
      </text>
    </comment>
    <comment ref="FX11" authorId="0" shapeId="0" xr:uid="{00000000-0006-0000-0200-00000D000000}">
      <text>
        <r>
          <rPr>
            <b/>
            <sz val="9"/>
            <color indexed="81"/>
            <rFont val="Tahoma"/>
            <family val="2"/>
          </rPr>
          <t>Jared, Karessa L.:</t>
        </r>
        <r>
          <rPr>
            <sz val="9"/>
            <color indexed="81"/>
            <rFont val="Tahoma"/>
            <family val="2"/>
          </rPr>
          <t xml:space="preserve">
No Default Given.</t>
        </r>
      </text>
    </comment>
    <comment ref="CO12" authorId="0" shapeId="0" xr:uid="{00000000-0006-0000-0200-00000E000000}">
      <text>
        <r>
          <rPr>
            <b/>
            <sz val="9"/>
            <color indexed="81"/>
            <rFont val="Tahoma"/>
            <family val="2"/>
          </rPr>
          <t>Jared, Karessa L.:</t>
        </r>
        <r>
          <rPr>
            <sz val="9"/>
            <color indexed="81"/>
            <rFont val="Tahoma"/>
            <family val="2"/>
          </rPr>
          <t xml:space="preserve">
No Default Given.</t>
        </r>
      </text>
    </comment>
    <comment ref="FF12" authorId="0" shapeId="0" xr:uid="{00000000-0006-0000-0200-00000F000000}">
      <text>
        <r>
          <rPr>
            <b/>
            <sz val="9"/>
            <color indexed="81"/>
            <rFont val="Tahoma"/>
            <family val="2"/>
          </rPr>
          <t>Jared, Karessa L.:</t>
        </r>
        <r>
          <rPr>
            <sz val="9"/>
            <color indexed="81"/>
            <rFont val="Tahoma"/>
            <family val="2"/>
          </rPr>
          <t xml:space="preserve">
No Default Given.</t>
        </r>
      </text>
    </comment>
    <comment ref="FU12" authorId="0" shapeId="0" xr:uid="{00000000-0006-0000-0200-000010000000}">
      <text>
        <r>
          <rPr>
            <b/>
            <sz val="9"/>
            <color indexed="81"/>
            <rFont val="Tahoma"/>
            <family val="2"/>
          </rPr>
          <t>Jared, Karessa L.:</t>
        </r>
        <r>
          <rPr>
            <sz val="9"/>
            <color indexed="81"/>
            <rFont val="Tahoma"/>
            <family val="2"/>
          </rPr>
          <t xml:space="preserve">
No Default Given.</t>
        </r>
      </text>
    </comment>
    <comment ref="FX12" authorId="0" shapeId="0" xr:uid="{00000000-0006-0000-0200-000011000000}">
      <text>
        <r>
          <rPr>
            <b/>
            <sz val="9"/>
            <color indexed="81"/>
            <rFont val="Tahoma"/>
            <family val="2"/>
          </rPr>
          <t>Jared, Karessa L.:</t>
        </r>
        <r>
          <rPr>
            <sz val="9"/>
            <color indexed="81"/>
            <rFont val="Tahoma"/>
            <family val="2"/>
          </rPr>
          <t xml:space="preserve">
No Default Given.</t>
        </r>
      </text>
    </comment>
    <comment ref="CO13" authorId="0" shapeId="0" xr:uid="{00000000-0006-0000-0200-000012000000}">
      <text>
        <r>
          <rPr>
            <b/>
            <sz val="9"/>
            <color indexed="81"/>
            <rFont val="Tahoma"/>
            <family val="2"/>
          </rPr>
          <t>Jared, Karessa L.:</t>
        </r>
        <r>
          <rPr>
            <sz val="9"/>
            <color indexed="81"/>
            <rFont val="Tahoma"/>
            <family val="2"/>
          </rPr>
          <t xml:space="preserve">
No Default Given.</t>
        </r>
      </text>
    </comment>
    <comment ref="FF13" authorId="0" shapeId="0" xr:uid="{00000000-0006-0000-0200-000013000000}">
      <text>
        <r>
          <rPr>
            <b/>
            <sz val="9"/>
            <color indexed="81"/>
            <rFont val="Tahoma"/>
            <family val="2"/>
          </rPr>
          <t>Jared, Karessa L.:</t>
        </r>
        <r>
          <rPr>
            <sz val="9"/>
            <color indexed="81"/>
            <rFont val="Tahoma"/>
            <family val="2"/>
          </rPr>
          <t xml:space="preserve">
No Default Given.</t>
        </r>
      </text>
    </comment>
    <comment ref="FU13" authorId="0" shapeId="0" xr:uid="{00000000-0006-0000-0200-000014000000}">
      <text>
        <r>
          <rPr>
            <b/>
            <sz val="9"/>
            <color indexed="81"/>
            <rFont val="Tahoma"/>
            <family val="2"/>
          </rPr>
          <t>Jared, Karessa L.:</t>
        </r>
        <r>
          <rPr>
            <sz val="9"/>
            <color indexed="81"/>
            <rFont val="Tahoma"/>
            <family val="2"/>
          </rPr>
          <t xml:space="preserve">
No Default Given.</t>
        </r>
      </text>
    </comment>
    <comment ref="FX13" authorId="0" shapeId="0" xr:uid="{00000000-0006-0000-0200-000015000000}">
      <text>
        <r>
          <rPr>
            <b/>
            <sz val="9"/>
            <color indexed="81"/>
            <rFont val="Tahoma"/>
            <family val="2"/>
          </rPr>
          <t>Jared, Karessa L.:</t>
        </r>
        <r>
          <rPr>
            <sz val="9"/>
            <color indexed="81"/>
            <rFont val="Tahoma"/>
            <family val="2"/>
          </rPr>
          <t xml:space="preserve">
No Default Given.</t>
        </r>
      </text>
    </comment>
    <comment ref="FX15" authorId="0" shapeId="0" xr:uid="{00000000-0006-0000-0200-000016000000}">
      <text>
        <r>
          <rPr>
            <b/>
            <sz val="9"/>
            <color indexed="81"/>
            <rFont val="Tahoma"/>
            <family val="2"/>
          </rPr>
          <t>Jared, Karessa L.:</t>
        </r>
        <r>
          <rPr>
            <sz val="9"/>
            <color indexed="81"/>
            <rFont val="Tahoma"/>
            <family val="2"/>
          </rPr>
          <t xml:space="preserve">
No Default Given.</t>
        </r>
      </text>
    </comment>
    <comment ref="CR21" authorId="0" shapeId="0" xr:uid="{00000000-0006-0000-0200-000017000000}">
      <text>
        <r>
          <rPr>
            <b/>
            <sz val="9"/>
            <color indexed="81"/>
            <rFont val="Tahoma"/>
            <family val="2"/>
          </rPr>
          <t>Jared, Karessa L.:</t>
        </r>
        <r>
          <rPr>
            <sz val="9"/>
            <color indexed="81"/>
            <rFont val="Tahoma"/>
            <family val="2"/>
          </rPr>
          <t xml:space="preserve">
No Default Given.</t>
        </r>
      </text>
    </comment>
    <comment ref="CL24" authorId="0" shapeId="0" xr:uid="{00000000-0006-0000-0200-000018000000}">
      <text>
        <r>
          <rPr>
            <b/>
            <sz val="9"/>
            <color indexed="81"/>
            <rFont val="Tahoma"/>
            <family val="2"/>
          </rPr>
          <t>Jared, Karessa L.:</t>
        </r>
        <r>
          <rPr>
            <sz val="9"/>
            <color indexed="81"/>
            <rFont val="Tahoma"/>
            <family val="2"/>
          </rPr>
          <t xml:space="preserve">
No Default Given.</t>
        </r>
      </text>
    </comment>
    <comment ref="CO24" authorId="0" shapeId="0" xr:uid="{00000000-0006-0000-0200-000019000000}">
      <text>
        <r>
          <rPr>
            <b/>
            <sz val="9"/>
            <color indexed="81"/>
            <rFont val="Tahoma"/>
            <family val="2"/>
          </rPr>
          <t>Jared, Karessa L.:</t>
        </r>
        <r>
          <rPr>
            <sz val="9"/>
            <color indexed="81"/>
            <rFont val="Tahoma"/>
            <family val="2"/>
          </rPr>
          <t xml:space="preserve">
No Default Given.</t>
        </r>
      </text>
    </comment>
    <comment ref="CO25" authorId="0" shapeId="0" xr:uid="{00000000-0006-0000-0200-00001A000000}">
      <text>
        <r>
          <rPr>
            <b/>
            <sz val="9"/>
            <color indexed="81"/>
            <rFont val="Tahoma"/>
            <family val="2"/>
          </rPr>
          <t>Jared, Karessa L.:</t>
        </r>
        <r>
          <rPr>
            <sz val="9"/>
            <color indexed="81"/>
            <rFont val="Tahoma"/>
            <family val="2"/>
          </rPr>
          <t xml:space="preserve">
No Default Given.</t>
        </r>
      </text>
    </comment>
    <comment ref="CO26" authorId="0" shapeId="0" xr:uid="{00000000-0006-0000-0200-00001B000000}">
      <text>
        <r>
          <rPr>
            <b/>
            <sz val="9"/>
            <color indexed="81"/>
            <rFont val="Tahoma"/>
            <family val="2"/>
          </rPr>
          <t>Jared, Karessa L.:</t>
        </r>
        <r>
          <rPr>
            <sz val="9"/>
            <color indexed="81"/>
            <rFont val="Tahoma"/>
            <family val="2"/>
          </rPr>
          <t xml:space="preserve">
No Default Given.</t>
        </r>
      </text>
    </comment>
    <comment ref="CO27" authorId="0" shapeId="0" xr:uid="{00000000-0006-0000-0200-00001C000000}">
      <text>
        <r>
          <rPr>
            <b/>
            <sz val="9"/>
            <color indexed="81"/>
            <rFont val="Tahoma"/>
            <family val="2"/>
          </rPr>
          <t>Jared, Karessa L.:</t>
        </r>
        <r>
          <rPr>
            <sz val="9"/>
            <color indexed="81"/>
            <rFont val="Tahoma"/>
            <family val="2"/>
          </rPr>
          <t xml:space="preserve">
No Default Given.</t>
        </r>
      </text>
    </comment>
    <comment ref="FX27" authorId="0" shapeId="0" xr:uid="{00000000-0006-0000-0200-00001D000000}">
      <text>
        <r>
          <rPr>
            <b/>
            <sz val="9"/>
            <color indexed="81"/>
            <rFont val="Tahoma"/>
            <family val="2"/>
          </rPr>
          <t>Jared, Karessa L.:</t>
        </r>
        <r>
          <rPr>
            <sz val="9"/>
            <color indexed="81"/>
            <rFont val="Tahoma"/>
            <family val="2"/>
          </rPr>
          <t xml:space="preserve">
No Default Given.</t>
        </r>
      </text>
    </comment>
    <comment ref="CO28" authorId="0" shapeId="0" xr:uid="{00000000-0006-0000-0200-00001E000000}">
      <text>
        <r>
          <rPr>
            <b/>
            <sz val="9"/>
            <color indexed="81"/>
            <rFont val="Tahoma"/>
            <family val="2"/>
          </rPr>
          <t>Jared, Karessa L.:</t>
        </r>
        <r>
          <rPr>
            <sz val="9"/>
            <color indexed="81"/>
            <rFont val="Tahoma"/>
            <family val="2"/>
          </rPr>
          <t xml:space="preserve">
No Default Given.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300-000001000000}">
      <text>
        <r>
          <rPr>
            <b/>
            <sz val="9"/>
            <color indexed="81"/>
            <rFont val="Tahoma"/>
            <family val="2"/>
          </rPr>
          <t>Jared, Karessa L.:</t>
        </r>
        <r>
          <rPr>
            <sz val="9"/>
            <color indexed="81"/>
            <rFont val="Tahoma"/>
            <family val="2"/>
          </rPr>
          <t xml:space="preserve">
No Default Given.</t>
        </r>
      </text>
    </comment>
    <comment ref="CR6" authorId="0" shapeId="0" xr:uid="{00000000-0006-0000-0300-000002000000}">
      <text>
        <r>
          <rPr>
            <b/>
            <sz val="9"/>
            <color indexed="81"/>
            <rFont val="Tahoma"/>
            <family val="2"/>
          </rPr>
          <t>Jared, Karessa L.:</t>
        </r>
        <r>
          <rPr>
            <sz val="9"/>
            <color indexed="81"/>
            <rFont val="Tahoma"/>
            <family val="2"/>
          </rPr>
          <t xml:space="preserve">
No Default Given.</t>
        </r>
      </text>
    </comment>
    <comment ref="FO6" authorId="0" shapeId="0" xr:uid="{00000000-0006-0000-0300-000003000000}">
      <text>
        <r>
          <rPr>
            <b/>
            <sz val="9"/>
            <color indexed="81"/>
            <rFont val="Tahoma"/>
            <family val="2"/>
          </rPr>
          <t>Jared, Karessa L.:</t>
        </r>
        <r>
          <rPr>
            <sz val="9"/>
            <color indexed="81"/>
            <rFont val="Tahoma"/>
            <family val="2"/>
          </rPr>
          <t xml:space="preserve">
No Default Given.</t>
        </r>
      </text>
    </comment>
    <comment ref="CL9" authorId="0" shapeId="0" xr:uid="{00000000-0006-0000-0300-000004000000}">
      <text>
        <r>
          <rPr>
            <b/>
            <sz val="9"/>
            <color indexed="81"/>
            <rFont val="Tahoma"/>
            <family val="2"/>
          </rPr>
          <t>Jared, Karessa L.:</t>
        </r>
        <r>
          <rPr>
            <sz val="9"/>
            <color indexed="81"/>
            <rFont val="Tahoma"/>
            <family val="2"/>
          </rPr>
          <t xml:space="preserve">
No Default Given.</t>
        </r>
      </text>
    </comment>
    <comment ref="CO9" authorId="0" shapeId="0" xr:uid="{00000000-0006-0000-0300-000005000000}">
      <text>
        <r>
          <rPr>
            <b/>
            <sz val="9"/>
            <color indexed="81"/>
            <rFont val="Tahoma"/>
            <family val="2"/>
          </rPr>
          <t>Jared, Karessa L.:</t>
        </r>
        <r>
          <rPr>
            <sz val="9"/>
            <color indexed="81"/>
            <rFont val="Tahoma"/>
            <family val="2"/>
          </rPr>
          <t xml:space="preserve">
No Default Given.</t>
        </r>
      </text>
    </comment>
    <comment ref="FU9" authorId="0" shapeId="0" xr:uid="{00000000-0006-0000-0300-000006000000}">
      <text>
        <r>
          <rPr>
            <b/>
            <sz val="9"/>
            <color indexed="81"/>
            <rFont val="Tahoma"/>
            <family val="2"/>
          </rPr>
          <t>Jared, Karessa L.:</t>
        </r>
        <r>
          <rPr>
            <sz val="9"/>
            <color indexed="81"/>
            <rFont val="Tahoma"/>
            <family val="2"/>
          </rPr>
          <t xml:space="preserve">
No Default Given.</t>
        </r>
      </text>
    </comment>
    <comment ref="FX9" authorId="0" shapeId="0" xr:uid="{00000000-0006-0000-0300-000007000000}">
      <text>
        <r>
          <rPr>
            <b/>
            <sz val="9"/>
            <color indexed="81"/>
            <rFont val="Tahoma"/>
            <family val="2"/>
          </rPr>
          <t>Jared, Karessa L.:</t>
        </r>
        <r>
          <rPr>
            <sz val="9"/>
            <color indexed="81"/>
            <rFont val="Tahoma"/>
            <family val="2"/>
          </rPr>
          <t xml:space="preserve">
No Default Given.</t>
        </r>
      </text>
    </comment>
    <comment ref="CO10" authorId="0" shapeId="0" xr:uid="{00000000-0006-0000-0300-000008000000}">
      <text>
        <r>
          <rPr>
            <b/>
            <sz val="9"/>
            <color indexed="81"/>
            <rFont val="Tahoma"/>
            <family val="2"/>
          </rPr>
          <t>Jared, Karessa L.:</t>
        </r>
        <r>
          <rPr>
            <sz val="9"/>
            <color indexed="81"/>
            <rFont val="Tahoma"/>
            <family val="2"/>
          </rPr>
          <t xml:space="preserve">
No Default Given.</t>
        </r>
      </text>
    </comment>
    <comment ref="FU10" authorId="0" shapeId="0" xr:uid="{00000000-0006-0000-0300-000009000000}">
      <text>
        <r>
          <rPr>
            <b/>
            <sz val="9"/>
            <color indexed="81"/>
            <rFont val="Tahoma"/>
            <family val="2"/>
          </rPr>
          <t>Jared, Karessa L.:</t>
        </r>
        <r>
          <rPr>
            <sz val="9"/>
            <color indexed="81"/>
            <rFont val="Tahoma"/>
            <family val="2"/>
          </rPr>
          <t xml:space="preserve">
No Default Given.</t>
        </r>
      </text>
    </comment>
    <comment ref="FX10" authorId="0" shapeId="0" xr:uid="{00000000-0006-0000-0300-00000A000000}">
      <text>
        <r>
          <rPr>
            <b/>
            <sz val="9"/>
            <color indexed="81"/>
            <rFont val="Tahoma"/>
            <family val="2"/>
          </rPr>
          <t>Jared, Karessa L.:</t>
        </r>
        <r>
          <rPr>
            <sz val="9"/>
            <color indexed="81"/>
            <rFont val="Tahoma"/>
            <family val="2"/>
          </rPr>
          <t xml:space="preserve">
No Default Given.</t>
        </r>
      </text>
    </comment>
    <comment ref="CO11" authorId="0" shapeId="0" xr:uid="{00000000-0006-0000-0300-00000B000000}">
      <text>
        <r>
          <rPr>
            <b/>
            <sz val="9"/>
            <color indexed="81"/>
            <rFont val="Tahoma"/>
            <family val="2"/>
          </rPr>
          <t>Jared, Karessa L.:</t>
        </r>
        <r>
          <rPr>
            <sz val="9"/>
            <color indexed="81"/>
            <rFont val="Tahoma"/>
            <family val="2"/>
          </rPr>
          <t xml:space="preserve">
No Default Given.</t>
        </r>
      </text>
    </comment>
    <comment ref="FU11" authorId="0" shapeId="0" xr:uid="{00000000-0006-0000-0300-00000C000000}">
      <text>
        <r>
          <rPr>
            <b/>
            <sz val="9"/>
            <color indexed="81"/>
            <rFont val="Tahoma"/>
            <family val="2"/>
          </rPr>
          <t>Jared, Karessa L.:</t>
        </r>
        <r>
          <rPr>
            <sz val="9"/>
            <color indexed="81"/>
            <rFont val="Tahoma"/>
            <family val="2"/>
          </rPr>
          <t xml:space="preserve">
No Default Given.</t>
        </r>
      </text>
    </comment>
    <comment ref="FX11" authorId="0" shapeId="0" xr:uid="{00000000-0006-0000-0300-00000D000000}">
      <text>
        <r>
          <rPr>
            <b/>
            <sz val="9"/>
            <color indexed="81"/>
            <rFont val="Tahoma"/>
            <family val="2"/>
          </rPr>
          <t>Jared, Karessa L.:</t>
        </r>
        <r>
          <rPr>
            <sz val="9"/>
            <color indexed="81"/>
            <rFont val="Tahoma"/>
            <family val="2"/>
          </rPr>
          <t xml:space="preserve">
No Default Given.</t>
        </r>
      </text>
    </comment>
    <comment ref="CO12" authorId="0" shapeId="0" xr:uid="{00000000-0006-0000-0300-00000E000000}">
      <text>
        <r>
          <rPr>
            <b/>
            <sz val="9"/>
            <color indexed="81"/>
            <rFont val="Tahoma"/>
            <family val="2"/>
          </rPr>
          <t>Jared, Karessa L.:</t>
        </r>
        <r>
          <rPr>
            <sz val="9"/>
            <color indexed="81"/>
            <rFont val="Tahoma"/>
            <family val="2"/>
          </rPr>
          <t xml:space="preserve">
No Default Given.</t>
        </r>
      </text>
    </comment>
    <comment ref="FF12" authorId="0" shapeId="0" xr:uid="{00000000-0006-0000-0300-00000F000000}">
      <text>
        <r>
          <rPr>
            <b/>
            <sz val="9"/>
            <color indexed="81"/>
            <rFont val="Tahoma"/>
            <family val="2"/>
          </rPr>
          <t>Jared, Karessa L.:</t>
        </r>
        <r>
          <rPr>
            <sz val="9"/>
            <color indexed="81"/>
            <rFont val="Tahoma"/>
            <family val="2"/>
          </rPr>
          <t xml:space="preserve">
No Default Given.</t>
        </r>
      </text>
    </comment>
    <comment ref="FU12" authorId="0" shapeId="0" xr:uid="{00000000-0006-0000-0300-000010000000}">
      <text>
        <r>
          <rPr>
            <b/>
            <sz val="9"/>
            <color indexed="81"/>
            <rFont val="Tahoma"/>
            <family val="2"/>
          </rPr>
          <t>Jared, Karessa L.:</t>
        </r>
        <r>
          <rPr>
            <sz val="9"/>
            <color indexed="81"/>
            <rFont val="Tahoma"/>
            <family val="2"/>
          </rPr>
          <t xml:space="preserve">
No Default Given.</t>
        </r>
      </text>
    </comment>
    <comment ref="FX12" authorId="0" shapeId="0" xr:uid="{00000000-0006-0000-0300-000011000000}">
      <text>
        <r>
          <rPr>
            <b/>
            <sz val="9"/>
            <color indexed="81"/>
            <rFont val="Tahoma"/>
            <family val="2"/>
          </rPr>
          <t>Jared, Karessa L.:</t>
        </r>
        <r>
          <rPr>
            <sz val="9"/>
            <color indexed="81"/>
            <rFont val="Tahoma"/>
            <family val="2"/>
          </rPr>
          <t xml:space="preserve">
No Default Given.</t>
        </r>
      </text>
    </comment>
    <comment ref="CO13" authorId="0" shapeId="0" xr:uid="{00000000-0006-0000-0300-000012000000}">
      <text>
        <r>
          <rPr>
            <b/>
            <sz val="9"/>
            <color indexed="81"/>
            <rFont val="Tahoma"/>
            <family val="2"/>
          </rPr>
          <t>Jared, Karessa L.:</t>
        </r>
        <r>
          <rPr>
            <sz val="9"/>
            <color indexed="81"/>
            <rFont val="Tahoma"/>
            <family val="2"/>
          </rPr>
          <t xml:space="preserve">
No Default Given.</t>
        </r>
      </text>
    </comment>
    <comment ref="FF13" authorId="0" shapeId="0" xr:uid="{00000000-0006-0000-0300-000013000000}">
      <text>
        <r>
          <rPr>
            <b/>
            <sz val="9"/>
            <color indexed="81"/>
            <rFont val="Tahoma"/>
            <family val="2"/>
          </rPr>
          <t>Jared, Karessa L.:</t>
        </r>
        <r>
          <rPr>
            <sz val="9"/>
            <color indexed="81"/>
            <rFont val="Tahoma"/>
            <family val="2"/>
          </rPr>
          <t xml:space="preserve">
No Default Given.</t>
        </r>
      </text>
    </comment>
    <comment ref="FU13" authorId="0" shapeId="0" xr:uid="{00000000-0006-0000-0300-000014000000}">
      <text>
        <r>
          <rPr>
            <b/>
            <sz val="9"/>
            <color indexed="81"/>
            <rFont val="Tahoma"/>
            <family val="2"/>
          </rPr>
          <t>Jared, Karessa L.:</t>
        </r>
        <r>
          <rPr>
            <sz val="9"/>
            <color indexed="81"/>
            <rFont val="Tahoma"/>
            <family val="2"/>
          </rPr>
          <t xml:space="preserve">
No Default Given.</t>
        </r>
      </text>
    </comment>
    <comment ref="FX13" authorId="0" shapeId="0" xr:uid="{00000000-0006-0000-0300-000015000000}">
      <text>
        <r>
          <rPr>
            <b/>
            <sz val="9"/>
            <color indexed="81"/>
            <rFont val="Tahoma"/>
            <family val="2"/>
          </rPr>
          <t>Jared, Karessa L.:</t>
        </r>
        <r>
          <rPr>
            <sz val="9"/>
            <color indexed="81"/>
            <rFont val="Tahoma"/>
            <family val="2"/>
          </rPr>
          <t xml:space="preserve">
No Default Given.</t>
        </r>
      </text>
    </comment>
    <comment ref="FX15" authorId="0" shapeId="0" xr:uid="{00000000-0006-0000-0300-000016000000}">
      <text>
        <r>
          <rPr>
            <b/>
            <sz val="9"/>
            <color indexed="81"/>
            <rFont val="Tahoma"/>
            <family val="2"/>
          </rPr>
          <t>Jared, Karessa L.:</t>
        </r>
        <r>
          <rPr>
            <sz val="9"/>
            <color indexed="81"/>
            <rFont val="Tahoma"/>
            <family val="2"/>
          </rPr>
          <t xml:space="preserve">
No Default Given.</t>
        </r>
      </text>
    </comment>
    <comment ref="CR21" authorId="0" shapeId="0" xr:uid="{00000000-0006-0000-0300-000017000000}">
      <text>
        <r>
          <rPr>
            <b/>
            <sz val="9"/>
            <color indexed="81"/>
            <rFont val="Tahoma"/>
            <family val="2"/>
          </rPr>
          <t>Jared, Karessa L.:</t>
        </r>
        <r>
          <rPr>
            <sz val="9"/>
            <color indexed="81"/>
            <rFont val="Tahoma"/>
            <family val="2"/>
          </rPr>
          <t xml:space="preserve">
No Default Given.</t>
        </r>
      </text>
    </comment>
    <comment ref="CL24" authorId="0" shapeId="0" xr:uid="{00000000-0006-0000-0300-000018000000}">
      <text>
        <r>
          <rPr>
            <b/>
            <sz val="9"/>
            <color indexed="81"/>
            <rFont val="Tahoma"/>
            <family val="2"/>
          </rPr>
          <t>Jared, Karessa L.:</t>
        </r>
        <r>
          <rPr>
            <sz val="9"/>
            <color indexed="81"/>
            <rFont val="Tahoma"/>
            <family val="2"/>
          </rPr>
          <t xml:space="preserve">
No Default Given.</t>
        </r>
      </text>
    </comment>
    <comment ref="CO24" authorId="0" shapeId="0" xr:uid="{00000000-0006-0000-0300-000019000000}">
      <text>
        <r>
          <rPr>
            <b/>
            <sz val="9"/>
            <color indexed="81"/>
            <rFont val="Tahoma"/>
            <family val="2"/>
          </rPr>
          <t>Jared, Karessa L.:</t>
        </r>
        <r>
          <rPr>
            <sz val="9"/>
            <color indexed="81"/>
            <rFont val="Tahoma"/>
            <family val="2"/>
          </rPr>
          <t xml:space="preserve">
No Default Given.</t>
        </r>
      </text>
    </comment>
    <comment ref="CO25" authorId="0" shapeId="0" xr:uid="{00000000-0006-0000-0300-00001A000000}">
      <text>
        <r>
          <rPr>
            <b/>
            <sz val="9"/>
            <color indexed="81"/>
            <rFont val="Tahoma"/>
            <family val="2"/>
          </rPr>
          <t>Jared, Karessa L.:</t>
        </r>
        <r>
          <rPr>
            <sz val="9"/>
            <color indexed="81"/>
            <rFont val="Tahoma"/>
            <family val="2"/>
          </rPr>
          <t xml:space="preserve">
No Default Given.</t>
        </r>
      </text>
    </comment>
    <comment ref="CO26" authorId="0" shapeId="0" xr:uid="{00000000-0006-0000-0300-00001B000000}">
      <text>
        <r>
          <rPr>
            <b/>
            <sz val="9"/>
            <color indexed="81"/>
            <rFont val="Tahoma"/>
            <family val="2"/>
          </rPr>
          <t>Jared, Karessa L.:</t>
        </r>
        <r>
          <rPr>
            <sz val="9"/>
            <color indexed="81"/>
            <rFont val="Tahoma"/>
            <family val="2"/>
          </rPr>
          <t xml:space="preserve">
No Default Given.</t>
        </r>
      </text>
    </comment>
    <comment ref="CO27" authorId="0" shapeId="0" xr:uid="{00000000-0006-0000-0300-00001C000000}">
      <text>
        <r>
          <rPr>
            <b/>
            <sz val="9"/>
            <color indexed="81"/>
            <rFont val="Tahoma"/>
            <family val="2"/>
          </rPr>
          <t>Jared, Karessa L.:</t>
        </r>
        <r>
          <rPr>
            <sz val="9"/>
            <color indexed="81"/>
            <rFont val="Tahoma"/>
            <family val="2"/>
          </rPr>
          <t xml:space="preserve">
No Default Given.</t>
        </r>
      </text>
    </comment>
    <comment ref="FX27" authorId="0" shapeId="0" xr:uid="{00000000-0006-0000-0300-00001D000000}">
      <text>
        <r>
          <rPr>
            <b/>
            <sz val="9"/>
            <color indexed="81"/>
            <rFont val="Tahoma"/>
            <family val="2"/>
          </rPr>
          <t>Jared, Karessa L.:</t>
        </r>
        <r>
          <rPr>
            <sz val="9"/>
            <color indexed="81"/>
            <rFont val="Tahoma"/>
            <family val="2"/>
          </rPr>
          <t xml:space="preserve">
No Default Given.</t>
        </r>
      </text>
    </comment>
    <comment ref="CO28" authorId="0" shapeId="0" xr:uid="{00000000-0006-0000-0300-00001E000000}">
      <text>
        <r>
          <rPr>
            <b/>
            <sz val="9"/>
            <color indexed="81"/>
            <rFont val="Tahoma"/>
            <family val="2"/>
          </rPr>
          <t>Jared, Karessa L.:</t>
        </r>
        <r>
          <rPr>
            <sz val="9"/>
            <color indexed="81"/>
            <rFont val="Tahoma"/>
            <family val="2"/>
          </rPr>
          <t xml:space="preserve">
No Default Given.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400-000001000000}">
      <text>
        <r>
          <rPr>
            <b/>
            <sz val="9"/>
            <color indexed="81"/>
            <rFont val="Tahoma"/>
            <family val="2"/>
          </rPr>
          <t>Jared, Karessa L.:</t>
        </r>
        <r>
          <rPr>
            <sz val="9"/>
            <color indexed="81"/>
            <rFont val="Tahoma"/>
            <family val="2"/>
          </rPr>
          <t xml:space="preserve">
No Default Given.</t>
        </r>
      </text>
    </comment>
    <comment ref="CR6" authorId="0" shapeId="0" xr:uid="{00000000-0006-0000-0400-000002000000}">
      <text>
        <r>
          <rPr>
            <b/>
            <sz val="9"/>
            <color indexed="81"/>
            <rFont val="Tahoma"/>
            <family val="2"/>
          </rPr>
          <t>Jared, Karessa L.:</t>
        </r>
        <r>
          <rPr>
            <sz val="9"/>
            <color indexed="81"/>
            <rFont val="Tahoma"/>
            <family val="2"/>
          </rPr>
          <t xml:space="preserve">
No Default Given.</t>
        </r>
      </text>
    </comment>
    <comment ref="FO6" authorId="0" shapeId="0" xr:uid="{00000000-0006-0000-0400-000003000000}">
      <text>
        <r>
          <rPr>
            <b/>
            <sz val="9"/>
            <color indexed="81"/>
            <rFont val="Tahoma"/>
            <family val="2"/>
          </rPr>
          <t>Jared, Karessa L.:</t>
        </r>
        <r>
          <rPr>
            <sz val="9"/>
            <color indexed="81"/>
            <rFont val="Tahoma"/>
            <family val="2"/>
          </rPr>
          <t xml:space="preserve">
No Default Given.</t>
        </r>
      </text>
    </comment>
    <comment ref="CL9" authorId="0" shapeId="0" xr:uid="{00000000-0006-0000-0400-000004000000}">
      <text>
        <r>
          <rPr>
            <b/>
            <sz val="9"/>
            <color indexed="81"/>
            <rFont val="Tahoma"/>
            <family val="2"/>
          </rPr>
          <t>Jared, Karessa L.:</t>
        </r>
        <r>
          <rPr>
            <sz val="9"/>
            <color indexed="81"/>
            <rFont val="Tahoma"/>
            <family val="2"/>
          </rPr>
          <t xml:space="preserve">
No Default Given.</t>
        </r>
      </text>
    </comment>
    <comment ref="CO9" authorId="0" shapeId="0" xr:uid="{00000000-0006-0000-0400-000005000000}">
      <text>
        <r>
          <rPr>
            <b/>
            <sz val="9"/>
            <color indexed="81"/>
            <rFont val="Tahoma"/>
            <family val="2"/>
          </rPr>
          <t>Jared, Karessa L.:</t>
        </r>
        <r>
          <rPr>
            <sz val="9"/>
            <color indexed="81"/>
            <rFont val="Tahoma"/>
            <family val="2"/>
          </rPr>
          <t xml:space="preserve">
No Default Given.</t>
        </r>
      </text>
    </comment>
    <comment ref="FU9" authorId="0" shapeId="0" xr:uid="{00000000-0006-0000-0400-000006000000}">
      <text>
        <r>
          <rPr>
            <b/>
            <sz val="9"/>
            <color indexed="81"/>
            <rFont val="Tahoma"/>
            <family val="2"/>
          </rPr>
          <t>Jared, Karessa L.:</t>
        </r>
        <r>
          <rPr>
            <sz val="9"/>
            <color indexed="81"/>
            <rFont val="Tahoma"/>
            <family val="2"/>
          </rPr>
          <t xml:space="preserve">
No Default Given.</t>
        </r>
      </text>
    </comment>
    <comment ref="FX9" authorId="0" shapeId="0" xr:uid="{00000000-0006-0000-0400-000007000000}">
      <text>
        <r>
          <rPr>
            <b/>
            <sz val="9"/>
            <color indexed="81"/>
            <rFont val="Tahoma"/>
            <family val="2"/>
          </rPr>
          <t>Jared, Karessa L.:</t>
        </r>
        <r>
          <rPr>
            <sz val="9"/>
            <color indexed="81"/>
            <rFont val="Tahoma"/>
            <family val="2"/>
          </rPr>
          <t xml:space="preserve">
No Default Given.</t>
        </r>
      </text>
    </comment>
    <comment ref="CO10" authorId="0" shapeId="0" xr:uid="{00000000-0006-0000-0400-000008000000}">
      <text>
        <r>
          <rPr>
            <b/>
            <sz val="9"/>
            <color indexed="81"/>
            <rFont val="Tahoma"/>
            <family val="2"/>
          </rPr>
          <t>Jared, Karessa L.:</t>
        </r>
        <r>
          <rPr>
            <sz val="9"/>
            <color indexed="81"/>
            <rFont val="Tahoma"/>
            <family val="2"/>
          </rPr>
          <t xml:space="preserve">
No Default Given.</t>
        </r>
      </text>
    </comment>
    <comment ref="FU10" authorId="0" shapeId="0" xr:uid="{00000000-0006-0000-0400-000009000000}">
      <text>
        <r>
          <rPr>
            <b/>
            <sz val="9"/>
            <color indexed="81"/>
            <rFont val="Tahoma"/>
            <family val="2"/>
          </rPr>
          <t>Jared, Karessa L.:</t>
        </r>
        <r>
          <rPr>
            <sz val="9"/>
            <color indexed="81"/>
            <rFont val="Tahoma"/>
            <family val="2"/>
          </rPr>
          <t xml:space="preserve">
No Default Given.</t>
        </r>
      </text>
    </comment>
    <comment ref="FX10" authorId="0" shapeId="0" xr:uid="{00000000-0006-0000-0400-00000A000000}">
      <text>
        <r>
          <rPr>
            <b/>
            <sz val="9"/>
            <color indexed="81"/>
            <rFont val="Tahoma"/>
            <family val="2"/>
          </rPr>
          <t>Jared, Karessa L.:</t>
        </r>
        <r>
          <rPr>
            <sz val="9"/>
            <color indexed="81"/>
            <rFont val="Tahoma"/>
            <family val="2"/>
          </rPr>
          <t xml:space="preserve">
No Default Given.</t>
        </r>
      </text>
    </comment>
    <comment ref="CO11" authorId="0" shapeId="0" xr:uid="{00000000-0006-0000-0400-00000B000000}">
      <text>
        <r>
          <rPr>
            <b/>
            <sz val="9"/>
            <color indexed="81"/>
            <rFont val="Tahoma"/>
            <family val="2"/>
          </rPr>
          <t>Jared, Karessa L.:</t>
        </r>
        <r>
          <rPr>
            <sz val="9"/>
            <color indexed="81"/>
            <rFont val="Tahoma"/>
            <family val="2"/>
          </rPr>
          <t xml:space="preserve">
No Default Given.</t>
        </r>
      </text>
    </comment>
    <comment ref="FU11" authorId="0" shapeId="0" xr:uid="{00000000-0006-0000-0400-00000C000000}">
      <text>
        <r>
          <rPr>
            <b/>
            <sz val="9"/>
            <color indexed="81"/>
            <rFont val="Tahoma"/>
            <family val="2"/>
          </rPr>
          <t>Jared, Karessa L.:</t>
        </r>
        <r>
          <rPr>
            <sz val="9"/>
            <color indexed="81"/>
            <rFont val="Tahoma"/>
            <family val="2"/>
          </rPr>
          <t xml:space="preserve">
No Default Given.</t>
        </r>
      </text>
    </comment>
    <comment ref="FX11" authorId="0" shapeId="0" xr:uid="{00000000-0006-0000-0400-00000D000000}">
      <text>
        <r>
          <rPr>
            <b/>
            <sz val="9"/>
            <color indexed="81"/>
            <rFont val="Tahoma"/>
            <family val="2"/>
          </rPr>
          <t>Jared, Karessa L.:</t>
        </r>
        <r>
          <rPr>
            <sz val="9"/>
            <color indexed="81"/>
            <rFont val="Tahoma"/>
            <family val="2"/>
          </rPr>
          <t xml:space="preserve">
No Default Given.</t>
        </r>
      </text>
    </comment>
    <comment ref="CO12" authorId="0" shapeId="0" xr:uid="{00000000-0006-0000-0400-00000E000000}">
      <text>
        <r>
          <rPr>
            <b/>
            <sz val="9"/>
            <color indexed="81"/>
            <rFont val="Tahoma"/>
            <family val="2"/>
          </rPr>
          <t>Jared, Karessa L.:</t>
        </r>
        <r>
          <rPr>
            <sz val="9"/>
            <color indexed="81"/>
            <rFont val="Tahoma"/>
            <family val="2"/>
          </rPr>
          <t xml:space="preserve">
No Default Given.</t>
        </r>
      </text>
    </comment>
    <comment ref="FF12" authorId="0" shapeId="0" xr:uid="{00000000-0006-0000-0400-00000F000000}">
      <text>
        <r>
          <rPr>
            <b/>
            <sz val="9"/>
            <color indexed="81"/>
            <rFont val="Tahoma"/>
            <family val="2"/>
          </rPr>
          <t>Jared, Karessa L.:</t>
        </r>
        <r>
          <rPr>
            <sz val="9"/>
            <color indexed="81"/>
            <rFont val="Tahoma"/>
            <family val="2"/>
          </rPr>
          <t xml:space="preserve">
No Default Given.</t>
        </r>
      </text>
    </comment>
    <comment ref="FU12" authorId="0" shapeId="0" xr:uid="{00000000-0006-0000-0400-000010000000}">
      <text>
        <r>
          <rPr>
            <b/>
            <sz val="9"/>
            <color indexed="81"/>
            <rFont val="Tahoma"/>
            <family val="2"/>
          </rPr>
          <t>Jared, Karessa L.:</t>
        </r>
        <r>
          <rPr>
            <sz val="9"/>
            <color indexed="81"/>
            <rFont val="Tahoma"/>
            <family val="2"/>
          </rPr>
          <t xml:space="preserve">
No Default Given.</t>
        </r>
      </text>
    </comment>
    <comment ref="FX12" authorId="0" shapeId="0" xr:uid="{00000000-0006-0000-0400-000011000000}">
      <text>
        <r>
          <rPr>
            <b/>
            <sz val="9"/>
            <color indexed="81"/>
            <rFont val="Tahoma"/>
            <family val="2"/>
          </rPr>
          <t>Jared, Karessa L.:</t>
        </r>
        <r>
          <rPr>
            <sz val="9"/>
            <color indexed="81"/>
            <rFont val="Tahoma"/>
            <family val="2"/>
          </rPr>
          <t xml:space="preserve">
No Default Given.</t>
        </r>
      </text>
    </comment>
    <comment ref="CO13" authorId="0" shapeId="0" xr:uid="{00000000-0006-0000-0400-000012000000}">
      <text>
        <r>
          <rPr>
            <b/>
            <sz val="9"/>
            <color indexed="81"/>
            <rFont val="Tahoma"/>
            <family val="2"/>
          </rPr>
          <t>Jared, Karessa L.:</t>
        </r>
        <r>
          <rPr>
            <sz val="9"/>
            <color indexed="81"/>
            <rFont val="Tahoma"/>
            <family val="2"/>
          </rPr>
          <t xml:space="preserve">
No Default Given.</t>
        </r>
      </text>
    </comment>
    <comment ref="FF13" authorId="0" shapeId="0" xr:uid="{00000000-0006-0000-0400-000013000000}">
      <text>
        <r>
          <rPr>
            <b/>
            <sz val="9"/>
            <color indexed="81"/>
            <rFont val="Tahoma"/>
            <family val="2"/>
          </rPr>
          <t>Jared, Karessa L.:</t>
        </r>
        <r>
          <rPr>
            <sz val="9"/>
            <color indexed="81"/>
            <rFont val="Tahoma"/>
            <family val="2"/>
          </rPr>
          <t xml:space="preserve">
No Default Given.</t>
        </r>
      </text>
    </comment>
    <comment ref="FU13" authorId="0" shapeId="0" xr:uid="{00000000-0006-0000-0400-000014000000}">
      <text>
        <r>
          <rPr>
            <b/>
            <sz val="9"/>
            <color indexed="81"/>
            <rFont val="Tahoma"/>
            <family val="2"/>
          </rPr>
          <t>Jared, Karessa L.:</t>
        </r>
        <r>
          <rPr>
            <sz val="9"/>
            <color indexed="81"/>
            <rFont val="Tahoma"/>
            <family val="2"/>
          </rPr>
          <t xml:space="preserve">
No Default Given.</t>
        </r>
      </text>
    </comment>
    <comment ref="FX13" authorId="0" shapeId="0" xr:uid="{00000000-0006-0000-0400-000015000000}">
      <text>
        <r>
          <rPr>
            <b/>
            <sz val="9"/>
            <color indexed="81"/>
            <rFont val="Tahoma"/>
            <family val="2"/>
          </rPr>
          <t>Jared, Karessa L.:</t>
        </r>
        <r>
          <rPr>
            <sz val="9"/>
            <color indexed="81"/>
            <rFont val="Tahoma"/>
            <family val="2"/>
          </rPr>
          <t xml:space="preserve">
No Default Given.</t>
        </r>
      </text>
    </comment>
    <comment ref="FX15" authorId="0" shapeId="0" xr:uid="{00000000-0006-0000-0400-000016000000}">
      <text>
        <r>
          <rPr>
            <b/>
            <sz val="9"/>
            <color indexed="81"/>
            <rFont val="Tahoma"/>
            <family val="2"/>
          </rPr>
          <t>Jared, Karessa L.:</t>
        </r>
        <r>
          <rPr>
            <sz val="9"/>
            <color indexed="81"/>
            <rFont val="Tahoma"/>
            <family val="2"/>
          </rPr>
          <t xml:space="preserve">
No Default Given.</t>
        </r>
      </text>
    </comment>
    <comment ref="CR21" authorId="0" shapeId="0" xr:uid="{00000000-0006-0000-0400-000017000000}">
      <text>
        <r>
          <rPr>
            <b/>
            <sz val="9"/>
            <color indexed="81"/>
            <rFont val="Tahoma"/>
            <family val="2"/>
          </rPr>
          <t>Jared, Karessa L.:</t>
        </r>
        <r>
          <rPr>
            <sz val="9"/>
            <color indexed="81"/>
            <rFont val="Tahoma"/>
            <family val="2"/>
          </rPr>
          <t xml:space="preserve">
No Default Given.</t>
        </r>
      </text>
    </comment>
    <comment ref="CL24" authorId="0" shapeId="0" xr:uid="{00000000-0006-0000-0400-000018000000}">
      <text>
        <r>
          <rPr>
            <b/>
            <sz val="9"/>
            <color indexed="81"/>
            <rFont val="Tahoma"/>
            <family val="2"/>
          </rPr>
          <t>Jared, Karessa L.:</t>
        </r>
        <r>
          <rPr>
            <sz val="9"/>
            <color indexed="81"/>
            <rFont val="Tahoma"/>
            <family val="2"/>
          </rPr>
          <t xml:space="preserve">
No Default Given.</t>
        </r>
      </text>
    </comment>
    <comment ref="CO24" authorId="0" shapeId="0" xr:uid="{00000000-0006-0000-0400-000019000000}">
      <text>
        <r>
          <rPr>
            <b/>
            <sz val="9"/>
            <color indexed="81"/>
            <rFont val="Tahoma"/>
            <family val="2"/>
          </rPr>
          <t>Jared, Karessa L.:</t>
        </r>
        <r>
          <rPr>
            <sz val="9"/>
            <color indexed="81"/>
            <rFont val="Tahoma"/>
            <family val="2"/>
          </rPr>
          <t xml:space="preserve">
No Default Given.</t>
        </r>
      </text>
    </comment>
    <comment ref="CO25" authorId="0" shapeId="0" xr:uid="{00000000-0006-0000-0400-00001A000000}">
      <text>
        <r>
          <rPr>
            <b/>
            <sz val="9"/>
            <color indexed="81"/>
            <rFont val="Tahoma"/>
            <family val="2"/>
          </rPr>
          <t>Jared, Karessa L.:</t>
        </r>
        <r>
          <rPr>
            <sz val="9"/>
            <color indexed="81"/>
            <rFont val="Tahoma"/>
            <family val="2"/>
          </rPr>
          <t xml:space="preserve">
No Default Given.</t>
        </r>
      </text>
    </comment>
    <comment ref="CO26" authorId="0" shapeId="0" xr:uid="{00000000-0006-0000-0400-00001B000000}">
      <text>
        <r>
          <rPr>
            <b/>
            <sz val="9"/>
            <color indexed="81"/>
            <rFont val="Tahoma"/>
            <family val="2"/>
          </rPr>
          <t>Jared, Karessa L.:</t>
        </r>
        <r>
          <rPr>
            <sz val="9"/>
            <color indexed="81"/>
            <rFont val="Tahoma"/>
            <family val="2"/>
          </rPr>
          <t xml:space="preserve">
No Default Given.</t>
        </r>
      </text>
    </comment>
    <comment ref="CO27" authorId="0" shapeId="0" xr:uid="{00000000-0006-0000-0400-00001C000000}">
      <text>
        <r>
          <rPr>
            <b/>
            <sz val="9"/>
            <color indexed="81"/>
            <rFont val="Tahoma"/>
            <family val="2"/>
          </rPr>
          <t>Jared, Karessa L.:</t>
        </r>
        <r>
          <rPr>
            <sz val="9"/>
            <color indexed="81"/>
            <rFont val="Tahoma"/>
            <family val="2"/>
          </rPr>
          <t xml:space="preserve">
No Default Given.</t>
        </r>
      </text>
    </comment>
    <comment ref="FX27" authorId="0" shapeId="0" xr:uid="{00000000-0006-0000-0400-00001D000000}">
      <text>
        <r>
          <rPr>
            <b/>
            <sz val="9"/>
            <color indexed="81"/>
            <rFont val="Tahoma"/>
            <family val="2"/>
          </rPr>
          <t>Jared, Karessa L.:</t>
        </r>
        <r>
          <rPr>
            <sz val="9"/>
            <color indexed="81"/>
            <rFont val="Tahoma"/>
            <family val="2"/>
          </rPr>
          <t xml:space="preserve">
No Default Given.</t>
        </r>
      </text>
    </comment>
    <comment ref="CO28" authorId="0" shapeId="0" xr:uid="{00000000-0006-0000-0400-00001E000000}">
      <text>
        <r>
          <rPr>
            <b/>
            <sz val="9"/>
            <color indexed="81"/>
            <rFont val="Tahoma"/>
            <family val="2"/>
          </rPr>
          <t>Jared, Karessa L.:</t>
        </r>
        <r>
          <rPr>
            <sz val="9"/>
            <color indexed="81"/>
            <rFont val="Tahoma"/>
            <family val="2"/>
          </rPr>
          <t xml:space="preserve">
No Default Given.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500-000001000000}">
      <text>
        <r>
          <rPr>
            <b/>
            <sz val="9"/>
            <color indexed="81"/>
            <rFont val="Tahoma"/>
            <family val="2"/>
          </rPr>
          <t>Jared, Karessa L.:</t>
        </r>
        <r>
          <rPr>
            <sz val="9"/>
            <color indexed="81"/>
            <rFont val="Tahoma"/>
            <family val="2"/>
          </rPr>
          <t xml:space="preserve">
No Default Given.</t>
        </r>
      </text>
    </comment>
    <comment ref="CR6" authorId="0" shapeId="0" xr:uid="{00000000-0006-0000-0500-000002000000}">
      <text>
        <r>
          <rPr>
            <b/>
            <sz val="9"/>
            <color indexed="81"/>
            <rFont val="Tahoma"/>
            <family val="2"/>
          </rPr>
          <t>Jared, Karessa L.:</t>
        </r>
        <r>
          <rPr>
            <sz val="9"/>
            <color indexed="81"/>
            <rFont val="Tahoma"/>
            <family val="2"/>
          </rPr>
          <t xml:space="preserve">
No Default Given.</t>
        </r>
      </text>
    </comment>
    <comment ref="FO6" authorId="0" shapeId="0" xr:uid="{00000000-0006-0000-0500-000003000000}">
      <text>
        <r>
          <rPr>
            <b/>
            <sz val="9"/>
            <color indexed="81"/>
            <rFont val="Tahoma"/>
            <family val="2"/>
          </rPr>
          <t>Jared, Karessa L.:</t>
        </r>
        <r>
          <rPr>
            <sz val="9"/>
            <color indexed="81"/>
            <rFont val="Tahoma"/>
            <family val="2"/>
          </rPr>
          <t xml:space="preserve">
No Default Given.</t>
        </r>
      </text>
    </comment>
    <comment ref="CL9" authorId="0" shapeId="0" xr:uid="{00000000-0006-0000-0500-000004000000}">
      <text>
        <r>
          <rPr>
            <b/>
            <sz val="9"/>
            <color indexed="81"/>
            <rFont val="Tahoma"/>
            <family val="2"/>
          </rPr>
          <t>Jared, Karessa L.:</t>
        </r>
        <r>
          <rPr>
            <sz val="9"/>
            <color indexed="81"/>
            <rFont val="Tahoma"/>
            <family val="2"/>
          </rPr>
          <t xml:space="preserve">
No Default Given.</t>
        </r>
      </text>
    </comment>
    <comment ref="CO9" authorId="0" shapeId="0" xr:uid="{00000000-0006-0000-0500-000005000000}">
      <text>
        <r>
          <rPr>
            <b/>
            <sz val="9"/>
            <color indexed="81"/>
            <rFont val="Tahoma"/>
            <family val="2"/>
          </rPr>
          <t>Jared, Karessa L.:</t>
        </r>
        <r>
          <rPr>
            <sz val="9"/>
            <color indexed="81"/>
            <rFont val="Tahoma"/>
            <family val="2"/>
          </rPr>
          <t xml:space="preserve">
No Default Given.</t>
        </r>
      </text>
    </comment>
    <comment ref="FU9" authorId="0" shapeId="0" xr:uid="{00000000-0006-0000-0500-000006000000}">
      <text>
        <r>
          <rPr>
            <b/>
            <sz val="9"/>
            <color indexed="81"/>
            <rFont val="Tahoma"/>
            <family val="2"/>
          </rPr>
          <t>Jared, Karessa L.:</t>
        </r>
        <r>
          <rPr>
            <sz val="9"/>
            <color indexed="81"/>
            <rFont val="Tahoma"/>
            <family val="2"/>
          </rPr>
          <t xml:space="preserve">
No Default Given.</t>
        </r>
      </text>
    </comment>
    <comment ref="FX9" authorId="0" shapeId="0" xr:uid="{00000000-0006-0000-0500-000007000000}">
      <text>
        <r>
          <rPr>
            <b/>
            <sz val="9"/>
            <color indexed="81"/>
            <rFont val="Tahoma"/>
            <family val="2"/>
          </rPr>
          <t>Jared, Karessa L.:</t>
        </r>
        <r>
          <rPr>
            <sz val="9"/>
            <color indexed="81"/>
            <rFont val="Tahoma"/>
            <family val="2"/>
          </rPr>
          <t xml:space="preserve">
No Default Given.</t>
        </r>
      </text>
    </comment>
    <comment ref="CO10" authorId="0" shapeId="0" xr:uid="{00000000-0006-0000-0500-000008000000}">
      <text>
        <r>
          <rPr>
            <b/>
            <sz val="9"/>
            <color indexed="81"/>
            <rFont val="Tahoma"/>
            <family val="2"/>
          </rPr>
          <t>Jared, Karessa L.:</t>
        </r>
        <r>
          <rPr>
            <sz val="9"/>
            <color indexed="81"/>
            <rFont val="Tahoma"/>
            <family val="2"/>
          </rPr>
          <t xml:space="preserve">
No Default Given.</t>
        </r>
      </text>
    </comment>
    <comment ref="FU10" authorId="0" shapeId="0" xr:uid="{00000000-0006-0000-0500-000009000000}">
      <text>
        <r>
          <rPr>
            <b/>
            <sz val="9"/>
            <color indexed="81"/>
            <rFont val="Tahoma"/>
            <family val="2"/>
          </rPr>
          <t>Jared, Karessa L.:</t>
        </r>
        <r>
          <rPr>
            <sz val="9"/>
            <color indexed="81"/>
            <rFont val="Tahoma"/>
            <family val="2"/>
          </rPr>
          <t xml:space="preserve">
No Default Given.</t>
        </r>
      </text>
    </comment>
    <comment ref="FX10" authorId="0" shapeId="0" xr:uid="{00000000-0006-0000-0500-00000A000000}">
      <text>
        <r>
          <rPr>
            <b/>
            <sz val="9"/>
            <color indexed="81"/>
            <rFont val="Tahoma"/>
            <family val="2"/>
          </rPr>
          <t>Jared, Karessa L.:</t>
        </r>
        <r>
          <rPr>
            <sz val="9"/>
            <color indexed="81"/>
            <rFont val="Tahoma"/>
            <family val="2"/>
          </rPr>
          <t xml:space="preserve">
No Default Given.</t>
        </r>
      </text>
    </comment>
    <comment ref="CO11" authorId="0" shapeId="0" xr:uid="{00000000-0006-0000-0500-00000B000000}">
      <text>
        <r>
          <rPr>
            <b/>
            <sz val="9"/>
            <color indexed="81"/>
            <rFont val="Tahoma"/>
            <family val="2"/>
          </rPr>
          <t>Jared, Karessa L.:</t>
        </r>
        <r>
          <rPr>
            <sz val="9"/>
            <color indexed="81"/>
            <rFont val="Tahoma"/>
            <family val="2"/>
          </rPr>
          <t xml:space="preserve">
No Default Given.</t>
        </r>
      </text>
    </comment>
    <comment ref="FU11" authorId="0" shapeId="0" xr:uid="{00000000-0006-0000-0500-00000C000000}">
      <text>
        <r>
          <rPr>
            <b/>
            <sz val="9"/>
            <color indexed="81"/>
            <rFont val="Tahoma"/>
            <family val="2"/>
          </rPr>
          <t>Jared, Karessa L.:</t>
        </r>
        <r>
          <rPr>
            <sz val="9"/>
            <color indexed="81"/>
            <rFont val="Tahoma"/>
            <family val="2"/>
          </rPr>
          <t xml:space="preserve">
No Default Given.</t>
        </r>
      </text>
    </comment>
    <comment ref="FX11" authorId="0" shapeId="0" xr:uid="{00000000-0006-0000-0500-00000D000000}">
      <text>
        <r>
          <rPr>
            <b/>
            <sz val="9"/>
            <color indexed="81"/>
            <rFont val="Tahoma"/>
            <family val="2"/>
          </rPr>
          <t>Jared, Karessa L.:</t>
        </r>
        <r>
          <rPr>
            <sz val="9"/>
            <color indexed="81"/>
            <rFont val="Tahoma"/>
            <family val="2"/>
          </rPr>
          <t xml:space="preserve">
No Default Given.</t>
        </r>
      </text>
    </comment>
    <comment ref="CO12" authorId="0" shapeId="0" xr:uid="{00000000-0006-0000-0500-00000E000000}">
      <text>
        <r>
          <rPr>
            <b/>
            <sz val="9"/>
            <color indexed="81"/>
            <rFont val="Tahoma"/>
            <family val="2"/>
          </rPr>
          <t>Jared, Karessa L.:</t>
        </r>
        <r>
          <rPr>
            <sz val="9"/>
            <color indexed="81"/>
            <rFont val="Tahoma"/>
            <family val="2"/>
          </rPr>
          <t xml:space="preserve">
No Default Given.</t>
        </r>
      </text>
    </comment>
    <comment ref="FF12" authorId="0" shapeId="0" xr:uid="{00000000-0006-0000-0500-00000F000000}">
      <text>
        <r>
          <rPr>
            <b/>
            <sz val="9"/>
            <color indexed="81"/>
            <rFont val="Tahoma"/>
            <family val="2"/>
          </rPr>
          <t>Jared, Karessa L.:</t>
        </r>
        <r>
          <rPr>
            <sz val="9"/>
            <color indexed="81"/>
            <rFont val="Tahoma"/>
            <family val="2"/>
          </rPr>
          <t xml:space="preserve">
No Default Given.</t>
        </r>
      </text>
    </comment>
    <comment ref="FU12" authorId="0" shapeId="0" xr:uid="{00000000-0006-0000-0500-000010000000}">
      <text>
        <r>
          <rPr>
            <b/>
            <sz val="9"/>
            <color indexed="81"/>
            <rFont val="Tahoma"/>
            <family val="2"/>
          </rPr>
          <t>Jared, Karessa L.:</t>
        </r>
        <r>
          <rPr>
            <sz val="9"/>
            <color indexed="81"/>
            <rFont val="Tahoma"/>
            <family val="2"/>
          </rPr>
          <t xml:space="preserve">
No Default Given.</t>
        </r>
      </text>
    </comment>
    <comment ref="FX12" authorId="0" shapeId="0" xr:uid="{00000000-0006-0000-0500-000011000000}">
      <text>
        <r>
          <rPr>
            <b/>
            <sz val="9"/>
            <color indexed="81"/>
            <rFont val="Tahoma"/>
            <family val="2"/>
          </rPr>
          <t>Jared, Karessa L.:</t>
        </r>
        <r>
          <rPr>
            <sz val="9"/>
            <color indexed="81"/>
            <rFont val="Tahoma"/>
            <family val="2"/>
          </rPr>
          <t xml:space="preserve">
No Default Given.</t>
        </r>
      </text>
    </comment>
    <comment ref="CO13" authorId="0" shapeId="0" xr:uid="{00000000-0006-0000-0500-000012000000}">
      <text>
        <r>
          <rPr>
            <b/>
            <sz val="9"/>
            <color indexed="81"/>
            <rFont val="Tahoma"/>
            <family val="2"/>
          </rPr>
          <t>Jared, Karessa L.:</t>
        </r>
        <r>
          <rPr>
            <sz val="9"/>
            <color indexed="81"/>
            <rFont val="Tahoma"/>
            <family val="2"/>
          </rPr>
          <t xml:space="preserve">
No Default Given.</t>
        </r>
      </text>
    </comment>
    <comment ref="FF13" authorId="0" shapeId="0" xr:uid="{00000000-0006-0000-0500-000013000000}">
      <text>
        <r>
          <rPr>
            <b/>
            <sz val="9"/>
            <color indexed="81"/>
            <rFont val="Tahoma"/>
            <family val="2"/>
          </rPr>
          <t>Jared, Karessa L.:</t>
        </r>
        <r>
          <rPr>
            <sz val="9"/>
            <color indexed="81"/>
            <rFont val="Tahoma"/>
            <family val="2"/>
          </rPr>
          <t xml:space="preserve">
No Default Given.</t>
        </r>
      </text>
    </comment>
    <comment ref="FU13" authorId="0" shapeId="0" xr:uid="{00000000-0006-0000-0500-000014000000}">
      <text>
        <r>
          <rPr>
            <b/>
            <sz val="9"/>
            <color indexed="81"/>
            <rFont val="Tahoma"/>
            <family val="2"/>
          </rPr>
          <t>Jared, Karessa L.:</t>
        </r>
        <r>
          <rPr>
            <sz val="9"/>
            <color indexed="81"/>
            <rFont val="Tahoma"/>
            <family val="2"/>
          </rPr>
          <t xml:space="preserve">
No Default Given.</t>
        </r>
      </text>
    </comment>
    <comment ref="FX13" authorId="0" shapeId="0" xr:uid="{00000000-0006-0000-0500-000015000000}">
      <text>
        <r>
          <rPr>
            <b/>
            <sz val="9"/>
            <color indexed="81"/>
            <rFont val="Tahoma"/>
            <family val="2"/>
          </rPr>
          <t>Jared, Karessa L.:</t>
        </r>
        <r>
          <rPr>
            <sz val="9"/>
            <color indexed="81"/>
            <rFont val="Tahoma"/>
            <family val="2"/>
          </rPr>
          <t xml:space="preserve">
No Default Given.</t>
        </r>
      </text>
    </comment>
    <comment ref="FX15" authorId="0" shapeId="0" xr:uid="{00000000-0006-0000-0500-000016000000}">
      <text>
        <r>
          <rPr>
            <b/>
            <sz val="9"/>
            <color indexed="81"/>
            <rFont val="Tahoma"/>
            <family val="2"/>
          </rPr>
          <t>Jared, Karessa L.:</t>
        </r>
        <r>
          <rPr>
            <sz val="9"/>
            <color indexed="81"/>
            <rFont val="Tahoma"/>
            <family val="2"/>
          </rPr>
          <t xml:space="preserve">
No Default Given.</t>
        </r>
      </text>
    </comment>
    <comment ref="CR21" authorId="0" shapeId="0" xr:uid="{00000000-0006-0000-0500-000017000000}">
      <text>
        <r>
          <rPr>
            <b/>
            <sz val="9"/>
            <color indexed="81"/>
            <rFont val="Tahoma"/>
            <family val="2"/>
          </rPr>
          <t>Jared, Karessa L.:</t>
        </r>
        <r>
          <rPr>
            <sz val="9"/>
            <color indexed="81"/>
            <rFont val="Tahoma"/>
            <family val="2"/>
          </rPr>
          <t xml:space="preserve">
No Default Given.</t>
        </r>
      </text>
    </comment>
    <comment ref="CL24" authorId="0" shapeId="0" xr:uid="{00000000-0006-0000-0500-000018000000}">
      <text>
        <r>
          <rPr>
            <b/>
            <sz val="9"/>
            <color indexed="81"/>
            <rFont val="Tahoma"/>
            <family val="2"/>
          </rPr>
          <t>Jared, Karessa L.:</t>
        </r>
        <r>
          <rPr>
            <sz val="9"/>
            <color indexed="81"/>
            <rFont val="Tahoma"/>
            <family val="2"/>
          </rPr>
          <t xml:space="preserve">
No Default Given.</t>
        </r>
      </text>
    </comment>
    <comment ref="CO24" authorId="0" shapeId="0" xr:uid="{00000000-0006-0000-0500-000019000000}">
      <text>
        <r>
          <rPr>
            <b/>
            <sz val="9"/>
            <color indexed="81"/>
            <rFont val="Tahoma"/>
            <family val="2"/>
          </rPr>
          <t>Jared, Karessa L.:</t>
        </r>
        <r>
          <rPr>
            <sz val="9"/>
            <color indexed="81"/>
            <rFont val="Tahoma"/>
            <family val="2"/>
          </rPr>
          <t xml:space="preserve">
No Default Given.</t>
        </r>
      </text>
    </comment>
    <comment ref="CO25" authorId="0" shapeId="0" xr:uid="{00000000-0006-0000-0500-00001A000000}">
      <text>
        <r>
          <rPr>
            <b/>
            <sz val="9"/>
            <color indexed="81"/>
            <rFont val="Tahoma"/>
            <family val="2"/>
          </rPr>
          <t>Jared, Karessa L.:</t>
        </r>
        <r>
          <rPr>
            <sz val="9"/>
            <color indexed="81"/>
            <rFont val="Tahoma"/>
            <family val="2"/>
          </rPr>
          <t xml:space="preserve">
No Default Given.</t>
        </r>
      </text>
    </comment>
    <comment ref="CO26" authorId="0" shapeId="0" xr:uid="{00000000-0006-0000-0500-00001B000000}">
      <text>
        <r>
          <rPr>
            <b/>
            <sz val="9"/>
            <color indexed="81"/>
            <rFont val="Tahoma"/>
            <family val="2"/>
          </rPr>
          <t>Jared, Karessa L.:</t>
        </r>
        <r>
          <rPr>
            <sz val="9"/>
            <color indexed="81"/>
            <rFont val="Tahoma"/>
            <family val="2"/>
          </rPr>
          <t xml:space="preserve">
No Default Given.</t>
        </r>
      </text>
    </comment>
    <comment ref="CO27" authorId="0" shapeId="0" xr:uid="{00000000-0006-0000-0500-00001C000000}">
      <text>
        <r>
          <rPr>
            <b/>
            <sz val="9"/>
            <color indexed="81"/>
            <rFont val="Tahoma"/>
            <family val="2"/>
          </rPr>
          <t>Jared, Karessa L.:</t>
        </r>
        <r>
          <rPr>
            <sz val="9"/>
            <color indexed="81"/>
            <rFont val="Tahoma"/>
            <family val="2"/>
          </rPr>
          <t xml:space="preserve">
No Default Given.</t>
        </r>
      </text>
    </comment>
    <comment ref="FX27" authorId="0" shapeId="0" xr:uid="{00000000-0006-0000-0500-00001D000000}">
      <text>
        <r>
          <rPr>
            <b/>
            <sz val="9"/>
            <color indexed="81"/>
            <rFont val="Tahoma"/>
            <family val="2"/>
          </rPr>
          <t>Jared, Karessa L.:</t>
        </r>
        <r>
          <rPr>
            <sz val="9"/>
            <color indexed="81"/>
            <rFont val="Tahoma"/>
            <family val="2"/>
          </rPr>
          <t xml:space="preserve">
No Default Given.</t>
        </r>
      </text>
    </comment>
    <comment ref="CO28" authorId="0" shapeId="0" xr:uid="{00000000-0006-0000-0500-00001E000000}">
      <text>
        <r>
          <rPr>
            <b/>
            <sz val="9"/>
            <color indexed="81"/>
            <rFont val="Tahoma"/>
            <family val="2"/>
          </rPr>
          <t>Jared, Karessa L.:</t>
        </r>
        <r>
          <rPr>
            <sz val="9"/>
            <color indexed="81"/>
            <rFont val="Tahoma"/>
            <family val="2"/>
          </rPr>
          <t xml:space="preserve">
No Default Given.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600-000001000000}">
      <text>
        <r>
          <rPr>
            <b/>
            <sz val="9"/>
            <color indexed="81"/>
            <rFont val="Tahoma"/>
            <family val="2"/>
          </rPr>
          <t>Jared, Karessa L.:</t>
        </r>
        <r>
          <rPr>
            <sz val="9"/>
            <color indexed="81"/>
            <rFont val="Tahoma"/>
            <family val="2"/>
          </rPr>
          <t xml:space="preserve">
No Default Given.</t>
        </r>
      </text>
    </comment>
    <comment ref="CR6" authorId="0" shapeId="0" xr:uid="{00000000-0006-0000-0600-000002000000}">
      <text>
        <r>
          <rPr>
            <b/>
            <sz val="9"/>
            <color indexed="81"/>
            <rFont val="Tahoma"/>
            <family val="2"/>
          </rPr>
          <t>Jared, Karessa L.:</t>
        </r>
        <r>
          <rPr>
            <sz val="9"/>
            <color indexed="81"/>
            <rFont val="Tahoma"/>
            <family val="2"/>
          </rPr>
          <t xml:space="preserve">
No Default Given.</t>
        </r>
      </text>
    </comment>
    <comment ref="FO6" authorId="0" shapeId="0" xr:uid="{00000000-0006-0000-0600-000003000000}">
      <text>
        <r>
          <rPr>
            <b/>
            <sz val="9"/>
            <color indexed="81"/>
            <rFont val="Tahoma"/>
            <family val="2"/>
          </rPr>
          <t>Jared, Karessa L.:</t>
        </r>
        <r>
          <rPr>
            <sz val="9"/>
            <color indexed="81"/>
            <rFont val="Tahoma"/>
            <family val="2"/>
          </rPr>
          <t xml:space="preserve">
No Default Given.</t>
        </r>
      </text>
    </comment>
    <comment ref="CL9" authorId="0" shapeId="0" xr:uid="{00000000-0006-0000-0600-000004000000}">
      <text>
        <r>
          <rPr>
            <b/>
            <sz val="9"/>
            <color indexed="81"/>
            <rFont val="Tahoma"/>
            <family val="2"/>
          </rPr>
          <t>Jared, Karessa L.:</t>
        </r>
        <r>
          <rPr>
            <sz val="9"/>
            <color indexed="81"/>
            <rFont val="Tahoma"/>
            <family val="2"/>
          </rPr>
          <t xml:space="preserve">
No Default Given.</t>
        </r>
      </text>
    </comment>
    <comment ref="CO9" authorId="0" shapeId="0" xr:uid="{00000000-0006-0000-0600-000005000000}">
      <text>
        <r>
          <rPr>
            <b/>
            <sz val="9"/>
            <color indexed="81"/>
            <rFont val="Tahoma"/>
            <family val="2"/>
          </rPr>
          <t>Jared, Karessa L.:</t>
        </r>
        <r>
          <rPr>
            <sz val="9"/>
            <color indexed="81"/>
            <rFont val="Tahoma"/>
            <family val="2"/>
          </rPr>
          <t xml:space="preserve">
No Default Given.</t>
        </r>
      </text>
    </comment>
    <comment ref="FU9" authorId="0" shapeId="0" xr:uid="{00000000-0006-0000-0600-000006000000}">
      <text>
        <r>
          <rPr>
            <b/>
            <sz val="9"/>
            <color indexed="81"/>
            <rFont val="Tahoma"/>
            <family val="2"/>
          </rPr>
          <t>Jared, Karessa L.:</t>
        </r>
        <r>
          <rPr>
            <sz val="9"/>
            <color indexed="81"/>
            <rFont val="Tahoma"/>
            <family val="2"/>
          </rPr>
          <t xml:space="preserve">
No Default Given.</t>
        </r>
      </text>
    </comment>
    <comment ref="FX9" authorId="0" shapeId="0" xr:uid="{00000000-0006-0000-0600-000007000000}">
      <text>
        <r>
          <rPr>
            <b/>
            <sz val="9"/>
            <color indexed="81"/>
            <rFont val="Tahoma"/>
            <family val="2"/>
          </rPr>
          <t>Jared, Karessa L.:</t>
        </r>
        <r>
          <rPr>
            <sz val="9"/>
            <color indexed="81"/>
            <rFont val="Tahoma"/>
            <family val="2"/>
          </rPr>
          <t xml:space="preserve">
No Default Given.</t>
        </r>
      </text>
    </comment>
    <comment ref="CO10" authorId="0" shapeId="0" xr:uid="{00000000-0006-0000-0600-000008000000}">
      <text>
        <r>
          <rPr>
            <b/>
            <sz val="9"/>
            <color indexed="81"/>
            <rFont val="Tahoma"/>
            <family val="2"/>
          </rPr>
          <t>Jared, Karessa L.:</t>
        </r>
        <r>
          <rPr>
            <sz val="9"/>
            <color indexed="81"/>
            <rFont val="Tahoma"/>
            <family val="2"/>
          </rPr>
          <t xml:space="preserve">
No Default Given.</t>
        </r>
      </text>
    </comment>
    <comment ref="FU10" authorId="0" shapeId="0" xr:uid="{00000000-0006-0000-0600-000009000000}">
      <text>
        <r>
          <rPr>
            <b/>
            <sz val="9"/>
            <color indexed="81"/>
            <rFont val="Tahoma"/>
            <family val="2"/>
          </rPr>
          <t>Jared, Karessa L.:</t>
        </r>
        <r>
          <rPr>
            <sz val="9"/>
            <color indexed="81"/>
            <rFont val="Tahoma"/>
            <family val="2"/>
          </rPr>
          <t xml:space="preserve">
No Default Given.</t>
        </r>
      </text>
    </comment>
    <comment ref="FX10" authorId="0" shapeId="0" xr:uid="{00000000-0006-0000-0600-00000A000000}">
      <text>
        <r>
          <rPr>
            <b/>
            <sz val="9"/>
            <color indexed="81"/>
            <rFont val="Tahoma"/>
            <family val="2"/>
          </rPr>
          <t>Jared, Karessa L.:</t>
        </r>
        <r>
          <rPr>
            <sz val="9"/>
            <color indexed="81"/>
            <rFont val="Tahoma"/>
            <family val="2"/>
          </rPr>
          <t xml:space="preserve">
No Default Given.</t>
        </r>
      </text>
    </comment>
    <comment ref="CO11" authorId="0" shapeId="0" xr:uid="{00000000-0006-0000-0600-00000B000000}">
      <text>
        <r>
          <rPr>
            <b/>
            <sz val="9"/>
            <color indexed="81"/>
            <rFont val="Tahoma"/>
            <family val="2"/>
          </rPr>
          <t>Jared, Karessa L.:</t>
        </r>
        <r>
          <rPr>
            <sz val="9"/>
            <color indexed="81"/>
            <rFont val="Tahoma"/>
            <family val="2"/>
          </rPr>
          <t xml:space="preserve">
No Default Given.</t>
        </r>
      </text>
    </comment>
    <comment ref="FU11" authorId="0" shapeId="0" xr:uid="{00000000-0006-0000-0600-00000C000000}">
      <text>
        <r>
          <rPr>
            <b/>
            <sz val="9"/>
            <color indexed="81"/>
            <rFont val="Tahoma"/>
            <family val="2"/>
          </rPr>
          <t>Jared, Karessa L.:</t>
        </r>
        <r>
          <rPr>
            <sz val="9"/>
            <color indexed="81"/>
            <rFont val="Tahoma"/>
            <family val="2"/>
          </rPr>
          <t xml:space="preserve">
No Default Given.</t>
        </r>
      </text>
    </comment>
    <comment ref="FX11" authorId="0" shapeId="0" xr:uid="{00000000-0006-0000-0600-00000D000000}">
      <text>
        <r>
          <rPr>
            <b/>
            <sz val="9"/>
            <color indexed="81"/>
            <rFont val="Tahoma"/>
            <family val="2"/>
          </rPr>
          <t>Jared, Karessa L.:</t>
        </r>
        <r>
          <rPr>
            <sz val="9"/>
            <color indexed="81"/>
            <rFont val="Tahoma"/>
            <family val="2"/>
          </rPr>
          <t xml:space="preserve">
No Default Given.</t>
        </r>
      </text>
    </comment>
    <comment ref="CO12" authorId="0" shapeId="0" xr:uid="{00000000-0006-0000-0600-00000E000000}">
      <text>
        <r>
          <rPr>
            <b/>
            <sz val="9"/>
            <color indexed="81"/>
            <rFont val="Tahoma"/>
            <family val="2"/>
          </rPr>
          <t>Jared, Karessa L.:</t>
        </r>
        <r>
          <rPr>
            <sz val="9"/>
            <color indexed="81"/>
            <rFont val="Tahoma"/>
            <family val="2"/>
          </rPr>
          <t xml:space="preserve">
No Default Given.</t>
        </r>
      </text>
    </comment>
    <comment ref="FF12" authorId="0" shapeId="0" xr:uid="{00000000-0006-0000-0600-00000F000000}">
      <text>
        <r>
          <rPr>
            <b/>
            <sz val="9"/>
            <color indexed="81"/>
            <rFont val="Tahoma"/>
            <family val="2"/>
          </rPr>
          <t>Jared, Karessa L.:</t>
        </r>
        <r>
          <rPr>
            <sz val="9"/>
            <color indexed="81"/>
            <rFont val="Tahoma"/>
            <family val="2"/>
          </rPr>
          <t xml:space="preserve">
No Default Given.</t>
        </r>
      </text>
    </comment>
    <comment ref="FU12" authorId="0" shapeId="0" xr:uid="{00000000-0006-0000-0600-000010000000}">
      <text>
        <r>
          <rPr>
            <b/>
            <sz val="9"/>
            <color indexed="81"/>
            <rFont val="Tahoma"/>
            <family val="2"/>
          </rPr>
          <t>Jared, Karessa L.:</t>
        </r>
        <r>
          <rPr>
            <sz val="9"/>
            <color indexed="81"/>
            <rFont val="Tahoma"/>
            <family val="2"/>
          </rPr>
          <t xml:space="preserve">
No Default Given.</t>
        </r>
      </text>
    </comment>
    <comment ref="FX12" authorId="0" shapeId="0" xr:uid="{00000000-0006-0000-0600-000011000000}">
      <text>
        <r>
          <rPr>
            <b/>
            <sz val="9"/>
            <color indexed="81"/>
            <rFont val="Tahoma"/>
            <family val="2"/>
          </rPr>
          <t>Jared, Karessa L.:</t>
        </r>
        <r>
          <rPr>
            <sz val="9"/>
            <color indexed="81"/>
            <rFont val="Tahoma"/>
            <family val="2"/>
          </rPr>
          <t xml:space="preserve">
No Default Given.</t>
        </r>
      </text>
    </comment>
    <comment ref="CO13" authorId="0" shapeId="0" xr:uid="{00000000-0006-0000-0600-000012000000}">
      <text>
        <r>
          <rPr>
            <b/>
            <sz val="9"/>
            <color indexed="81"/>
            <rFont val="Tahoma"/>
            <family val="2"/>
          </rPr>
          <t>Jared, Karessa L.:</t>
        </r>
        <r>
          <rPr>
            <sz val="9"/>
            <color indexed="81"/>
            <rFont val="Tahoma"/>
            <family val="2"/>
          </rPr>
          <t xml:space="preserve">
No Default Given.</t>
        </r>
      </text>
    </comment>
    <comment ref="FF13" authorId="0" shapeId="0" xr:uid="{00000000-0006-0000-0600-000013000000}">
      <text>
        <r>
          <rPr>
            <b/>
            <sz val="9"/>
            <color indexed="81"/>
            <rFont val="Tahoma"/>
            <family val="2"/>
          </rPr>
          <t>Jared, Karessa L.:</t>
        </r>
        <r>
          <rPr>
            <sz val="9"/>
            <color indexed="81"/>
            <rFont val="Tahoma"/>
            <family val="2"/>
          </rPr>
          <t xml:space="preserve">
No Default Given.</t>
        </r>
      </text>
    </comment>
    <comment ref="FU13" authorId="0" shapeId="0" xr:uid="{00000000-0006-0000-0600-000014000000}">
      <text>
        <r>
          <rPr>
            <b/>
            <sz val="9"/>
            <color indexed="81"/>
            <rFont val="Tahoma"/>
            <family val="2"/>
          </rPr>
          <t>Jared, Karessa L.:</t>
        </r>
        <r>
          <rPr>
            <sz val="9"/>
            <color indexed="81"/>
            <rFont val="Tahoma"/>
            <family val="2"/>
          </rPr>
          <t xml:space="preserve">
No Default Given.</t>
        </r>
      </text>
    </comment>
    <comment ref="FX13" authorId="0" shapeId="0" xr:uid="{00000000-0006-0000-0600-000015000000}">
      <text>
        <r>
          <rPr>
            <b/>
            <sz val="9"/>
            <color indexed="81"/>
            <rFont val="Tahoma"/>
            <family val="2"/>
          </rPr>
          <t>Jared, Karessa L.:</t>
        </r>
        <r>
          <rPr>
            <sz val="9"/>
            <color indexed="81"/>
            <rFont val="Tahoma"/>
            <family val="2"/>
          </rPr>
          <t xml:space="preserve">
No Default Given.</t>
        </r>
      </text>
    </comment>
    <comment ref="FX15" authorId="0" shapeId="0" xr:uid="{00000000-0006-0000-0600-000016000000}">
      <text>
        <r>
          <rPr>
            <b/>
            <sz val="9"/>
            <color indexed="81"/>
            <rFont val="Tahoma"/>
            <family val="2"/>
          </rPr>
          <t>Jared, Karessa L.:</t>
        </r>
        <r>
          <rPr>
            <sz val="9"/>
            <color indexed="81"/>
            <rFont val="Tahoma"/>
            <family val="2"/>
          </rPr>
          <t xml:space="preserve">
No Default Given.</t>
        </r>
      </text>
    </comment>
    <comment ref="CR21" authorId="0" shapeId="0" xr:uid="{00000000-0006-0000-0600-000017000000}">
      <text>
        <r>
          <rPr>
            <b/>
            <sz val="9"/>
            <color indexed="81"/>
            <rFont val="Tahoma"/>
            <family val="2"/>
          </rPr>
          <t>Jared, Karessa L.:</t>
        </r>
        <r>
          <rPr>
            <sz val="9"/>
            <color indexed="81"/>
            <rFont val="Tahoma"/>
            <family val="2"/>
          </rPr>
          <t xml:space="preserve">
No Default Given.</t>
        </r>
      </text>
    </comment>
    <comment ref="CL24" authorId="0" shapeId="0" xr:uid="{00000000-0006-0000-0600-000018000000}">
      <text>
        <r>
          <rPr>
            <b/>
            <sz val="9"/>
            <color indexed="81"/>
            <rFont val="Tahoma"/>
            <family val="2"/>
          </rPr>
          <t>Jared, Karessa L.:</t>
        </r>
        <r>
          <rPr>
            <sz val="9"/>
            <color indexed="81"/>
            <rFont val="Tahoma"/>
            <family val="2"/>
          </rPr>
          <t xml:space="preserve">
No Default Given.</t>
        </r>
      </text>
    </comment>
    <comment ref="CO24" authorId="0" shapeId="0" xr:uid="{00000000-0006-0000-0600-000019000000}">
      <text>
        <r>
          <rPr>
            <b/>
            <sz val="9"/>
            <color indexed="81"/>
            <rFont val="Tahoma"/>
            <family val="2"/>
          </rPr>
          <t>Jared, Karessa L.:</t>
        </r>
        <r>
          <rPr>
            <sz val="9"/>
            <color indexed="81"/>
            <rFont val="Tahoma"/>
            <family val="2"/>
          </rPr>
          <t xml:space="preserve">
No Default Given.</t>
        </r>
      </text>
    </comment>
    <comment ref="CO25" authorId="0" shapeId="0" xr:uid="{00000000-0006-0000-0600-00001A000000}">
      <text>
        <r>
          <rPr>
            <b/>
            <sz val="9"/>
            <color indexed="81"/>
            <rFont val="Tahoma"/>
            <family val="2"/>
          </rPr>
          <t>Jared, Karessa L.:</t>
        </r>
        <r>
          <rPr>
            <sz val="9"/>
            <color indexed="81"/>
            <rFont val="Tahoma"/>
            <family val="2"/>
          </rPr>
          <t xml:space="preserve">
No Default Given.</t>
        </r>
      </text>
    </comment>
    <comment ref="CO26" authorId="0" shapeId="0" xr:uid="{00000000-0006-0000-0600-00001B000000}">
      <text>
        <r>
          <rPr>
            <b/>
            <sz val="9"/>
            <color indexed="81"/>
            <rFont val="Tahoma"/>
            <family val="2"/>
          </rPr>
          <t>Jared, Karessa L.:</t>
        </r>
        <r>
          <rPr>
            <sz val="9"/>
            <color indexed="81"/>
            <rFont val="Tahoma"/>
            <family val="2"/>
          </rPr>
          <t xml:space="preserve">
No Default Given.</t>
        </r>
      </text>
    </comment>
    <comment ref="CO27" authorId="0" shapeId="0" xr:uid="{00000000-0006-0000-0600-00001C000000}">
      <text>
        <r>
          <rPr>
            <b/>
            <sz val="9"/>
            <color indexed="81"/>
            <rFont val="Tahoma"/>
            <family val="2"/>
          </rPr>
          <t>Jared, Karessa L.:</t>
        </r>
        <r>
          <rPr>
            <sz val="9"/>
            <color indexed="81"/>
            <rFont val="Tahoma"/>
            <family val="2"/>
          </rPr>
          <t xml:space="preserve">
No Default Given.</t>
        </r>
      </text>
    </comment>
    <comment ref="FX27" authorId="0" shapeId="0" xr:uid="{00000000-0006-0000-0600-00001D000000}">
      <text>
        <r>
          <rPr>
            <b/>
            <sz val="9"/>
            <color indexed="81"/>
            <rFont val="Tahoma"/>
            <family val="2"/>
          </rPr>
          <t>Jared, Karessa L.:</t>
        </r>
        <r>
          <rPr>
            <sz val="9"/>
            <color indexed="81"/>
            <rFont val="Tahoma"/>
            <family val="2"/>
          </rPr>
          <t xml:space="preserve">
No Default Given.</t>
        </r>
      </text>
    </comment>
    <comment ref="CO28" authorId="0" shapeId="0" xr:uid="{00000000-0006-0000-0600-00001E000000}">
      <text>
        <r>
          <rPr>
            <b/>
            <sz val="9"/>
            <color indexed="81"/>
            <rFont val="Tahoma"/>
            <family val="2"/>
          </rPr>
          <t>Jared, Karessa L.:</t>
        </r>
        <r>
          <rPr>
            <sz val="9"/>
            <color indexed="81"/>
            <rFont val="Tahoma"/>
            <family val="2"/>
          </rPr>
          <t xml:space="preserve">
No Default Given.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Jared, Karessa L.</author>
  </authors>
  <commentList>
    <comment ref="FO5" authorId="0" shapeId="0" xr:uid="{00000000-0006-0000-0700-000001000000}">
      <text>
        <r>
          <rPr>
            <b/>
            <sz val="9"/>
            <color indexed="81"/>
            <rFont val="Tahoma"/>
            <family val="2"/>
          </rPr>
          <t>Jared, Karessa L.:</t>
        </r>
        <r>
          <rPr>
            <sz val="9"/>
            <color indexed="81"/>
            <rFont val="Tahoma"/>
            <family val="2"/>
          </rPr>
          <t xml:space="preserve">
No Default Given.</t>
        </r>
      </text>
    </comment>
    <comment ref="CR6" authorId="0" shapeId="0" xr:uid="{00000000-0006-0000-0700-000002000000}">
      <text>
        <r>
          <rPr>
            <b/>
            <sz val="9"/>
            <color indexed="81"/>
            <rFont val="Tahoma"/>
            <family val="2"/>
          </rPr>
          <t>Jared, Karessa L.:</t>
        </r>
        <r>
          <rPr>
            <sz val="9"/>
            <color indexed="81"/>
            <rFont val="Tahoma"/>
            <family val="2"/>
          </rPr>
          <t xml:space="preserve">
No Default Given.</t>
        </r>
      </text>
    </comment>
    <comment ref="FO6" authorId="0" shapeId="0" xr:uid="{00000000-0006-0000-0700-000003000000}">
      <text>
        <r>
          <rPr>
            <b/>
            <sz val="9"/>
            <color indexed="81"/>
            <rFont val="Tahoma"/>
            <family val="2"/>
          </rPr>
          <t>Jared, Karessa L.:</t>
        </r>
        <r>
          <rPr>
            <sz val="9"/>
            <color indexed="81"/>
            <rFont val="Tahoma"/>
            <family val="2"/>
          </rPr>
          <t xml:space="preserve">
No Default Given.</t>
        </r>
      </text>
    </comment>
    <comment ref="CL9" authorId="0" shapeId="0" xr:uid="{00000000-0006-0000-0700-000004000000}">
      <text>
        <r>
          <rPr>
            <b/>
            <sz val="9"/>
            <color indexed="81"/>
            <rFont val="Tahoma"/>
            <family val="2"/>
          </rPr>
          <t>Jared, Karessa L.:</t>
        </r>
        <r>
          <rPr>
            <sz val="9"/>
            <color indexed="81"/>
            <rFont val="Tahoma"/>
            <family val="2"/>
          </rPr>
          <t xml:space="preserve">
No Default Given.</t>
        </r>
      </text>
    </comment>
    <comment ref="CO9" authorId="0" shapeId="0" xr:uid="{00000000-0006-0000-0700-000005000000}">
      <text>
        <r>
          <rPr>
            <b/>
            <sz val="9"/>
            <color indexed="81"/>
            <rFont val="Tahoma"/>
            <family val="2"/>
          </rPr>
          <t>Jared, Karessa L.:</t>
        </r>
        <r>
          <rPr>
            <sz val="9"/>
            <color indexed="81"/>
            <rFont val="Tahoma"/>
            <family val="2"/>
          </rPr>
          <t xml:space="preserve">
No Default Given.</t>
        </r>
      </text>
    </comment>
    <comment ref="FU9" authorId="0" shapeId="0" xr:uid="{00000000-0006-0000-0700-000006000000}">
      <text>
        <r>
          <rPr>
            <b/>
            <sz val="9"/>
            <color indexed="81"/>
            <rFont val="Tahoma"/>
            <family val="2"/>
          </rPr>
          <t>Jared, Karessa L.:</t>
        </r>
        <r>
          <rPr>
            <sz val="9"/>
            <color indexed="81"/>
            <rFont val="Tahoma"/>
            <family val="2"/>
          </rPr>
          <t xml:space="preserve">
No Default Given.</t>
        </r>
      </text>
    </comment>
    <comment ref="FX9" authorId="0" shapeId="0" xr:uid="{00000000-0006-0000-0700-000007000000}">
      <text>
        <r>
          <rPr>
            <b/>
            <sz val="9"/>
            <color indexed="81"/>
            <rFont val="Tahoma"/>
            <family val="2"/>
          </rPr>
          <t>Jared, Karessa L.:</t>
        </r>
        <r>
          <rPr>
            <sz val="9"/>
            <color indexed="81"/>
            <rFont val="Tahoma"/>
            <family val="2"/>
          </rPr>
          <t xml:space="preserve">
No Default Given.</t>
        </r>
      </text>
    </comment>
    <comment ref="CO10" authorId="0" shapeId="0" xr:uid="{00000000-0006-0000-0700-000008000000}">
      <text>
        <r>
          <rPr>
            <b/>
            <sz val="9"/>
            <color indexed="81"/>
            <rFont val="Tahoma"/>
            <family val="2"/>
          </rPr>
          <t>Jared, Karessa L.:</t>
        </r>
        <r>
          <rPr>
            <sz val="9"/>
            <color indexed="81"/>
            <rFont val="Tahoma"/>
            <family val="2"/>
          </rPr>
          <t xml:space="preserve">
No Default Given.</t>
        </r>
      </text>
    </comment>
    <comment ref="FU10" authorId="0" shapeId="0" xr:uid="{00000000-0006-0000-0700-000009000000}">
      <text>
        <r>
          <rPr>
            <b/>
            <sz val="9"/>
            <color indexed="81"/>
            <rFont val="Tahoma"/>
            <family val="2"/>
          </rPr>
          <t>Jared, Karessa L.:</t>
        </r>
        <r>
          <rPr>
            <sz val="9"/>
            <color indexed="81"/>
            <rFont val="Tahoma"/>
            <family val="2"/>
          </rPr>
          <t xml:space="preserve">
No Default Given.</t>
        </r>
      </text>
    </comment>
    <comment ref="FX10" authorId="0" shapeId="0" xr:uid="{00000000-0006-0000-0700-00000A000000}">
      <text>
        <r>
          <rPr>
            <b/>
            <sz val="9"/>
            <color indexed="81"/>
            <rFont val="Tahoma"/>
            <family val="2"/>
          </rPr>
          <t>Jared, Karessa L.:</t>
        </r>
        <r>
          <rPr>
            <sz val="9"/>
            <color indexed="81"/>
            <rFont val="Tahoma"/>
            <family val="2"/>
          </rPr>
          <t xml:space="preserve">
No Default Given.</t>
        </r>
      </text>
    </comment>
    <comment ref="CO11" authorId="0" shapeId="0" xr:uid="{00000000-0006-0000-0700-00000B000000}">
      <text>
        <r>
          <rPr>
            <b/>
            <sz val="9"/>
            <color indexed="81"/>
            <rFont val="Tahoma"/>
            <family val="2"/>
          </rPr>
          <t>Jared, Karessa L.:</t>
        </r>
        <r>
          <rPr>
            <sz val="9"/>
            <color indexed="81"/>
            <rFont val="Tahoma"/>
            <family val="2"/>
          </rPr>
          <t xml:space="preserve">
No Default Given.</t>
        </r>
      </text>
    </comment>
    <comment ref="FU11" authorId="0" shapeId="0" xr:uid="{00000000-0006-0000-0700-00000C000000}">
      <text>
        <r>
          <rPr>
            <b/>
            <sz val="9"/>
            <color indexed="81"/>
            <rFont val="Tahoma"/>
            <family val="2"/>
          </rPr>
          <t>Jared, Karessa L.:</t>
        </r>
        <r>
          <rPr>
            <sz val="9"/>
            <color indexed="81"/>
            <rFont val="Tahoma"/>
            <family val="2"/>
          </rPr>
          <t xml:space="preserve">
No Default Given.</t>
        </r>
      </text>
    </comment>
    <comment ref="FX11" authorId="0" shapeId="0" xr:uid="{00000000-0006-0000-0700-00000D000000}">
      <text>
        <r>
          <rPr>
            <b/>
            <sz val="9"/>
            <color indexed="81"/>
            <rFont val="Tahoma"/>
            <family val="2"/>
          </rPr>
          <t>Jared, Karessa L.:</t>
        </r>
        <r>
          <rPr>
            <sz val="9"/>
            <color indexed="81"/>
            <rFont val="Tahoma"/>
            <family val="2"/>
          </rPr>
          <t xml:space="preserve">
No Default Given.</t>
        </r>
      </text>
    </comment>
    <comment ref="CO12" authorId="0" shapeId="0" xr:uid="{00000000-0006-0000-0700-00000E000000}">
      <text>
        <r>
          <rPr>
            <b/>
            <sz val="9"/>
            <color indexed="81"/>
            <rFont val="Tahoma"/>
            <family val="2"/>
          </rPr>
          <t>Jared, Karessa L.:</t>
        </r>
        <r>
          <rPr>
            <sz val="9"/>
            <color indexed="81"/>
            <rFont val="Tahoma"/>
            <family val="2"/>
          </rPr>
          <t xml:space="preserve">
No Default Given.</t>
        </r>
      </text>
    </comment>
    <comment ref="FF12" authorId="0" shapeId="0" xr:uid="{00000000-0006-0000-0700-00000F000000}">
      <text>
        <r>
          <rPr>
            <b/>
            <sz val="9"/>
            <color indexed="81"/>
            <rFont val="Tahoma"/>
            <family val="2"/>
          </rPr>
          <t>Jared, Karessa L.:</t>
        </r>
        <r>
          <rPr>
            <sz val="9"/>
            <color indexed="81"/>
            <rFont val="Tahoma"/>
            <family val="2"/>
          </rPr>
          <t xml:space="preserve">
No Default Given.</t>
        </r>
      </text>
    </comment>
    <comment ref="FU12" authorId="0" shapeId="0" xr:uid="{00000000-0006-0000-0700-000010000000}">
      <text>
        <r>
          <rPr>
            <b/>
            <sz val="9"/>
            <color indexed="81"/>
            <rFont val="Tahoma"/>
            <family val="2"/>
          </rPr>
          <t>Jared, Karessa L.:</t>
        </r>
        <r>
          <rPr>
            <sz val="9"/>
            <color indexed="81"/>
            <rFont val="Tahoma"/>
            <family val="2"/>
          </rPr>
          <t xml:space="preserve">
No Default Given.</t>
        </r>
      </text>
    </comment>
    <comment ref="FX12" authorId="0" shapeId="0" xr:uid="{00000000-0006-0000-0700-000011000000}">
      <text>
        <r>
          <rPr>
            <b/>
            <sz val="9"/>
            <color indexed="81"/>
            <rFont val="Tahoma"/>
            <family val="2"/>
          </rPr>
          <t>Jared, Karessa L.:</t>
        </r>
        <r>
          <rPr>
            <sz val="9"/>
            <color indexed="81"/>
            <rFont val="Tahoma"/>
            <family val="2"/>
          </rPr>
          <t xml:space="preserve">
No Default Given.</t>
        </r>
      </text>
    </comment>
    <comment ref="CO13" authorId="0" shapeId="0" xr:uid="{00000000-0006-0000-0700-000012000000}">
      <text>
        <r>
          <rPr>
            <b/>
            <sz val="9"/>
            <color indexed="81"/>
            <rFont val="Tahoma"/>
            <family val="2"/>
          </rPr>
          <t>Jared, Karessa L.:</t>
        </r>
        <r>
          <rPr>
            <sz val="9"/>
            <color indexed="81"/>
            <rFont val="Tahoma"/>
            <family val="2"/>
          </rPr>
          <t xml:space="preserve">
No Default Given.</t>
        </r>
      </text>
    </comment>
    <comment ref="FF13" authorId="0" shapeId="0" xr:uid="{00000000-0006-0000-0700-000013000000}">
      <text>
        <r>
          <rPr>
            <b/>
            <sz val="9"/>
            <color indexed="81"/>
            <rFont val="Tahoma"/>
            <family val="2"/>
          </rPr>
          <t>Jared, Karessa L.:</t>
        </r>
        <r>
          <rPr>
            <sz val="9"/>
            <color indexed="81"/>
            <rFont val="Tahoma"/>
            <family val="2"/>
          </rPr>
          <t xml:space="preserve">
No Default Given.</t>
        </r>
      </text>
    </comment>
    <comment ref="FU13" authorId="0" shapeId="0" xr:uid="{00000000-0006-0000-0700-000014000000}">
      <text>
        <r>
          <rPr>
            <b/>
            <sz val="9"/>
            <color indexed="81"/>
            <rFont val="Tahoma"/>
            <family val="2"/>
          </rPr>
          <t>Jared, Karessa L.:</t>
        </r>
        <r>
          <rPr>
            <sz val="9"/>
            <color indexed="81"/>
            <rFont val="Tahoma"/>
            <family val="2"/>
          </rPr>
          <t xml:space="preserve">
No Default Given.</t>
        </r>
      </text>
    </comment>
    <comment ref="FX13" authorId="0" shapeId="0" xr:uid="{00000000-0006-0000-0700-000015000000}">
      <text>
        <r>
          <rPr>
            <b/>
            <sz val="9"/>
            <color indexed="81"/>
            <rFont val="Tahoma"/>
            <family val="2"/>
          </rPr>
          <t>Jared, Karessa L.:</t>
        </r>
        <r>
          <rPr>
            <sz val="9"/>
            <color indexed="81"/>
            <rFont val="Tahoma"/>
            <family val="2"/>
          </rPr>
          <t xml:space="preserve">
No Default Given.</t>
        </r>
      </text>
    </comment>
    <comment ref="FX15" authorId="0" shapeId="0" xr:uid="{00000000-0006-0000-0700-000016000000}">
      <text>
        <r>
          <rPr>
            <b/>
            <sz val="9"/>
            <color indexed="81"/>
            <rFont val="Tahoma"/>
            <family val="2"/>
          </rPr>
          <t>Jared, Karessa L.:</t>
        </r>
        <r>
          <rPr>
            <sz val="9"/>
            <color indexed="81"/>
            <rFont val="Tahoma"/>
            <family val="2"/>
          </rPr>
          <t xml:space="preserve">
No Default Given.</t>
        </r>
      </text>
    </comment>
    <comment ref="CR21" authorId="0" shapeId="0" xr:uid="{00000000-0006-0000-0700-000017000000}">
      <text>
        <r>
          <rPr>
            <b/>
            <sz val="9"/>
            <color indexed="81"/>
            <rFont val="Tahoma"/>
            <family val="2"/>
          </rPr>
          <t>Jared, Karessa L.:</t>
        </r>
        <r>
          <rPr>
            <sz val="9"/>
            <color indexed="81"/>
            <rFont val="Tahoma"/>
            <family val="2"/>
          </rPr>
          <t xml:space="preserve">
No Default Given.</t>
        </r>
      </text>
    </comment>
    <comment ref="CL24" authorId="0" shapeId="0" xr:uid="{00000000-0006-0000-0700-000018000000}">
      <text>
        <r>
          <rPr>
            <b/>
            <sz val="9"/>
            <color indexed="81"/>
            <rFont val="Tahoma"/>
            <family val="2"/>
          </rPr>
          <t>Jared, Karessa L.:</t>
        </r>
        <r>
          <rPr>
            <sz val="9"/>
            <color indexed="81"/>
            <rFont val="Tahoma"/>
            <family val="2"/>
          </rPr>
          <t xml:space="preserve">
No Default Given.</t>
        </r>
      </text>
    </comment>
    <comment ref="CO24" authorId="0" shapeId="0" xr:uid="{00000000-0006-0000-0700-000019000000}">
      <text>
        <r>
          <rPr>
            <b/>
            <sz val="9"/>
            <color indexed="81"/>
            <rFont val="Tahoma"/>
            <family val="2"/>
          </rPr>
          <t>Jared, Karessa L.:</t>
        </r>
        <r>
          <rPr>
            <sz val="9"/>
            <color indexed="81"/>
            <rFont val="Tahoma"/>
            <family val="2"/>
          </rPr>
          <t xml:space="preserve">
No Default Given.</t>
        </r>
      </text>
    </comment>
    <comment ref="CO25" authorId="0" shapeId="0" xr:uid="{00000000-0006-0000-0700-00001A000000}">
      <text>
        <r>
          <rPr>
            <b/>
            <sz val="9"/>
            <color indexed="81"/>
            <rFont val="Tahoma"/>
            <family val="2"/>
          </rPr>
          <t>Jared, Karessa L.:</t>
        </r>
        <r>
          <rPr>
            <sz val="9"/>
            <color indexed="81"/>
            <rFont val="Tahoma"/>
            <family val="2"/>
          </rPr>
          <t xml:space="preserve">
No Default Given.</t>
        </r>
      </text>
    </comment>
    <comment ref="CO26" authorId="0" shapeId="0" xr:uid="{00000000-0006-0000-0700-00001B000000}">
      <text>
        <r>
          <rPr>
            <b/>
            <sz val="9"/>
            <color indexed="81"/>
            <rFont val="Tahoma"/>
            <family val="2"/>
          </rPr>
          <t>Jared, Karessa L.:</t>
        </r>
        <r>
          <rPr>
            <sz val="9"/>
            <color indexed="81"/>
            <rFont val="Tahoma"/>
            <family val="2"/>
          </rPr>
          <t xml:space="preserve">
No Default Given.</t>
        </r>
      </text>
    </comment>
    <comment ref="CO27" authorId="0" shapeId="0" xr:uid="{00000000-0006-0000-0700-00001C000000}">
      <text>
        <r>
          <rPr>
            <b/>
            <sz val="9"/>
            <color indexed="81"/>
            <rFont val="Tahoma"/>
            <family val="2"/>
          </rPr>
          <t>Jared, Karessa L.:</t>
        </r>
        <r>
          <rPr>
            <sz val="9"/>
            <color indexed="81"/>
            <rFont val="Tahoma"/>
            <family val="2"/>
          </rPr>
          <t xml:space="preserve">
No Default Given.</t>
        </r>
      </text>
    </comment>
    <comment ref="FX27" authorId="0" shapeId="0" xr:uid="{00000000-0006-0000-0700-00001D000000}">
      <text>
        <r>
          <rPr>
            <b/>
            <sz val="9"/>
            <color indexed="81"/>
            <rFont val="Tahoma"/>
            <family val="2"/>
          </rPr>
          <t>Jared, Karessa L.:</t>
        </r>
        <r>
          <rPr>
            <sz val="9"/>
            <color indexed="81"/>
            <rFont val="Tahoma"/>
            <family val="2"/>
          </rPr>
          <t xml:space="preserve">
No Default Given.</t>
        </r>
      </text>
    </comment>
    <comment ref="CO28" authorId="0" shapeId="0" xr:uid="{00000000-0006-0000-0700-00001E000000}">
      <text>
        <r>
          <rPr>
            <b/>
            <sz val="9"/>
            <color indexed="81"/>
            <rFont val="Tahoma"/>
            <family val="2"/>
          </rPr>
          <t>Jared, Karessa L.:</t>
        </r>
        <r>
          <rPr>
            <sz val="9"/>
            <color indexed="81"/>
            <rFont val="Tahoma"/>
            <family val="2"/>
          </rPr>
          <t xml:space="preserve">
No Default Given.</t>
        </r>
      </text>
    </comment>
  </commentList>
</comments>
</file>

<file path=xl/sharedStrings.xml><?xml version="1.0" encoding="utf-8"?>
<sst xmlns="http://schemas.openxmlformats.org/spreadsheetml/2006/main" count="21484" uniqueCount="498">
  <si>
    <t>Am-241</t>
  </si>
  <si>
    <t>Worker</t>
  </si>
  <si>
    <t>outdoor</t>
  </si>
  <si>
    <t>Resident</t>
  </si>
  <si>
    <t>composite</t>
  </si>
  <si>
    <t>indoor</t>
  </si>
  <si>
    <t>Construction (non standard)</t>
  </si>
  <si>
    <t>Construction (standard)</t>
  </si>
  <si>
    <t>Recreator</t>
  </si>
  <si>
    <t>farmer</t>
  </si>
  <si>
    <t>water</t>
  </si>
  <si>
    <t>soil</t>
  </si>
  <si>
    <t>s&amp;w</t>
  </si>
  <si>
    <t>external</t>
  </si>
  <si>
    <t>soil volume</t>
  </si>
  <si>
    <t>Cs-137+D</t>
  </si>
  <si>
    <t>15cm</t>
  </si>
  <si>
    <t>PRG</t>
  </si>
  <si>
    <t>partitioning</t>
  </si>
  <si>
    <t>air</t>
  </si>
  <si>
    <t>pCi/m^3</t>
  </si>
  <si>
    <t>tapwater</t>
  </si>
  <si>
    <t>ug/L</t>
  </si>
  <si>
    <t>pCi/g</t>
  </si>
  <si>
    <t>surface water</t>
  </si>
  <si>
    <t>pCi/L</t>
  </si>
  <si>
    <t>mg/kg</t>
  </si>
  <si>
    <t>produce</t>
  </si>
  <si>
    <t>milk</t>
  </si>
  <si>
    <t>beef</t>
  </si>
  <si>
    <t>mg/L</t>
  </si>
  <si>
    <t>INT</t>
  </si>
  <si>
    <t>SLOPE</t>
  </si>
  <si>
    <t>2-D</t>
  </si>
  <si>
    <t>resident</t>
  </si>
  <si>
    <t>worker</t>
  </si>
  <si>
    <t>Soil 2 gw</t>
  </si>
  <si>
    <t>no decay</t>
  </si>
  <si>
    <t>decay</t>
  </si>
  <si>
    <t>PRG 1E-06</t>
  </si>
  <si>
    <t>mcl based</t>
  </si>
  <si>
    <t>composite worker</t>
  </si>
  <si>
    <t>indoor worker</t>
  </si>
  <si>
    <t>outdoor worker</t>
  </si>
  <si>
    <t>construction worker</t>
  </si>
  <si>
    <t>risk based</t>
  </si>
  <si>
    <t>TR</t>
  </si>
  <si>
    <t>Irr rup</t>
  </si>
  <si>
    <t>L/kg</t>
  </si>
  <si>
    <t>R upv</t>
  </si>
  <si>
    <t>R upp</t>
  </si>
  <si>
    <t>MCL</t>
  </si>
  <si>
    <t>lambda</t>
  </si>
  <si>
    <t>g/mg</t>
  </si>
  <si>
    <t>EF</t>
  </si>
  <si>
    <t>days/year</t>
  </si>
  <si>
    <t>Irr res</t>
  </si>
  <si>
    <t>R es</t>
  </si>
  <si>
    <t>Q w dairy</t>
  </si>
  <si>
    <t>L/day</t>
  </si>
  <si>
    <t>Q w beef</t>
  </si>
  <si>
    <t>t</t>
  </si>
  <si>
    <t>yr</t>
  </si>
  <si>
    <t>day/yr</t>
  </si>
  <si>
    <t>risk/pCi</t>
  </si>
  <si>
    <t>Irr dep</t>
  </si>
  <si>
    <t>Bv wet</t>
  </si>
  <si>
    <t>Bv dry</t>
  </si>
  <si>
    <t>ED</t>
  </si>
  <si>
    <t>EF iw</t>
  </si>
  <si>
    <t>EF c</t>
  </si>
  <si>
    <t>Ir</t>
  </si>
  <si>
    <t>L/m^2-day</t>
  </si>
  <si>
    <t>MLF p</t>
  </si>
  <si>
    <t xml:space="preserve">θw = </t>
  </si>
  <si>
    <t>SF inh</t>
  </si>
  <si>
    <t>(mg/m^3)^-1</t>
  </si>
  <si>
    <t>SF soil</t>
  </si>
  <si>
    <t>EF a</t>
  </si>
  <si>
    <t>F</t>
  </si>
  <si>
    <t>unitless</t>
  </si>
  <si>
    <t xml:space="preserve">ρb = </t>
  </si>
  <si>
    <t>IFA adj</t>
  </si>
  <si>
    <t>m3/day</t>
  </si>
  <si>
    <t>ET wa</t>
  </si>
  <si>
    <t>hrs/day</t>
  </si>
  <si>
    <t>IFW adj</t>
  </si>
  <si>
    <t>IFS adj</t>
  </si>
  <si>
    <t>ED c</t>
  </si>
  <si>
    <t>Q p-m</t>
  </si>
  <si>
    <t>Q p-b</t>
  </si>
  <si>
    <t>GSFi</t>
  </si>
  <si>
    <t xml:space="preserve">t = </t>
  </si>
  <si>
    <t>IRA child</t>
  </si>
  <si>
    <t>yrs</t>
  </si>
  <si>
    <t>L/hr</t>
  </si>
  <si>
    <t>mg/day</t>
  </si>
  <si>
    <t>IRP fr-c</t>
  </si>
  <si>
    <t>IRB c</t>
  </si>
  <si>
    <t>lambda B</t>
  </si>
  <si>
    <t>Q s-m</t>
  </si>
  <si>
    <t>Q s-b</t>
  </si>
  <si>
    <t>GSFo</t>
  </si>
  <si>
    <t>IRA adult</t>
  </si>
  <si>
    <t>IRA ow</t>
  </si>
  <si>
    <t>IRW c</t>
  </si>
  <si>
    <t>ED a</t>
  </si>
  <si>
    <t>ED rec</t>
  </si>
  <si>
    <t>ED r</t>
  </si>
  <si>
    <t>t b</t>
  </si>
  <si>
    <t>day</t>
  </si>
  <si>
    <t>f p-m</t>
  </si>
  <si>
    <t>f p-b</t>
  </si>
  <si>
    <t>ACF</t>
  </si>
  <si>
    <t>ET ra</t>
  </si>
  <si>
    <t>SF sub</t>
  </si>
  <si>
    <t>risk/yer per pCi/m3</t>
  </si>
  <si>
    <t>IRS c</t>
  </si>
  <si>
    <t>IRP fr-a</t>
  </si>
  <si>
    <t>IRB a</t>
  </si>
  <si>
    <t>P</t>
  </si>
  <si>
    <t>kg/m^2</t>
  </si>
  <si>
    <t>f s-m</t>
  </si>
  <si>
    <t>f s-b</t>
  </si>
  <si>
    <t>ET o</t>
  </si>
  <si>
    <t>hr/hr</t>
  </si>
  <si>
    <t>ET</t>
  </si>
  <si>
    <t>hr/day</t>
  </si>
  <si>
    <t xml:space="preserve">Kd = </t>
  </si>
  <si>
    <t>years</t>
  </si>
  <si>
    <t>MLF</t>
  </si>
  <si>
    <t>SF ext</t>
  </si>
  <si>
    <t>(risk/yr per pCi/g)</t>
  </si>
  <si>
    <t>ED child</t>
  </si>
  <si>
    <t>PRG-inh</t>
  </si>
  <si>
    <t>IRW a</t>
  </si>
  <si>
    <t>ED w</t>
  </si>
  <si>
    <t>I f</t>
  </si>
  <si>
    <t>ED adult</t>
  </si>
  <si>
    <t>PRG-sub</t>
  </si>
  <si>
    <t>IRS a</t>
  </si>
  <si>
    <t>IR iw</t>
  </si>
  <si>
    <t>PRG-ing</t>
  </si>
  <si>
    <t>lambda E</t>
  </si>
  <si>
    <t>1/day</t>
  </si>
  <si>
    <t>K</t>
  </si>
  <si>
    <t>L/m^3</t>
  </si>
  <si>
    <t>IRP vg-c</t>
  </si>
  <si>
    <t>t v</t>
  </si>
  <si>
    <t>m3/year</t>
  </si>
  <si>
    <t>Y v</t>
  </si>
  <si>
    <t>ET i</t>
  </si>
  <si>
    <t>IRP vg-a</t>
  </si>
  <si>
    <t>lambda HL</t>
  </si>
  <si>
    <t>lambda i</t>
  </si>
  <si>
    <t>CF p</t>
  </si>
  <si>
    <t>T</t>
  </si>
  <si>
    <t>1cm</t>
  </si>
  <si>
    <t>ground plane</t>
  </si>
  <si>
    <t>mass balance</t>
  </si>
  <si>
    <t>t w</t>
  </si>
  <si>
    <t>days</t>
  </si>
  <si>
    <t>pCi/cm^2</t>
  </si>
  <si>
    <t>risk/yr per pCi/g</t>
  </si>
  <si>
    <t>PEF</t>
  </si>
  <si>
    <t>m^3/kg</t>
  </si>
  <si>
    <t>fish</t>
  </si>
  <si>
    <t>EV c</t>
  </si>
  <si>
    <t>events/day</t>
  </si>
  <si>
    <t>EV a</t>
  </si>
  <si>
    <r>
      <t>L/cm</t>
    </r>
    <r>
      <rPr>
        <vertAlign val="superscript"/>
        <sz val="10"/>
        <rFont val="Arial"/>
        <family val="2"/>
      </rPr>
      <t>3</t>
    </r>
  </si>
  <si>
    <t>ETO</t>
  </si>
  <si>
    <t>θw</t>
  </si>
  <si>
    <r>
      <t>cm</t>
    </r>
    <r>
      <rPr>
        <vertAlign val="superscript"/>
        <sz val="10"/>
        <rFont val="Arial"/>
        <family val="2"/>
      </rPr>
      <t>3</t>
    </r>
    <r>
      <rPr>
        <sz val="10"/>
        <rFont val="Arial"/>
        <family val="2"/>
      </rPr>
      <t>/L</t>
    </r>
  </si>
  <si>
    <t>ETI</t>
  </si>
  <si>
    <t>ρb</t>
  </si>
  <si>
    <t>(mg/kg-day)^-1</t>
  </si>
  <si>
    <t>DF i</t>
  </si>
  <si>
    <t>IRF a</t>
  </si>
  <si>
    <t>ET c</t>
  </si>
  <si>
    <t>hours/event</t>
  </si>
  <si>
    <t>ET a</t>
  </si>
  <si>
    <t>ET rec</t>
  </si>
  <si>
    <t>Kd</t>
  </si>
  <si>
    <t>ET rw</t>
  </si>
  <si>
    <t>t res</t>
  </si>
  <si>
    <t>m/yr</t>
  </si>
  <si>
    <t>i</t>
  </si>
  <si>
    <t>m/m</t>
  </si>
  <si>
    <t>days/yr</t>
  </si>
  <si>
    <t>t rec</t>
  </si>
  <si>
    <t>d</t>
  </si>
  <si>
    <t>m</t>
  </si>
  <si>
    <t>surface</t>
  </si>
  <si>
    <t>I</t>
  </si>
  <si>
    <t>g/kg</t>
  </si>
  <si>
    <t>L</t>
  </si>
  <si>
    <t>PRG-ext</t>
  </si>
  <si>
    <t>d a</t>
  </si>
  <si>
    <t>d s</t>
  </si>
  <si>
    <t>5cm</t>
  </si>
  <si>
    <t>PEFsc</t>
  </si>
  <si>
    <t>PEF'sc</t>
  </si>
  <si>
    <t>BCF</t>
  </si>
  <si>
    <t>ft</t>
  </si>
  <si>
    <t xml:space="preserve">FI </t>
  </si>
  <si>
    <t>fraction contaminated</t>
  </si>
  <si>
    <t>acres</t>
  </si>
  <si>
    <t>tons/car</t>
  </si>
  <si>
    <t>tons/truck</t>
  </si>
  <si>
    <t>days/week</t>
  </si>
  <si>
    <t>weeks/year</t>
  </si>
  <si>
    <t>As</t>
  </si>
  <si>
    <t>p</t>
  </si>
  <si>
    <t>s</t>
  </si>
  <si>
    <t>A</t>
  </si>
  <si>
    <t>Ac</t>
  </si>
  <si>
    <t>B</t>
  </si>
  <si>
    <t>A surf</t>
  </si>
  <si>
    <t>C</t>
  </si>
  <si>
    <t>km</t>
  </si>
  <si>
    <t>s doz</t>
  </si>
  <si>
    <t>W</t>
  </si>
  <si>
    <t>tons</t>
  </si>
  <si>
    <t>s till</t>
  </si>
  <si>
    <t>distance</t>
  </si>
  <si>
    <t>km/day</t>
  </si>
  <si>
    <t>V</t>
  </si>
  <si>
    <t>J' T</t>
  </si>
  <si>
    <t>M doz</t>
  </si>
  <si>
    <t>g</t>
  </si>
  <si>
    <t>M excav</t>
  </si>
  <si>
    <t>M till</t>
  </si>
  <si>
    <t>M grade</t>
  </si>
  <si>
    <t>F(x)</t>
  </si>
  <si>
    <t>Um</t>
  </si>
  <si>
    <t>m/s</t>
  </si>
  <si>
    <t>Ut</t>
  </si>
  <si>
    <t>EF rec</t>
  </si>
  <si>
    <t>construction</t>
  </si>
  <si>
    <t>IRA c</t>
  </si>
  <si>
    <t>IRA a</t>
  </si>
  <si>
    <t>GSF i</t>
  </si>
  <si>
    <t>GSF o</t>
  </si>
  <si>
    <t>EF child</t>
  </si>
  <si>
    <t>EF adult</t>
  </si>
  <si>
    <t>ED fc</t>
  </si>
  <si>
    <t>ED fa</t>
  </si>
  <si>
    <t>ED f</t>
  </si>
  <si>
    <t>egg</t>
  </si>
  <si>
    <t>poultry</t>
  </si>
  <si>
    <t>swine</t>
  </si>
  <si>
    <t>IRPc</t>
  </si>
  <si>
    <t>IRPa</t>
  </si>
  <si>
    <t>IRFIc</t>
  </si>
  <si>
    <t>IRFIa</t>
  </si>
  <si>
    <t>PRG-imm</t>
  </si>
  <si>
    <t>SF imm</t>
  </si>
  <si>
    <t>hours</t>
  </si>
  <si>
    <t>ET rsc</t>
  </si>
  <si>
    <t>ET rsa</t>
  </si>
  <si>
    <t>SF water</t>
  </si>
  <si>
    <t>PRG-prod</t>
  </si>
  <si>
    <t>DFA adj</t>
  </si>
  <si>
    <r>
      <t>mg</t>
    </r>
    <r>
      <rPr>
        <sz val="12"/>
        <rFont val="Arial"/>
        <family val="2"/>
      </rPr>
      <t>³</t>
    </r>
    <r>
      <rPr>
        <sz val="10"/>
        <rFont val="Arial"/>
        <family val="2"/>
      </rPr>
      <t>/day</t>
    </r>
  </si>
  <si>
    <t>IRF c</t>
  </si>
  <si>
    <t>IRV c</t>
  </si>
  <si>
    <t>IRV a</t>
  </si>
  <si>
    <t>day/year</t>
  </si>
  <si>
    <t>EF fc</t>
  </si>
  <si>
    <t>EF fa</t>
  </si>
  <si>
    <t>event/day</t>
  </si>
  <si>
    <t>t c-event</t>
  </si>
  <si>
    <t>t a-event</t>
  </si>
  <si>
    <t>hr/event</t>
  </si>
  <si>
    <r>
      <t>L/mg</t>
    </r>
    <r>
      <rPr>
        <sz val="12"/>
        <rFont val="Arial"/>
        <family val="2"/>
      </rPr>
      <t>³</t>
    </r>
  </si>
  <si>
    <t>year</t>
  </si>
  <si>
    <t>PRG-wprod</t>
  </si>
  <si>
    <t>IRD c</t>
  </si>
  <si>
    <t>IRD a</t>
  </si>
  <si>
    <t>CF d</t>
  </si>
  <si>
    <t>IFD adj</t>
  </si>
  <si>
    <t>IFP fr adj</t>
  </si>
  <si>
    <t>IFP vg adj</t>
  </si>
  <si>
    <t>IFB adj</t>
  </si>
  <si>
    <t>CF b</t>
  </si>
  <si>
    <t>IFE adj</t>
  </si>
  <si>
    <t>IRE c</t>
  </si>
  <si>
    <t>IRE a</t>
  </si>
  <si>
    <t>IRFI f-adj</t>
  </si>
  <si>
    <t>CF e</t>
  </si>
  <si>
    <t>CF fi</t>
  </si>
  <si>
    <t>IFP f-adj</t>
  </si>
  <si>
    <t>IFSW f-adj</t>
  </si>
  <si>
    <t>IRSW a</t>
  </si>
  <si>
    <t>IRSW c</t>
  </si>
  <si>
    <t>CF sw</t>
  </si>
  <si>
    <t>Q w egg</t>
  </si>
  <si>
    <t>Q w po</t>
  </si>
  <si>
    <t>Q w swine</t>
  </si>
  <si>
    <t>Q w fish</t>
  </si>
  <si>
    <t>Q p-po</t>
  </si>
  <si>
    <t>Q s-po</t>
  </si>
  <si>
    <t>f p-po</t>
  </si>
  <si>
    <t>f s-po</t>
  </si>
  <si>
    <t>MLF po</t>
  </si>
  <si>
    <t>Q p-sw</t>
  </si>
  <si>
    <t>Q s-sw</t>
  </si>
  <si>
    <t>f p-sw</t>
  </si>
  <si>
    <t>f s-sw</t>
  </si>
  <si>
    <t>MLF sw</t>
  </si>
  <si>
    <t>MLF fi</t>
  </si>
  <si>
    <t>f s-fi</t>
  </si>
  <si>
    <t>f p-fi</t>
  </si>
  <si>
    <t>Q s-fi</t>
  </si>
  <si>
    <t>Q p-fi</t>
  </si>
  <si>
    <t>MLF egg</t>
  </si>
  <si>
    <t>Q s-egg</t>
  </si>
  <si>
    <t>Q p-egg</t>
  </si>
  <si>
    <t>f p-egg</t>
  </si>
  <si>
    <t>f s-egg</t>
  </si>
  <si>
    <t>Farmer</t>
  </si>
  <si>
    <t>kd</t>
  </si>
  <si>
    <t>PRG-egg</t>
  </si>
  <si>
    <t>PRG-po</t>
  </si>
  <si>
    <t>PRG-fish</t>
  </si>
  <si>
    <t>PRG-beef</t>
  </si>
  <si>
    <t>day/week</t>
  </si>
  <si>
    <t>ED cw</t>
  </si>
  <si>
    <t>t f</t>
  </si>
  <si>
    <t>IRGF rec</t>
  </si>
  <si>
    <t>Fowl</t>
  </si>
  <si>
    <t>Game</t>
  </si>
  <si>
    <t>direct ing</t>
  </si>
  <si>
    <t>IRGL rec</t>
  </si>
  <si>
    <t>Q s-fowl</t>
  </si>
  <si>
    <t>f p-fowl</t>
  </si>
  <si>
    <t>f s-fowl</t>
  </si>
  <si>
    <t>Q p-fowl</t>
  </si>
  <si>
    <t>Q p-game</t>
  </si>
  <si>
    <t>MLF fowl</t>
  </si>
  <si>
    <t>MLF game</t>
  </si>
  <si>
    <t>Q s-game</t>
  </si>
  <si>
    <t>f p-game</t>
  </si>
  <si>
    <t>f s-game</t>
  </si>
  <si>
    <t>Q w-fowl</t>
  </si>
  <si>
    <t>Q w-game</t>
  </si>
  <si>
    <t>TFm</t>
  </si>
  <si>
    <t>TF b</t>
  </si>
  <si>
    <t>TF egg</t>
  </si>
  <si>
    <t>TF fish</t>
  </si>
  <si>
    <t>TF po</t>
  </si>
  <si>
    <t>TF sw</t>
  </si>
  <si>
    <t>PEF - wind</t>
  </si>
  <si>
    <t>m³ air / kg soil</t>
  </si>
  <si>
    <t>Soil</t>
  </si>
  <si>
    <t>s/hour</t>
  </si>
  <si>
    <t>Q/C</t>
  </si>
  <si>
    <t>A R</t>
  </si>
  <si>
    <t>m²</t>
  </si>
  <si>
    <t>Σ VKT</t>
  </si>
  <si>
    <t>F D</t>
  </si>
  <si>
    <t>t c</t>
  </si>
  <si>
    <t>L R</t>
  </si>
  <si>
    <t>W R</t>
  </si>
  <si>
    <t>m² / ft²</t>
  </si>
  <si>
    <t>N cars</t>
  </si>
  <si>
    <t>N trucks</t>
  </si>
  <si>
    <t>seconds</t>
  </si>
  <si>
    <t>hour</t>
  </si>
  <si>
    <t>EW cw</t>
  </si>
  <si>
    <t>DW cw</t>
  </si>
  <si>
    <t>EF cw</t>
  </si>
  <si>
    <t>ET cw</t>
  </si>
  <si>
    <t>sec/hour</t>
  </si>
  <si>
    <t>hours/day</t>
  </si>
  <si>
    <t>M dry</t>
  </si>
  <si>
    <t>M pc wind</t>
  </si>
  <si>
    <t>ρ soil</t>
  </si>
  <si>
    <t>mg/m³</t>
  </si>
  <si>
    <t>A excav</t>
  </si>
  <si>
    <t>d excav</t>
  </si>
  <si>
    <t>N A-dump</t>
  </si>
  <si>
    <t>M m-excav</t>
  </si>
  <si>
    <t>percent</t>
  </si>
  <si>
    <t>Σ VKT doz</t>
  </si>
  <si>
    <t>M m-doz</t>
  </si>
  <si>
    <t>S doz</t>
  </si>
  <si>
    <t>km/hour</t>
  </si>
  <si>
    <t>S grade</t>
  </si>
  <si>
    <t>Σ VKT grade</t>
  </si>
  <si>
    <t>A till</t>
  </si>
  <si>
    <t>N A-till</t>
  </si>
  <si>
    <t>Ac-grade</t>
  </si>
  <si>
    <t>Bg</t>
  </si>
  <si>
    <t>N A-doz</t>
  </si>
  <si>
    <t>Ac-doz</t>
  </si>
  <si>
    <t>*Calculated Cell*</t>
  </si>
  <si>
    <t>Any changes made to PEF's will change other sheets.</t>
  </si>
  <si>
    <t>CPF res</t>
  </si>
  <si>
    <t>IRV rvg-c</t>
  </si>
  <si>
    <t>IRV rvg-a</t>
  </si>
  <si>
    <t>IFV rvg adj</t>
  </si>
  <si>
    <t>IFF rft adj</t>
  </si>
  <si>
    <t>IRF rft-c</t>
  </si>
  <si>
    <t>IRF rft-a</t>
  </si>
  <si>
    <t>PRG-ping</t>
  </si>
  <si>
    <t>PRG-sping</t>
  </si>
  <si>
    <t>kg/g</t>
  </si>
  <si>
    <t>SF-imm</t>
  </si>
  <si>
    <t>DW</t>
  </si>
  <si>
    <t>EW</t>
  </si>
  <si>
    <t>wks/yr</t>
  </si>
  <si>
    <t>g/day</t>
  </si>
  <si>
    <t>GSFa</t>
  </si>
  <si>
    <t>SF food</t>
  </si>
  <si>
    <t>half life in days</t>
  </si>
  <si>
    <t>PRG-swine</t>
  </si>
  <si>
    <t>PRG-milk</t>
  </si>
  <si>
    <t>ET fsc</t>
  </si>
  <si>
    <t>CPF f</t>
  </si>
  <si>
    <t>correct</t>
  </si>
  <si>
    <t>EF f-c</t>
  </si>
  <si>
    <t>EF f-a</t>
  </si>
  <si>
    <t>PEF sc mech</t>
  </si>
  <si>
    <t>PEF'sc mech</t>
  </si>
  <si>
    <t>wk/yr</t>
  </si>
  <si>
    <t>d/wk</t>
  </si>
  <si>
    <t>DAF</t>
  </si>
  <si>
    <t>For construction worker soil, do 200 m2 slab size and 20 cm soil cover for QA since landuse is site-specific.</t>
  </si>
  <si>
    <t xml:space="preserve">For recreator, do 200 m2 slab size and 20 cm soil cover for QA since landuse is site-specific. </t>
  </si>
  <si>
    <t>ground palne</t>
  </si>
  <si>
    <t>TF fowl</t>
  </si>
  <si>
    <t>TF game</t>
  </si>
  <si>
    <t>Recretor</t>
  </si>
  <si>
    <t>ET rec a</t>
  </si>
  <si>
    <t>ET rec c</t>
  </si>
  <si>
    <t>ET recw</t>
  </si>
  <si>
    <t>ED rec a</t>
  </si>
  <si>
    <t>ED rec c</t>
  </si>
  <si>
    <t>EF rec c</t>
  </si>
  <si>
    <t>EF rec a</t>
  </si>
  <si>
    <t xml:space="preserve">For construction worker, do 200 m2 slab size and 20 cm soil cover for QA since landuse is site-specific. </t>
  </si>
  <si>
    <t>mg</t>
  </si>
  <si>
    <t>m3</t>
  </si>
  <si>
    <t>hr</t>
  </si>
  <si>
    <t>ET c air</t>
  </si>
  <si>
    <t>ET a air</t>
  </si>
  <si>
    <t>HL (TR)</t>
  </si>
  <si>
    <t xml:space="preserve">IRA </t>
  </si>
  <si>
    <t>When the following variables, hi-lighted in green below, are changed, each value in the rest of the sheet will also change.</t>
  </si>
  <si>
    <t>IRW child</t>
  </si>
  <si>
    <t>IRW adult</t>
  </si>
  <si>
    <t>(HL) TR</t>
  </si>
  <si>
    <t>half life in years</t>
  </si>
  <si>
    <t>TF beef</t>
  </si>
  <si>
    <t>TF poultry</t>
  </si>
  <si>
    <t>TF swine</t>
  </si>
  <si>
    <t>TF dairy</t>
  </si>
  <si>
    <t>Ra-226+D</t>
  </si>
  <si>
    <t>Rn-222+D</t>
  </si>
  <si>
    <t>SF soil work</t>
  </si>
  <si>
    <t>Soil Volume (used for non-2D default)</t>
  </si>
  <si>
    <t>Site Specific</t>
  </si>
  <si>
    <t>1 cm GSF o</t>
  </si>
  <si>
    <t>1 cm ACF</t>
  </si>
  <si>
    <t>5 cm GSF o</t>
  </si>
  <si>
    <t>5 cm ACF</t>
  </si>
  <si>
    <t>15 cm GSF o</t>
  </si>
  <si>
    <t>15 cm ACF</t>
  </si>
  <si>
    <t>gp cm GSF o</t>
  </si>
  <si>
    <t>gp cm ACF</t>
  </si>
  <si>
    <t>SF ext sv</t>
  </si>
  <si>
    <t>SF ext gp</t>
  </si>
  <si>
    <t>SF ext 5cm</t>
  </si>
  <si>
    <t>SF ext 15 cm</t>
  </si>
  <si>
    <t>SF ext 1cm</t>
  </si>
  <si>
    <t>risk/yr per pCi/cm2</t>
  </si>
  <si>
    <t>(risk/yr per pCi/cm2)</t>
  </si>
  <si>
    <t>kg/day</t>
  </si>
  <si>
    <t>SF soil worker</t>
  </si>
  <si>
    <t>ET rwc</t>
  </si>
  <si>
    <t>ET rwa</t>
  </si>
  <si>
    <t>t cw</t>
  </si>
  <si>
    <t>IRA cw</t>
  </si>
  <si>
    <t>IFF fr adj</t>
  </si>
  <si>
    <t>IFV vg adj</t>
  </si>
  <si>
    <t>IRA iw</t>
  </si>
  <si>
    <t>IFFI f-adj</t>
  </si>
  <si>
    <t>Cell Color</t>
  </si>
  <si>
    <t>Meaning</t>
  </si>
  <si>
    <t>If the cell is maroon, then a default value is not available and the value listed is for QA purposes only.</t>
  </si>
  <si>
    <t>If the cell is yellow, then it is a calculated value using the cells within that column.</t>
  </si>
  <si>
    <t>If the cell is green, then it is a default or fixed value.</t>
  </si>
  <si>
    <t>If the cell is blue, then this value is based on a 200 m2 slab size and 20 cm soil cover.</t>
  </si>
  <si>
    <t>*Please Note that all of the landuses have also been assigned a respective color.</t>
  </si>
  <si>
    <t>Disclaimer:</t>
  </si>
  <si>
    <t>This archived file was intended for internal review but has been posted due to interest in historical reviews. This file is no longer used to quality assure the EPA PRG calculator as the calculator has undergone significant updates. Quality assurance spreadsheets have been updated accordingly and are provided on the internal verification page of the EPA PRG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</si>
</sst>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00E+00"/>
    <numFmt numFmtId="165" formatCode="0.0000E+00"/>
    <numFmt numFmtId="166" formatCode="0.000E+00"/>
    <numFmt numFmtId="167" formatCode="0.0E+00"/>
    <numFmt numFmtId="168" formatCode="0.00000"/>
    <numFmt numFmtId="169" formatCode="0.0"/>
    <numFmt numFmtId="170" formatCode="_(* #,##0_);_(* \(#,##0\);_(* &quot;-&quot;??_);_(@_)"/>
  </numFmts>
  <fonts count="34" x14ac:knownFonts="1">
    <font>
      <sz val="10"/>
      <name val="Arial"/>
      <family val="2"/>
    </font>
    <font>
      <sz val="10"/>
      <name val="Arial"/>
    </font>
    <font>
      <b/>
      <sz val="10"/>
      <name val="Arial"/>
      <family val="2"/>
    </font>
    <font>
      <vertAlign val="superscript"/>
      <sz val="10"/>
      <name val="Arial"/>
      <family val="2"/>
    </font>
    <font>
      <sz val="10"/>
      <name val="Arial"/>
      <family val="2"/>
      <charset val="1"/>
    </font>
    <font>
      <sz val="10"/>
      <name val="Arial"/>
      <family val="2"/>
    </font>
    <font>
      <sz val="12"/>
      <name val="Arial"/>
      <family val="2"/>
    </font>
    <font>
      <sz val="9"/>
      <color indexed="81"/>
      <name val="Tahoma"/>
      <family val="2"/>
    </font>
    <font>
      <b/>
      <sz val="9"/>
      <color indexed="81"/>
      <name val="Tahoma"/>
      <family val="2"/>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rgb="FF000000"/>
      <name val="Arial"/>
      <family val="2"/>
    </font>
    <font>
      <sz val="10"/>
      <color rgb="FF008080"/>
      <name val="Arial"/>
      <family val="2"/>
    </font>
    <font>
      <sz val="10"/>
      <color theme="1"/>
      <name val="Arial"/>
      <family val="2"/>
    </font>
    <font>
      <sz val="9"/>
      <color rgb="FF008080"/>
      <name val="Verdana"/>
      <family val="2"/>
    </font>
    <font>
      <i/>
      <sz val="10"/>
      <name val="Arial"/>
      <family val="2"/>
    </font>
    <font>
      <b/>
      <sz val="10"/>
      <color rgb="FFFF0000"/>
      <name val="Arial"/>
      <family val="2"/>
    </font>
    <font>
      <sz val="10"/>
      <color rgb="FFFF0000"/>
      <name val="Arial"/>
      <family val="2"/>
    </font>
  </fonts>
  <fills count="76">
    <fill>
      <patternFill patternType="none"/>
    </fill>
    <fill>
      <patternFill patternType="gray125"/>
    </fill>
    <fill>
      <patternFill patternType="solid">
        <fgColor indexed="13"/>
        <bgColor indexed="34"/>
      </patternFill>
    </fill>
    <fill>
      <patternFill patternType="solid">
        <fgColor indexed="11"/>
        <bgColor indexed="49"/>
      </patternFill>
    </fill>
    <fill>
      <patternFill patternType="solid">
        <fgColor indexed="15"/>
        <bgColor indexed="3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DDFFFF"/>
        <bgColor indexed="41"/>
      </patternFill>
    </fill>
    <fill>
      <patternFill patternType="solid">
        <fgColor rgb="FFFFDDFF"/>
        <bgColor indexed="41"/>
      </patternFill>
    </fill>
    <fill>
      <patternFill patternType="solid">
        <fgColor rgb="FFDCB9FF"/>
        <bgColor indexed="24"/>
      </patternFill>
    </fill>
    <fill>
      <patternFill patternType="solid">
        <fgColor rgb="FFBF3F7F"/>
        <bgColor indexed="61"/>
      </patternFill>
    </fill>
    <fill>
      <patternFill patternType="solid">
        <fgColor rgb="FFFFFFCC"/>
        <bgColor indexed="64"/>
      </patternFill>
    </fill>
    <fill>
      <patternFill patternType="solid">
        <fgColor rgb="FFD0DEEC"/>
        <bgColor indexed="41"/>
      </patternFill>
    </fill>
    <fill>
      <patternFill patternType="solid">
        <fgColor rgb="FFFFDBB7"/>
        <bgColor indexed="41"/>
      </patternFill>
    </fill>
    <fill>
      <patternFill patternType="solid">
        <fgColor rgb="FFFFCC00"/>
        <bgColor indexed="49"/>
      </patternFill>
    </fill>
    <fill>
      <patternFill patternType="solid">
        <fgColor rgb="FF00FF00"/>
        <bgColor indexed="24"/>
      </patternFill>
    </fill>
    <fill>
      <patternFill patternType="solid">
        <fgColor rgb="FF00FF00"/>
        <bgColor indexed="31"/>
      </patternFill>
    </fill>
    <fill>
      <patternFill patternType="solid">
        <fgColor rgb="FF00FF00"/>
        <bgColor indexed="34"/>
      </patternFill>
    </fill>
    <fill>
      <patternFill patternType="solid">
        <fgColor theme="7" tint="0.59999389629810485"/>
        <bgColor indexed="51"/>
      </patternFill>
    </fill>
    <fill>
      <patternFill patternType="solid">
        <fgColor theme="7" tint="0.59999389629810485"/>
        <bgColor indexed="35"/>
      </patternFill>
    </fill>
    <fill>
      <patternFill patternType="solid">
        <fgColor theme="7" tint="0.59999389629810485"/>
        <bgColor indexed="13"/>
      </patternFill>
    </fill>
    <fill>
      <patternFill patternType="solid">
        <fgColor theme="7" tint="0.59999389629810485"/>
        <bgColor indexed="49"/>
      </patternFill>
    </fill>
    <fill>
      <patternFill patternType="solid">
        <fgColor rgb="FF00FF00"/>
        <bgColor indexed="49"/>
      </patternFill>
    </fill>
    <fill>
      <patternFill patternType="solid">
        <fgColor rgb="FF9FC1A2"/>
        <bgColor indexed="64"/>
      </patternFill>
    </fill>
    <fill>
      <patternFill patternType="solid">
        <fgColor rgb="FF9FC1A2"/>
        <bgColor indexed="35"/>
      </patternFill>
    </fill>
    <fill>
      <patternFill patternType="solid">
        <fgColor rgb="FFFFFF99"/>
        <bgColor indexed="41"/>
      </patternFill>
    </fill>
    <fill>
      <patternFill patternType="solid">
        <fgColor rgb="FFB5CAE1"/>
        <bgColor indexed="41"/>
      </patternFill>
    </fill>
    <fill>
      <patternFill patternType="solid">
        <fgColor rgb="FFFFCC99"/>
        <bgColor indexed="41"/>
      </patternFill>
    </fill>
    <fill>
      <patternFill patternType="solid">
        <fgColor rgb="FFFFCCFF"/>
        <bgColor indexed="41"/>
      </patternFill>
    </fill>
    <fill>
      <patternFill patternType="solid">
        <fgColor rgb="FFD06E9F"/>
        <bgColor indexed="61"/>
      </patternFill>
    </fill>
    <fill>
      <patternFill patternType="solid">
        <fgColor rgb="FFCC99FF"/>
        <bgColor indexed="24"/>
      </patternFill>
    </fill>
    <fill>
      <patternFill patternType="solid">
        <fgColor rgb="FFCCFFFF"/>
        <bgColor indexed="41"/>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6"/>
        <bgColor indexed="35"/>
      </patternFill>
    </fill>
    <fill>
      <patternFill patternType="solid">
        <fgColor theme="9" tint="-0.249977111117893"/>
        <bgColor indexed="64"/>
      </patternFill>
    </fill>
    <fill>
      <patternFill patternType="solid">
        <fgColor theme="7" tint="0.59999389629810485"/>
        <bgColor indexed="64"/>
      </patternFill>
    </fill>
    <fill>
      <patternFill patternType="solid">
        <fgColor rgb="FFA4D7A1"/>
        <bgColor indexed="64"/>
      </patternFill>
    </fill>
    <fill>
      <patternFill patternType="solid">
        <fgColor theme="8" tint="0.59999389629810485"/>
        <bgColor indexed="64"/>
      </patternFill>
    </fill>
    <fill>
      <patternFill patternType="solid">
        <fgColor rgb="FFFF0000"/>
        <bgColor indexed="64"/>
      </patternFill>
    </fill>
    <fill>
      <patternFill patternType="solid">
        <fgColor rgb="FFDA9694"/>
        <bgColor indexed="64"/>
      </patternFill>
    </fill>
    <fill>
      <patternFill patternType="solid">
        <fgColor theme="8" tint="0.39997558519241921"/>
        <bgColor indexed="64"/>
      </patternFill>
    </fill>
  </fills>
  <borders count="52">
    <border>
      <left/>
      <right/>
      <top/>
      <bottom/>
      <diagonal/>
    </border>
    <border>
      <left/>
      <right/>
      <top style="thick">
        <color indexed="64"/>
      </top>
      <bottom/>
      <diagonal/>
    </border>
    <border>
      <left/>
      <right/>
      <top/>
      <bottom style="thick">
        <color indexed="64"/>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auto="1"/>
      </left>
      <right style="thick">
        <color auto="1"/>
      </right>
      <top style="thick">
        <color auto="1"/>
      </top>
      <bottom style="thick">
        <color auto="1"/>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215">
    <xf numFmtId="0" fontId="0"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2" fillId="29" borderId="0" applyNumberFormat="0" applyBorder="0" applyAlignment="0" applyProtection="0"/>
    <xf numFmtId="0" fontId="13" fillId="30" borderId="23" applyNumberFormat="0" applyAlignment="0" applyProtection="0"/>
    <xf numFmtId="0" fontId="14" fillId="31" borderId="24" applyNumberFormat="0" applyAlignment="0" applyProtection="0"/>
    <xf numFmtId="43" fontId="1" fillId="0" borderId="0" applyFill="0" applyBorder="0" applyAlignment="0" applyProtection="0"/>
    <xf numFmtId="0" fontId="4" fillId="0" borderId="0"/>
    <xf numFmtId="0" fontId="5" fillId="0" borderId="0"/>
    <xf numFmtId="0" fontId="15" fillId="0" borderId="0" applyNumberFormat="0" applyFill="0" applyBorder="0" applyAlignment="0" applyProtection="0"/>
    <xf numFmtId="0" fontId="16" fillId="32" borderId="0" applyNumberFormat="0" applyBorder="0" applyAlignment="0" applyProtection="0"/>
    <xf numFmtId="0" fontId="17" fillId="0" borderId="25" applyNumberFormat="0" applyFill="0" applyAlignment="0" applyProtection="0"/>
    <xf numFmtId="0" fontId="18" fillId="0" borderId="26" applyNumberFormat="0" applyFill="0" applyAlignment="0" applyProtection="0"/>
    <xf numFmtId="0" fontId="19" fillId="0" borderId="27" applyNumberFormat="0" applyFill="0" applyAlignment="0" applyProtection="0"/>
    <xf numFmtId="0" fontId="19" fillId="0" borderId="0" applyNumberFormat="0" applyFill="0" applyBorder="0" applyAlignment="0" applyProtection="0"/>
    <xf numFmtId="0" fontId="20" fillId="33" borderId="23" applyNumberFormat="0" applyAlignment="0" applyProtection="0"/>
    <xf numFmtId="0" fontId="21" fillId="0" borderId="28" applyNumberFormat="0" applyFill="0" applyAlignment="0" applyProtection="0"/>
    <xf numFmtId="0" fontId="22" fillId="34"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35" borderId="29" applyNumberFormat="0" applyFont="0" applyAlignment="0" applyProtection="0"/>
    <xf numFmtId="0" fontId="23" fillId="30" borderId="30" applyNumberFormat="0" applyAlignment="0" applyProtection="0"/>
    <xf numFmtId="0" fontId="24" fillId="0" borderId="0" applyNumberFormat="0" applyFill="0" applyBorder="0" applyAlignment="0" applyProtection="0"/>
    <xf numFmtId="0" fontId="25" fillId="0" borderId="31" applyNumberFormat="0" applyFill="0" applyAlignment="0" applyProtection="0"/>
    <xf numFmtId="0" fontId="26" fillId="0" borderId="0" applyNumberFormat="0" applyFill="0" applyBorder="0" applyAlignment="0" applyProtection="0"/>
  </cellStyleXfs>
  <cellXfs count="507">
    <xf numFmtId="0" fontId="0" fillId="0" borderId="0" xfId="0"/>
    <xf numFmtId="0" fontId="4" fillId="0" borderId="0" xfId="185"/>
    <xf numFmtId="0" fontId="4" fillId="0" borderId="0" xfId="185" applyAlignment="1">
      <alignment horizontal="center"/>
    </xf>
    <xf numFmtId="11" fontId="4" fillId="0" borderId="0" xfId="185" applyNumberFormat="1" applyAlignment="1">
      <alignment horizontal="center"/>
    </xf>
    <xf numFmtId="0" fontId="2" fillId="0" borderId="42" xfId="0" applyFont="1" applyBorder="1"/>
    <xf numFmtId="0" fontId="0" fillId="74" borderId="42" xfId="0" applyFill="1" applyBorder="1"/>
    <xf numFmtId="0" fontId="0" fillId="36" borderId="42" xfId="0" applyFill="1" applyBorder="1"/>
    <xf numFmtId="0" fontId="0" fillId="71" borderId="42" xfId="0" applyFill="1" applyBorder="1"/>
    <xf numFmtId="0" fontId="0" fillId="75" borderId="42" xfId="0" applyFill="1" applyBorder="1"/>
    <xf numFmtId="0" fontId="32" fillId="0" borderId="0" xfId="0" applyFont="1"/>
    <xf numFmtId="0" fontId="33" fillId="0" borderId="0" xfId="0" applyFont="1"/>
    <xf numFmtId="0" fontId="0" fillId="0" borderId="0" xfId="0" applyProtection="1">
      <protection locked="0"/>
    </xf>
    <xf numFmtId="11" fontId="0" fillId="0" borderId="0" xfId="0" applyNumberFormat="1" applyProtection="1">
      <protection locked="0"/>
    </xf>
    <xf numFmtId="0" fontId="4" fillId="0" borderId="0" xfId="185" applyProtection="1">
      <protection locked="0"/>
    </xf>
    <xf numFmtId="0" fontId="0" fillId="50" borderId="4" xfId="0" applyFill="1" applyBorder="1" applyProtection="1"/>
    <xf numFmtId="0" fontId="0" fillId="50" borderId="1" xfId="0" applyFill="1" applyBorder="1" applyProtection="1"/>
    <xf numFmtId="0" fontId="0" fillId="52" borderId="9" xfId="0" applyFill="1" applyBorder="1" applyProtection="1"/>
    <xf numFmtId="0" fontId="0" fillId="52" borderId="1" xfId="0" applyFill="1" applyBorder="1" applyProtection="1"/>
    <xf numFmtId="0" fontId="0" fillId="51" borderId="9" xfId="0" applyFill="1" applyBorder="1" applyProtection="1"/>
    <xf numFmtId="0" fontId="0" fillId="51" borderId="1" xfId="0" applyFill="1" applyBorder="1" applyProtection="1"/>
    <xf numFmtId="0" fontId="0" fillId="51" borderId="5" xfId="0" applyFill="1" applyBorder="1" applyProtection="1"/>
    <xf numFmtId="0" fontId="0" fillId="53" borderId="4" xfId="0" applyFill="1" applyBorder="1" applyProtection="1"/>
    <xf numFmtId="0" fontId="0" fillId="53" borderId="1" xfId="0" applyFill="1" applyBorder="1" applyProtection="1"/>
    <xf numFmtId="0" fontId="0" fillId="53" borderId="9" xfId="0" applyFill="1" applyBorder="1" applyProtection="1"/>
    <xf numFmtId="0" fontId="0" fillId="53" borderId="5" xfId="0" applyFill="1" applyBorder="1" applyProtection="1"/>
    <xf numFmtId="0" fontId="0" fillId="3" borderId="4" xfId="0" applyFill="1" applyBorder="1" applyProtection="1"/>
    <xf numFmtId="0" fontId="0" fillId="3" borderId="1" xfId="0" applyFill="1" applyBorder="1" applyProtection="1"/>
    <xf numFmtId="0" fontId="0" fillId="3" borderId="9" xfId="0" applyFill="1" applyBorder="1" applyProtection="1"/>
    <xf numFmtId="0" fontId="0" fillId="3" borderId="5" xfId="0" applyFill="1" applyBorder="1" applyProtection="1"/>
    <xf numFmtId="0" fontId="0" fillId="47" borderId="4" xfId="0" applyFill="1" applyBorder="1" applyProtection="1"/>
    <xf numFmtId="0" fontId="0" fillId="47" borderId="12" xfId="0" applyFill="1" applyBorder="1" applyProtection="1"/>
    <xf numFmtId="0" fontId="0" fillId="47" borderId="1" xfId="0" applyFill="1" applyBorder="1" applyProtection="1"/>
    <xf numFmtId="0" fontId="0" fillId="47" borderId="5" xfId="0" applyFill="1" applyBorder="1" applyProtection="1"/>
    <xf numFmtId="0" fontId="0" fillId="48" borderId="4" xfId="0" applyFill="1" applyBorder="1" applyProtection="1"/>
    <xf numFmtId="0" fontId="0" fillId="48" borderId="1" xfId="0" applyFill="1" applyBorder="1" applyProtection="1"/>
    <xf numFmtId="0" fontId="0" fillId="48" borderId="9" xfId="0" applyFill="1" applyBorder="1" applyProtection="1"/>
    <xf numFmtId="0" fontId="0" fillId="48" borderId="5" xfId="0" applyFill="1" applyBorder="1" applyProtection="1"/>
    <xf numFmtId="0" fontId="0" fillId="49" borderId="4" xfId="0" applyFill="1" applyBorder="1" applyProtection="1"/>
    <xf numFmtId="0" fontId="0" fillId="49" borderId="1" xfId="0" applyFill="1" applyBorder="1" applyProtection="1"/>
    <xf numFmtId="0" fontId="0" fillId="49" borderId="9" xfId="0" applyFill="1" applyBorder="1" applyProtection="1"/>
    <xf numFmtId="0" fontId="0" fillId="49" borderId="5" xfId="0" applyFill="1" applyBorder="1" applyProtection="1"/>
    <xf numFmtId="0" fontId="0" fillId="46" borderId="9" xfId="0" applyFill="1" applyBorder="1" applyProtection="1"/>
    <xf numFmtId="0" fontId="0" fillId="46" borderId="1" xfId="0" applyFill="1" applyBorder="1" applyProtection="1"/>
    <xf numFmtId="0" fontId="0" fillId="46" borderId="5" xfId="0" applyFill="1" applyBorder="1" applyProtection="1"/>
    <xf numFmtId="0" fontId="0" fillId="68" borderId="9" xfId="0" applyFill="1" applyBorder="1" applyProtection="1"/>
    <xf numFmtId="0" fontId="0" fillId="68" borderId="1" xfId="0" applyFill="1" applyBorder="1" applyProtection="1"/>
    <xf numFmtId="0" fontId="0" fillId="68" borderId="5" xfId="0" applyFill="1" applyBorder="1" applyProtection="1"/>
    <xf numFmtId="0" fontId="0" fillId="55" borderId="9" xfId="0" applyFill="1" applyBorder="1" applyProtection="1"/>
    <xf numFmtId="0" fontId="0" fillId="55" borderId="1" xfId="0" applyFill="1" applyBorder="1" applyProtection="1"/>
    <xf numFmtId="0" fontId="0" fillId="56" borderId="9" xfId="0" applyFill="1" applyBorder="1" applyProtection="1"/>
    <xf numFmtId="0" fontId="0" fillId="56" borderId="1" xfId="0" applyFill="1" applyBorder="1" applyProtection="1"/>
    <xf numFmtId="0" fontId="0" fillId="56" borderId="5" xfId="0" applyFill="1" applyBorder="1" applyProtection="1"/>
    <xf numFmtId="0" fontId="0" fillId="61" borderId="1" xfId="0" applyFill="1" applyBorder="1" applyProtection="1"/>
    <xf numFmtId="0" fontId="0" fillId="42" borderId="4" xfId="0" applyFill="1" applyBorder="1" applyProtection="1"/>
    <xf numFmtId="0" fontId="0" fillId="42" borderId="1" xfId="0" applyFill="1" applyBorder="1" applyProtection="1"/>
    <xf numFmtId="0" fontId="0" fillId="42" borderId="9" xfId="0" applyFill="1" applyBorder="1" applyProtection="1"/>
    <xf numFmtId="0" fontId="0" fillId="42" borderId="5" xfId="0" applyFill="1" applyBorder="1" applyProtection="1"/>
    <xf numFmtId="0" fontId="0" fillId="41" borderId="1" xfId="0" applyFill="1" applyBorder="1" applyProtection="1"/>
    <xf numFmtId="0" fontId="0" fillId="62" borderId="4" xfId="0" applyFill="1" applyBorder="1" applyProtection="1"/>
    <xf numFmtId="0" fontId="0" fillId="62" borderId="1" xfId="0" applyFill="1" applyBorder="1" applyProtection="1"/>
    <xf numFmtId="0" fontId="0" fillId="62" borderId="9" xfId="0" applyFill="1" applyBorder="1" applyProtection="1"/>
    <xf numFmtId="0" fontId="0" fillId="62" borderId="5" xfId="0" applyFill="1" applyBorder="1" applyProtection="1"/>
    <xf numFmtId="0" fontId="0" fillId="39" borderId="1" xfId="0" applyFill="1" applyBorder="1" applyProtection="1"/>
    <xf numFmtId="0" fontId="0" fillId="63" borderId="4" xfId="0" applyFill="1" applyBorder="1" applyProtection="1"/>
    <xf numFmtId="0" fontId="0" fillId="63" borderId="1" xfId="0" applyFill="1" applyBorder="1" applyProtection="1"/>
    <xf numFmtId="0" fontId="0" fillId="63" borderId="9" xfId="0" applyFill="1" applyBorder="1" applyProtection="1"/>
    <xf numFmtId="0" fontId="0" fillId="63" borderId="5" xfId="0" applyFill="1" applyBorder="1" applyProtection="1"/>
    <xf numFmtId="0" fontId="0" fillId="43" borderId="1" xfId="0" applyFill="1" applyBorder="1" applyProtection="1"/>
    <xf numFmtId="0" fontId="0" fillId="57" borderId="4" xfId="0" applyFill="1" applyBorder="1" applyProtection="1"/>
    <xf numFmtId="0" fontId="0" fillId="57" borderId="1" xfId="0" applyFill="1" applyBorder="1" applyProtection="1"/>
    <xf numFmtId="0" fontId="0" fillId="57" borderId="9" xfId="0" applyFill="1" applyBorder="1" applyProtection="1"/>
    <xf numFmtId="0" fontId="0" fillId="57" borderId="5" xfId="0" applyFill="1" applyBorder="1" applyProtection="1"/>
    <xf numFmtId="0" fontId="0" fillId="44" borderId="4" xfId="0" applyFill="1" applyBorder="1" applyProtection="1"/>
    <xf numFmtId="0" fontId="0" fillId="44" borderId="1" xfId="0" applyFill="1" applyBorder="1" applyProtection="1"/>
    <xf numFmtId="0" fontId="0" fillId="44" borderId="5" xfId="0" applyFill="1" applyBorder="1" applyProtection="1"/>
    <xf numFmtId="0" fontId="0" fillId="58" borderId="4" xfId="0" applyFill="1" applyBorder="1" applyProtection="1"/>
    <xf numFmtId="0" fontId="0" fillId="58" borderId="1" xfId="0" applyFill="1" applyBorder="1" applyProtection="1"/>
    <xf numFmtId="0" fontId="0" fillId="58" borderId="9" xfId="0" applyFill="1" applyBorder="1" applyProtection="1"/>
    <xf numFmtId="0" fontId="0" fillId="58" borderId="5" xfId="0" applyFill="1" applyBorder="1" applyProtection="1"/>
    <xf numFmtId="0" fontId="0" fillId="45" borderId="4" xfId="0" applyFill="1" applyBorder="1" applyProtection="1"/>
    <xf numFmtId="0" fontId="0" fillId="45" borderId="1" xfId="0" applyFill="1" applyBorder="1" applyProtection="1"/>
    <xf numFmtId="0" fontId="0" fillId="45" borderId="5" xfId="0" applyFill="1" applyBorder="1" applyProtection="1"/>
    <xf numFmtId="0" fontId="0" fillId="59" borderId="4" xfId="0" applyFill="1" applyBorder="1" applyProtection="1"/>
    <xf numFmtId="0" fontId="0" fillId="59" borderId="1" xfId="0" applyFill="1" applyBorder="1" applyProtection="1"/>
    <xf numFmtId="0" fontId="0" fillId="59" borderId="9" xfId="0" applyFill="1" applyBorder="1" applyProtection="1"/>
    <xf numFmtId="0" fontId="0" fillId="59" borderId="5" xfId="0" applyFill="1" applyBorder="1" applyProtection="1"/>
    <xf numFmtId="0" fontId="0" fillId="40" borderId="4" xfId="0" applyFill="1" applyBorder="1" applyProtection="1"/>
    <xf numFmtId="0" fontId="0" fillId="40" borderId="1" xfId="0" applyFill="1" applyBorder="1" applyProtection="1"/>
    <xf numFmtId="0" fontId="0" fillId="40" borderId="5" xfId="0" applyFill="1" applyBorder="1" applyProtection="1"/>
    <xf numFmtId="0" fontId="0" fillId="60" borderId="4" xfId="0" applyFill="1" applyBorder="1" applyProtection="1"/>
    <xf numFmtId="0" fontId="0" fillId="60" borderId="1" xfId="0" applyFill="1" applyBorder="1" applyProtection="1"/>
    <xf numFmtId="0" fontId="0" fillId="60" borderId="9" xfId="0" applyFill="1" applyBorder="1" applyProtection="1"/>
    <xf numFmtId="0" fontId="0" fillId="4" borderId="4" xfId="0" applyFill="1" applyBorder="1" applyProtection="1"/>
    <xf numFmtId="0" fontId="0" fillId="4" borderId="1" xfId="0" applyFill="1" applyBorder="1" applyProtection="1"/>
    <xf numFmtId="0" fontId="0" fillId="4" borderId="5" xfId="0" applyFill="1" applyBorder="1" applyProtection="1"/>
    <xf numFmtId="0" fontId="0" fillId="0" borderId="0" xfId="0" applyProtection="1"/>
    <xf numFmtId="0" fontId="0" fillId="50" borderId="3" xfId="0" applyFill="1" applyBorder="1" applyProtection="1"/>
    <xf numFmtId="0" fontId="0" fillId="50" borderId="0" xfId="0" applyFill="1" applyProtection="1"/>
    <xf numFmtId="0" fontId="0" fillId="52" borderId="10" xfId="0" applyFill="1" applyBorder="1" applyProtection="1"/>
    <xf numFmtId="0" fontId="0" fillId="52" borderId="0" xfId="0" applyFill="1" applyProtection="1"/>
    <xf numFmtId="0" fontId="0" fillId="51" borderId="10" xfId="0" applyFill="1" applyBorder="1" applyProtection="1"/>
    <xf numFmtId="0" fontId="0" fillId="51" borderId="0" xfId="0" applyFill="1" applyProtection="1"/>
    <xf numFmtId="0" fontId="0" fillId="51" borderId="6" xfId="0" applyFill="1" applyBorder="1" applyProtection="1"/>
    <xf numFmtId="0" fontId="0" fillId="53" borderId="3" xfId="0" applyFill="1" applyBorder="1" applyProtection="1"/>
    <xf numFmtId="0" fontId="0" fillId="53" borderId="0" xfId="0" applyFill="1" applyProtection="1"/>
    <xf numFmtId="0" fontId="2" fillId="53" borderId="0" xfId="0" applyFont="1" applyFill="1" applyProtection="1"/>
    <xf numFmtId="0" fontId="0" fillId="53" borderId="10" xfId="0" applyFill="1" applyBorder="1" applyProtection="1"/>
    <xf numFmtId="0" fontId="2" fillId="53" borderId="6" xfId="0" applyFont="1" applyFill="1" applyBorder="1" applyProtection="1"/>
    <xf numFmtId="0" fontId="0" fillId="3" borderId="3" xfId="0" applyFill="1" applyBorder="1" applyProtection="1"/>
    <xf numFmtId="0" fontId="0" fillId="3" borderId="0" xfId="0" applyFill="1" applyProtection="1"/>
    <xf numFmtId="0" fontId="0" fillId="3" borderId="10" xfId="0" applyFill="1" applyBorder="1" applyProtection="1"/>
    <xf numFmtId="0" fontId="0" fillId="3" borderId="6" xfId="0" applyFill="1" applyBorder="1" applyProtection="1"/>
    <xf numFmtId="0" fontId="0" fillId="47" borderId="3" xfId="0" applyFill="1" applyBorder="1" applyProtection="1"/>
    <xf numFmtId="0" fontId="0" fillId="47" borderId="13" xfId="0" applyFill="1" applyBorder="1" applyProtection="1"/>
    <xf numFmtId="0" fontId="0" fillId="47" borderId="0" xfId="0" applyFill="1" applyProtection="1"/>
    <xf numFmtId="0" fontId="0" fillId="47" borderId="6" xfId="0" applyFill="1" applyBorder="1" applyProtection="1"/>
    <xf numFmtId="0" fontId="0" fillId="48" borderId="3" xfId="0" applyFill="1" applyBorder="1" applyProtection="1"/>
    <xf numFmtId="0" fontId="0" fillId="48" borderId="0" xfId="0" applyFill="1" applyProtection="1"/>
    <xf numFmtId="0" fontId="2" fillId="48" borderId="0" xfId="0" applyFont="1" applyFill="1" applyProtection="1"/>
    <xf numFmtId="0" fontId="0" fillId="48" borderId="10" xfId="0" applyFill="1" applyBorder="1" applyProtection="1"/>
    <xf numFmtId="0" fontId="2" fillId="48" borderId="6" xfId="0" applyFont="1" applyFill="1" applyBorder="1" applyProtection="1"/>
    <xf numFmtId="0" fontId="0" fillId="49" borderId="3" xfId="0" applyFill="1" applyBorder="1" applyProtection="1"/>
    <xf numFmtId="0" fontId="0" fillId="49" borderId="0" xfId="0" applyFill="1" applyProtection="1"/>
    <xf numFmtId="0" fontId="2" fillId="49" borderId="0" xfId="0" applyFont="1" applyFill="1" applyProtection="1"/>
    <xf numFmtId="0" fontId="0" fillId="49" borderId="10" xfId="0" applyFill="1" applyBorder="1" applyProtection="1"/>
    <xf numFmtId="0" fontId="2" fillId="49" borderId="6" xfId="0" applyFont="1" applyFill="1" applyBorder="1" applyProtection="1"/>
    <xf numFmtId="0" fontId="0" fillId="46" borderId="10" xfId="0" applyFill="1" applyBorder="1" applyProtection="1"/>
    <xf numFmtId="0" fontId="0" fillId="46" borderId="0" xfId="0" applyFill="1" applyProtection="1"/>
    <xf numFmtId="0" fontId="2" fillId="46" borderId="0" xfId="0" applyFont="1" applyFill="1" applyProtection="1"/>
    <xf numFmtId="0" fontId="2" fillId="46" borderId="6" xfId="0" applyFont="1" applyFill="1" applyBorder="1" applyProtection="1"/>
    <xf numFmtId="0" fontId="0" fillId="68" borderId="10" xfId="0" applyFill="1" applyBorder="1" applyProtection="1"/>
    <xf numFmtId="0" fontId="0" fillId="68" borderId="0" xfId="0" applyFill="1" applyProtection="1"/>
    <xf numFmtId="0" fontId="0" fillId="68" borderId="6" xfId="0" applyFill="1" applyBorder="1" applyProtection="1"/>
    <xf numFmtId="0" fontId="0" fillId="55" borderId="10" xfId="0" applyFill="1" applyBorder="1" applyProtection="1"/>
    <xf numFmtId="0" fontId="0" fillId="55" borderId="0" xfId="0" applyFill="1" applyProtection="1"/>
    <xf numFmtId="0" fontId="0" fillId="56" borderId="10" xfId="0" applyFill="1" applyBorder="1" applyProtection="1"/>
    <xf numFmtId="0" fontId="0" fillId="56" borderId="0" xfId="0" applyFill="1" applyProtection="1"/>
    <xf numFmtId="0" fontId="0" fillId="56" borderId="6" xfId="0" applyFill="1" applyBorder="1" applyProtection="1"/>
    <xf numFmtId="0" fontId="0" fillId="61" borderId="0" xfId="0" applyFill="1" applyProtection="1"/>
    <xf numFmtId="0" fontId="0" fillId="42" borderId="3" xfId="0" applyFill="1" applyBorder="1" applyProtection="1"/>
    <xf numFmtId="0" fontId="0" fillId="42" borderId="0" xfId="0" applyFill="1" applyProtection="1"/>
    <xf numFmtId="0" fontId="0" fillId="42" borderId="10" xfId="0" applyFill="1" applyBorder="1" applyProtection="1"/>
    <xf numFmtId="0" fontId="0" fillId="42" borderId="6" xfId="0" applyFill="1" applyBorder="1" applyProtection="1"/>
    <xf numFmtId="0" fontId="0" fillId="41" borderId="0" xfId="0" applyFill="1" applyProtection="1"/>
    <xf numFmtId="0" fontId="0" fillId="62" borderId="3" xfId="0" applyFill="1" applyBorder="1" applyProtection="1"/>
    <xf numFmtId="0" fontId="0" fillId="62" borderId="0" xfId="0" applyFill="1" applyProtection="1"/>
    <xf numFmtId="0" fontId="0" fillId="62" borderId="10" xfId="0" applyFill="1" applyBorder="1" applyProtection="1"/>
    <xf numFmtId="0" fontId="0" fillId="62" borderId="6" xfId="0" applyFill="1" applyBorder="1" applyProtection="1"/>
    <xf numFmtId="0" fontId="0" fillId="39" borderId="0" xfId="0" applyFill="1" applyProtection="1"/>
    <xf numFmtId="0" fontId="0" fillId="63" borderId="3" xfId="0" applyFill="1" applyBorder="1" applyProtection="1"/>
    <xf numFmtId="0" fontId="0" fillId="63" borderId="0" xfId="0" applyFill="1" applyProtection="1"/>
    <xf numFmtId="0" fontId="0" fillId="63" borderId="10" xfId="0" applyFill="1" applyBorder="1" applyProtection="1"/>
    <xf numFmtId="0" fontId="0" fillId="63" borderId="6" xfId="0" applyFill="1" applyBorder="1" applyProtection="1"/>
    <xf numFmtId="0" fontId="0" fillId="43" borderId="0" xfId="0" applyFill="1" applyProtection="1"/>
    <xf numFmtId="0" fontId="0" fillId="57" borderId="3" xfId="0" applyFill="1" applyBorder="1" applyProtection="1"/>
    <xf numFmtId="0" fontId="0" fillId="57" borderId="0" xfId="0" applyFill="1" applyProtection="1"/>
    <xf numFmtId="0" fontId="0" fillId="57" borderId="10" xfId="0" applyFill="1" applyBorder="1" applyProtection="1"/>
    <xf numFmtId="0" fontId="0" fillId="57" borderId="6" xfId="0" applyFill="1" applyBorder="1" applyProtection="1"/>
    <xf numFmtId="0" fontId="0" fillId="44" borderId="3" xfId="0" applyFill="1" applyBorder="1" applyProtection="1"/>
    <xf numFmtId="0" fontId="0" fillId="44" borderId="0" xfId="0" applyFill="1" applyProtection="1"/>
    <xf numFmtId="0" fontId="0" fillId="44" borderId="6" xfId="0" applyFill="1" applyBorder="1" applyProtection="1"/>
    <xf numFmtId="0" fontId="0" fillId="58" borderId="3" xfId="0" applyFill="1" applyBorder="1" applyProtection="1"/>
    <xf numFmtId="0" fontId="0" fillId="58" borderId="0" xfId="0" applyFill="1" applyProtection="1"/>
    <xf numFmtId="0" fontId="0" fillId="58" borderId="10" xfId="0" applyFill="1" applyBorder="1" applyProtection="1"/>
    <xf numFmtId="0" fontId="0" fillId="58" borderId="6" xfId="0" applyFill="1" applyBorder="1" applyProtection="1"/>
    <xf numFmtId="0" fontId="0" fillId="45" borderId="3" xfId="0" applyFill="1" applyBorder="1" applyProtection="1"/>
    <xf numFmtId="0" fontId="0" fillId="45" borderId="0" xfId="0" applyFill="1" applyProtection="1"/>
    <xf numFmtId="0" fontId="0" fillId="45" borderId="6" xfId="0" applyFill="1" applyBorder="1" applyProtection="1"/>
    <xf numFmtId="0" fontId="0" fillId="59" borderId="3" xfId="0" applyFill="1" applyBorder="1" applyProtection="1"/>
    <xf numFmtId="0" fontId="0" fillId="59" borderId="0" xfId="0" applyFill="1" applyProtection="1"/>
    <xf numFmtId="0" fontId="0" fillId="59" borderId="10" xfId="0" applyFill="1" applyBorder="1" applyProtection="1"/>
    <xf numFmtId="0" fontId="0" fillId="59" borderId="6" xfId="0" applyFill="1" applyBorder="1" applyProtection="1"/>
    <xf numFmtId="0" fontId="0" fillId="40" borderId="3" xfId="0" applyFill="1" applyBorder="1" applyProtection="1"/>
    <xf numFmtId="0" fontId="0" fillId="40" borderId="0" xfId="0" applyFill="1" applyProtection="1"/>
    <xf numFmtId="0" fontId="0" fillId="40" borderId="6" xfId="0" applyFill="1" applyBorder="1" applyProtection="1"/>
    <xf numFmtId="0" fontId="0" fillId="60" borderId="3" xfId="0" applyFill="1" applyBorder="1" applyProtection="1"/>
    <xf numFmtId="0" fontId="0" fillId="60" borderId="0" xfId="0" applyFill="1" applyProtection="1"/>
    <xf numFmtId="0" fontId="0" fillId="60" borderId="10" xfId="0" applyFill="1" applyBorder="1" applyProtection="1"/>
    <xf numFmtId="0" fontId="0" fillId="4" borderId="3" xfId="0" applyFill="1" applyBorder="1" applyProtection="1"/>
    <xf numFmtId="0" fontId="0" fillId="4" borderId="0" xfId="0" applyFill="1" applyProtection="1"/>
    <xf numFmtId="0" fontId="0" fillId="4" borderId="6" xfId="0" applyFill="1" applyBorder="1" applyProtection="1"/>
    <xf numFmtId="11" fontId="2" fillId="70" borderId="0" xfId="0" applyNumberFormat="1" applyFont="1" applyFill="1" applyProtection="1"/>
    <xf numFmtId="0" fontId="2" fillId="50" borderId="0" xfId="0" applyFont="1" applyFill="1" applyProtection="1"/>
    <xf numFmtId="0" fontId="2" fillId="52" borderId="0" xfId="0" applyFont="1" applyFill="1" applyProtection="1"/>
    <xf numFmtId="0" fontId="2" fillId="51" borderId="6" xfId="0" applyFont="1" applyFill="1" applyBorder="1" applyProtection="1"/>
    <xf numFmtId="11" fontId="2" fillId="53" borderId="0" xfId="0" applyNumberFormat="1" applyFont="1" applyFill="1" applyProtection="1"/>
    <xf numFmtId="11" fontId="2" fillId="3" borderId="0" xfId="0" applyNumberFormat="1" applyFont="1" applyFill="1" applyProtection="1"/>
    <xf numFmtId="0" fontId="2" fillId="3" borderId="0" xfId="0" applyFont="1" applyFill="1" applyProtection="1"/>
    <xf numFmtId="0" fontId="2" fillId="3" borderId="10" xfId="0" applyFont="1" applyFill="1" applyBorder="1" applyProtection="1"/>
    <xf numFmtId="0" fontId="2" fillId="3" borderId="6" xfId="0" applyFont="1" applyFill="1" applyBorder="1" applyProtection="1"/>
    <xf numFmtId="11" fontId="2" fillId="47" borderId="13" xfId="0" applyNumberFormat="1" applyFont="1" applyFill="1" applyBorder="1" applyProtection="1"/>
    <xf numFmtId="11" fontId="2" fillId="47" borderId="0" xfId="0" applyNumberFormat="1" applyFont="1" applyFill="1" applyProtection="1"/>
    <xf numFmtId="0" fontId="2" fillId="47" borderId="6" xfId="0" applyFont="1" applyFill="1" applyBorder="1" applyProtection="1"/>
    <xf numFmtId="11" fontId="2" fillId="48" borderId="0" xfId="0" applyNumberFormat="1" applyFont="1" applyFill="1" applyProtection="1"/>
    <xf numFmtId="11" fontId="2" fillId="49" borderId="0" xfId="0" applyNumberFormat="1" applyFont="1" applyFill="1" applyProtection="1"/>
    <xf numFmtId="11" fontId="2" fillId="46" borderId="0" xfId="0" applyNumberFormat="1" applyFont="1" applyFill="1" applyProtection="1"/>
    <xf numFmtId="11" fontId="2" fillId="68" borderId="0" xfId="0" applyNumberFormat="1" applyFont="1" applyFill="1" applyProtection="1"/>
    <xf numFmtId="0" fontId="2" fillId="68" borderId="6" xfId="0" applyFont="1" applyFill="1" applyBorder="1" applyProtection="1"/>
    <xf numFmtId="11" fontId="2" fillId="55" borderId="0" xfId="0" applyNumberFormat="1" applyFont="1" applyFill="1" applyProtection="1"/>
    <xf numFmtId="0" fontId="2" fillId="55" borderId="0" xfId="0" applyFont="1" applyFill="1" applyProtection="1"/>
    <xf numFmtId="0" fontId="2" fillId="56" borderId="10" xfId="0" applyFont="1" applyFill="1" applyBorder="1" applyProtection="1"/>
    <xf numFmtId="11" fontId="2" fillId="56" borderId="0" xfId="0" applyNumberFormat="1" applyFont="1" applyFill="1" applyProtection="1"/>
    <xf numFmtId="0" fontId="2" fillId="56" borderId="6" xfId="0" applyFont="1" applyFill="1" applyBorder="1" applyProtection="1"/>
    <xf numFmtId="11" fontId="2" fillId="61" borderId="0" xfId="0" applyNumberFormat="1" applyFont="1" applyFill="1" applyProtection="1"/>
    <xf numFmtId="0" fontId="2" fillId="61" borderId="0" xfId="0" applyFont="1" applyFill="1" applyProtection="1"/>
    <xf numFmtId="11" fontId="2" fillId="42" borderId="0" xfId="0" applyNumberFormat="1" applyFont="1" applyFill="1" applyProtection="1"/>
    <xf numFmtId="0" fontId="2" fillId="42" borderId="0" xfId="0" applyFont="1" applyFill="1" applyProtection="1"/>
    <xf numFmtId="0" fontId="2" fillId="42" borderId="6" xfId="0" applyFont="1" applyFill="1" applyBorder="1" applyProtection="1"/>
    <xf numFmtId="11" fontId="2" fillId="41" borderId="0" xfId="0" applyNumberFormat="1" applyFont="1" applyFill="1" applyProtection="1"/>
    <xf numFmtId="0" fontId="2" fillId="41" borderId="0" xfId="0" applyFont="1" applyFill="1" applyProtection="1"/>
    <xf numFmtId="11" fontId="2" fillId="62" borderId="0" xfId="0" applyNumberFormat="1" applyFont="1" applyFill="1" applyProtection="1"/>
    <xf numFmtId="0" fontId="2" fillId="62" borderId="0" xfId="0" applyFont="1" applyFill="1" applyProtection="1"/>
    <xf numFmtId="0" fontId="2" fillId="62" borderId="6" xfId="0" applyFont="1" applyFill="1" applyBorder="1" applyProtection="1"/>
    <xf numFmtId="11" fontId="2" fillId="39" borderId="0" xfId="0" applyNumberFormat="1" applyFont="1" applyFill="1" applyProtection="1"/>
    <xf numFmtId="0" fontId="2" fillId="39" borderId="0" xfId="0" applyFont="1" applyFill="1" applyProtection="1"/>
    <xf numFmtId="11" fontId="2" fillId="63" borderId="0" xfId="0" applyNumberFormat="1" applyFont="1" applyFill="1" applyProtection="1"/>
    <xf numFmtId="0" fontId="2" fillId="63" borderId="0" xfId="0" applyFont="1" applyFill="1" applyProtection="1"/>
    <xf numFmtId="0" fontId="2" fillId="63" borderId="6" xfId="0" applyFont="1" applyFill="1" applyBorder="1" applyProtection="1"/>
    <xf numFmtId="0" fontId="2" fillId="43" borderId="0" xfId="0" applyFont="1" applyFill="1" applyProtection="1"/>
    <xf numFmtId="11" fontId="2" fillId="43" borderId="0" xfId="0" applyNumberFormat="1" applyFont="1" applyFill="1" applyProtection="1"/>
    <xf numFmtId="0" fontId="2" fillId="57" borderId="3" xfId="0" applyFont="1" applyFill="1" applyBorder="1" applyProtection="1"/>
    <xf numFmtId="11" fontId="2" fillId="57" borderId="0" xfId="0" applyNumberFormat="1" applyFont="1" applyFill="1" applyProtection="1"/>
    <xf numFmtId="11" fontId="2" fillId="57" borderId="10" xfId="0" applyNumberFormat="1" applyFont="1" applyFill="1" applyBorder="1" applyProtection="1"/>
    <xf numFmtId="167" fontId="2" fillId="57" borderId="0" xfId="0" applyNumberFormat="1" applyFont="1" applyFill="1" applyProtection="1"/>
    <xf numFmtId="167" fontId="2" fillId="57" borderId="10" xfId="0" applyNumberFormat="1" applyFont="1" applyFill="1" applyBorder="1" applyProtection="1"/>
    <xf numFmtId="0" fontId="2" fillId="57" borderId="6" xfId="0" applyFont="1" applyFill="1" applyBorder="1" applyProtection="1"/>
    <xf numFmtId="0" fontId="2" fillId="44" borderId="3" xfId="0" applyFont="1" applyFill="1" applyBorder="1" applyProtection="1"/>
    <xf numFmtId="11" fontId="2" fillId="44" borderId="0" xfId="0" applyNumberFormat="1" applyFont="1" applyFill="1" applyProtection="1"/>
    <xf numFmtId="0" fontId="2" fillId="44" borderId="6" xfId="0" applyFont="1" applyFill="1" applyBorder="1" applyProtection="1"/>
    <xf numFmtId="0" fontId="2" fillId="58" borderId="3" xfId="0" applyFont="1" applyFill="1" applyBorder="1" applyProtection="1"/>
    <xf numFmtId="11" fontId="2" fillId="58" borderId="0" xfId="0" applyNumberFormat="1" applyFont="1" applyFill="1" applyProtection="1"/>
    <xf numFmtId="11" fontId="2" fillId="58" borderId="10" xfId="0" applyNumberFormat="1" applyFont="1" applyFill="1" applyBorder="1" applyProtection="1"/>
    <xf numFmtId="0" fontId="2" fillId="58" borderId="6" xfId="0" applyFont="1" applyFill="1" applyBorder="1" applyProtection="1"/>
    <xf numFmtId="0" fontId="2" fillId="45" borderId="3" xfId="0" applyFont="1" applyFill="1" applyBorder="1" applyProtection="1"/>
    <xf numFmtId="11" fontId="2" fillId="45" borderId="0" xfId="0" applyNumberFormat="1" applyFont="1" applyFill="1" applyProtection="1"/>
    <xf numFmtId="0" fontId="2" fillId="45" borderId="6" xfId="0" applyFont="1" applyFill="1" applyBorder="1" applyProtection="1"/>
    <xf numFmtId="0" fontId="2" fillId="59" borderId="3" xfId="0" applyFont="1" applyFill="1" applyBorder="1" applyProtection="1"/>
    <xf numFmtId="11" fontId="2" fillId="59" borderId="0" xfId="0" applyNumberFormat="1" applyFont="1" applyFill="1" applyProtection="1"/>
    <xf numFmtId="11" fontId="2" fillId="59" borderId="10" xfId="0" applyNumberFormat="1" applyFont="1" applyFill="1" applyBorder="1" applyProtection="1"/>
    <xf numFmtId="0" fontId="2" fillId="59" borderId="6" xfId="0" applyFont="1" applyFill="1" applyBorder="1" applyProtection="1"/>
    <xf numFmtId="0" fontId="2" fillId="40" borderId="3" xfId="0" applyFont="1" applyFill="1" applyBorder="1" applyProtection="1"/>
    <xf numFmtId="11" fontId="2" fillId="40" borderId="0" xfId="0" applyNumberFormat="1" applyFont="1" applyFill="1" applyProtection="1"/>
    <xf numFmtId="0" fontId="2" fillId="40" borderId="6" xfId="0" applyFont="1" applyFill="1" applyBorder="1" applyProtection="1"/>
    <xf numFmtId="0" fontId="2" fillId="60" borderId="3" xfId="0" applyFont="1" applyFill="1" applyBorder="1" applyProtection="1"/>
    <xf numFmtId="11" fontId="2" fillId="60" borderId="0" xfId="0" applyNumberFormat="1" applyFont="1" applyFill="1" applyProtection="1"/>
    <xf numFmtId="11" fontId="2" fillId="60" borderId="10" xfId="0" applyNumberFormat="1" applyFont="1" applyFill="1" applyBorder="1" applyProtection="1"/>
    <xf numFmtId="0" fontId="2" fillId="60" borderId="0" xfId="0" applyFont="1" applyFill="1" applyProtection="1"/>
    <xf numFmtId="11" fontId="2" fillId="4" borderId="3" xfId="0" applyNumberFormat="1" applyFont="1" applyFill="1" applyBorder="1" applyProtection="1"/>
    <xf numFmtId="0" fontId="2" fillId="4" borderId="0" xfId="0" applyFont="1" applyFill="1" applyProtection="1"/>
    <xf numFmtId="0" fontId="0" fillId="50" borderId="7" xfId="0" applyFill="1" applyBorder="1" applyProtection="1"/>
    <xf numFmtId="11" fontId="2" fillId="70" borderId="2" xfId="0" applyNumberFormat="1" applyFont="1" applyFill="1" applyBorder="1" applyProtection="1"/>
    <xf numFmtId="0" fontId="2" fillId="50" borderId="2" xfId="0" applyFont="1" applyFill="1" applyBorder="1" applyProtection="1"/>
    <xf numFmtId="0" fontId="0" fillId="52" borderId="11" xfId="0" applyFill="1" applyBorder="1" applyProtection="1"/>
    <xf numFmtId="11" fontId="2" fillId="52" borderId="2" xfId="0" applyNumberFormat="1" applyFont="1" applyFill="1" applyBorder="1" applyProtection="1"/>
    <xf numFmtId="0" fontId="2" fillId="52" borderId="2" xfId="0" applyFont="1" applyFill="1" applyBorder="1" applyProtection="1"/>
    <xf numFmtId="0" fontId="0" fillId="51" borderId="11" xfId="0" applyFill="1" applyBorder="1" applyProtection="1"/>
    <xf numFmtId="11" fontId="2" fillId="51" borderId="2" xfId="0" applyNumberFormat="1" applyFont="1" applyFill="1" applyBorder="1" applyProtection="1"/>
    <xf numFmtId="0" fontId="2" fillId="51" borderId="8" xfId="0" applyFont="1" applyFill="1" applyBorder="1" applyProtection="1"/>
    <xf numFmtId="0" fontId="0" fillId="53" borderId="7" xfId="0" applyFill="1" applyBorder="1" applyProtection="1"/>
    <xf numFmtId="11" fontId="2" fillId="53" borderId="2" xfId="0" applyNumberFormat="1" applyFont="1" applyFill="1" applyBorder="1" applyProtection="1"/>
    <xf numFmtId="0" fontId="2" fillId="53" borderId="2" xfId="0" applyFont="1" applyFill="1" applyBorder="1" applyProtection="1"/>
    <xf numFmtId="0" fontId="0" fillId="53" borderId="11" xfId="0" applyFill="1" applyBorder="1" applyProtection="1"/>
    <xf numFmtId="0" fontId="2" fillId="53" borderId="8" xfId="0" applyFont="1" applyFill="1" applyBorder="1" applyProtection="1"/>
    <xf numFmtId="0" fontId="0" fillId="3" borderId="7" xfId="0" applyFill="1" applyBorder="1" applyProtection="1"/>
    <xf numFmtId="11" fontId="2" fillId="3" borderId="2" xfId="0" applyNumberFormat="1" applyFont="1" applyFill="1" applyBorder="1" applyProtection="1"/>
    <xf numFmtId="0" fontId="2" fillId="3" borderId="2" xfId="0" applyFont="1" applyFill="1" applyBorder="1" applyProtection="1"/>
    <xf numFmtId="0" fontId="2" fillId="3" borderId="11" xfId="0" applyFont="1" applyFill="1" applyBorder="1" applyProtection="1"/>
    <xf numFmtId="0" fontId="2" fillId="3" borderId="8" xfId="0" applyFont="1" applyFill="1" applyBorder="1" applyProtection="1"/>
    <xf numFmtId="0" fontId="0" fillId="47" borderId="7" xfId="0" applyFill="1" applyBorder="1" applyProtection="1"/>
    <xf numFmtId="11" fontId="2" fillId="47" borderId="14" xfId="0" applyNumberFormat="1" applyFont="1" applyFill="1" applyBorder="1" applyProtection="1"/>
    <xf numFmtId="11" fontId="2" fillId="47" borderId="2" xfId="0" applyNumberFormat="1" applyFont="1" applyFill="1" applyBorder="1" applyProtection="1"/>
    <xf numFmtId="11" fontId="2" fillId="47" borderId="14" xfId="0" applyNumberFormat="1" applyFont="1" applyFill="1" applyBorder="1" applyAlignment="1" applyProtection="1">
      <alignment horizontal="right"/>
    </xf>
    <xf numFmtId="11" fontId="2" fillId="47" borderId="2" xfId="0" applyNumberFormat="1" applyFont="1" applyFill="1" applyBorder="1" applyAlignment="1" applyProtection="1">
      <alignment horizontal="right"/>
    </xf>
    <xf numFmtId="0" fontId="2" fillId="47" borderId="8" xfId="0" applyFont="1" applyFill="1" applyBorder="1" applyProtection="1"/>
    <xf numFmtId="0" fontId="0" fillId="48" borderId="7" xfId="0" applyFill="1" applyBorder="1" applyProtection="1"/>
    <xf numFmtId="11" fontId="2" fillId="48" borderId="2" xfId="0" applyNumberFormat="1" applyFont="1" applyFill="1" applyBorder="1" applyProtection="1"/>
    <xf numFmtId="0" fontId="2" fillId="48" borderId="2" xfId="0" applyFont="1" applyFill="1" applyBorder="1" applyProtection="1"/>
    <xf numFmtId="0" fontId="0" fillId="48" borderId="11" xfId="0" applyFill="1" applyBorder="1" applyProtection="1"/>
    <xf numFmtId="0" fontId="2" fillId="48" borderId="8" xfId="0" applyFont="1" applyFill="1" applyBorder="1" applyProtection="1"/>
    <xf numFmtId="0" fontId="0" fillId="49" borderId="7" xfId="0" applyFill="1" applyBorder="1" applyProtection="1"/>
    <xf numFmtId="11" fontId="2" fillId="49" borderId="2" xfId="0" applyNumberFormat="1" applyFont="1" applyFill="1" applyBorder="1" applyProtection="1"/>
    <xf numFmtId="0" fontId="2" fillId="49" borderId="2" xfId="0" applyFont="1" applyFill="1" applyBorder="1" applyProtection="1"/>
    <xf numFmtId="0" fontId="0" fillId="49" borderId="11" xfId="0" applyFill="1" applyBorder="1" applyProtection="1"/>
    <xf numFmtId="0" fontId="2" fillId="49" borderId="8" xfId="0" applyFont="1" applyFill="1" applyBorder="1" applyProtection="1"/>
    <xf numFmtId="0" fontId="0" fillId="46" borderId="11" xfId="0" applyFill="1" applyBorder="1" applyProtection="1"/>
    <xf numFmtId="11" fontId="2" fillId="46" borderId="2" xfId="0" applyNumberFormat="1" applyFont="1" applyFill="1" applyBorder="1" applyProtection="1"/>
    <xf numFmtId="0" fontId="2" fillId="46" borderId="2" xfId="0" applyFont="1" applyFill="1" applyBorder="1" applyProtection="1"/>
    <xf numFmtId="0" fontId="2" fillId="46" borderId="8" xfId="0" applyFont="1" applyFill="1" applyBorder="1" applyProtection="1"/>
    <xf numFmtId="0" fontId="0" fillId="68" borderId="11" xfId="0" applyFill="1" applyBorder="1" applyProtection="1"/>
    <xf numFmtId="11" fontId="2" fillId="68" borderId="2" xfId="0" applyNumberFormat="1" applyFont="1" applyFill="1" applyBorder="1" applyProtection="1"/>
    <xf numFmtId="0" fontId="2" fillId="68" borderId="8" xfId="0" applyFont="1" applyFill="1" applyBorder="1" applyProtection="1"/>
    <xf numFmtId="0" fontId="0" fillId="55" borderId="11" xfId="0" applyFill="1" applyBorder="1" applyProtection="1"/>
    <xf numFmtId="11" fontId="2" fillId="55" borderId="2" xfId="0" applyNumberFormat="1" applyFont="1" applyFill="1" applyBorder="1" applyProtection="1"/>
    <xf numFmtId="0" fontId="2" fillId="55" borderId="2" xfId="0" applyFont="1" applyFill="1" applyBorder="1" applyProtection="1"/>
    <xf numFmtId="0" fontId="2" fillId="56" borderId="11" xfId="0" applyFont="1" applyFill="1" applyBorder="1" applyProtection="1"/>
    <xf numFmtId="0" fontId="2" fillId="56" borderId="2" xfId="0" applyFont="1" applyFill="1" applyBorder="1" applyProtection="1"/>
    <xf numFmtId="0" fontId="2" fillId="56" borderId="8" xfId="0" applyFont="1" applyFill="1" applyBorder="1" applyProtection="1"/>
    <xf numFmtId="0" fontId="0" fillId="61" borderId="2" xfId="0" applyFill="1" applyBorder="1" applyProtection="1"/>
    <xf numFmtId="11" fontId="2" fillId="61" borderId="2" xfId="0" applyNumberFormat="1" applyFont="1" applyFill="1" applyBorder="1" applyProtection="1"/>
    <xf numFmtId="0" fontId="2" fillId="61" borderId="2" xfId="0" applyFont="1" applyFill="1" applyBorder="1" applyProtection="1"/>
    <xf numFmtId="0" fontId="0" fillId="42" borderId="7" xfId="0" applyFill="1" applyBorder="1" applyProtection="1"/>
    <xf numFmtId="11" fontId="2" fillId="42" borderId="2" xfId="0" applyNumberFormat="1" applyFont="1" applyFill="1" applyBorder="1" applyProtection="1"/>
    <xf numFmtId="0" fontId="0" fillId="42" borderId="2" xfId="0" applyFill="1" applyBorder="1" applyProtection="1"/>
    <xf numFmtId="0" fontId="0" fillId="42" borderId="11" xfId="0" applyFill="1" applyBorder="1" applyProtection="1"/>
    <xf numFmtId="0" fontId="2" fillId="42" borderId="2" xfId="0" applyFont="1" applyFill="1" applyBorder="1" applyProtection="1"/>
    <xf numFmtId="0" fontId="0" fillId="42" borderId="8" xfId="0" applyFill="1" applyBorder="1" applyProtection="1"/>
    <xf numFmtId="0" fontId="0" fillId="41" borderId="2" xfId="0" applyFill="1" applyBorder="1" applyProtection="1"/>
    <xf numFmtId="11" fontId="2" fillId="41" borderId="2" xfId="0" applyNumberFormat="1" applyFont="1" applyFill="1" applyBorder="1" applyProtection="1"/>
    <xf numFmtId="0" fontId="2" fillId="41" borderId="2" xfId="0" applyFont="1" applyFill="1" applyBorder="1" applyProtection="1"/>
    <xf numFmtId="0" fontId="0" fillId="62" borderId="7" xfId="0" applyFill="1" applyBorder="1" applyProtection="1"/>
    <xf numFmtId="11" fontId="2" fillId="62" borderId="2" xfId="0" applyNumberFormat="1" applyFont="1" applyFill="1" applyBorder="1" applyProtection="1"/>
    <xf numFmtId="0" fontId="0" fillId="62" borderId="2" xfId="0" applyFill="1" applyBorder="1" applyProtection="1"/>
    <xf numFmtId="0" fontId="0" fillId="62" borderId="11" xfId="0" applyFill="1" applyBorder="1" applyProtection="1"/>
    <xf numFmtId="0" fontId="2" fillId="62" borderId="2" xfId="0" applyFont="1" applyFill="1" applyBorder="1" applyProtection="1"/>
    <xf numFmtId="0" fontId="0" fillId="62" borderId="8" xfId="0" applyFill="1" applyBorder="1" applyProtection="1"/>
    <xf numFmtId="0" fontId="0" fillId="39" borderId="2" xfId="0" applyFill="1" applyBorder="1" applyProtection="1"/>
    <xf numFmtId="11" fontId="2" fillId="39" borderId="2" xfId="0" applyNumberFormat="1" applyFont="1" applyFill="1" applyBorder="1" applyProtection="1"/>
    <xf numFmtId="0" fontId="2" fillId="39" borderId="2" xfId="0" applyFont="1" applyFill="1" applyBorder="1" applyProtection="1"/>
    <xf numFmtId="0" fontId="0" fillId="63" borderId="7" xfId="0" applyFill="1" applyBorder="1" applyProtection="1"/>
    <xf numFmtId="11" fontId="2" fillId="63" borderId="2" xfId="0" applyNumberFormat="1" applyFont="1" applyFill="1" applyBorder="1" applyProtection="1"/>
    <xf numFmtId="0" fontId="0" fillId="63" borderId="2" xfId="0" applyFill="1" applyBorder="1" applyProtection="1"/>
    <xf numFmtId="0" fontId="0" fillId="63" borderId="11" xfId="0" applyFill="1" applyBorder="1" applyProtection="1"/>
    <xf numFmtId="0" fontId="2" fillId="63" borderId="2" xfId="0" applyFont="1" applyFill="1" applyBorder="1" applyProtection="1"/>
    <xf numFmtId="0" fontId="0" fillId="63" borderId="8" xfId="0" applyFill="1" applyBorder="1" applyProtection="1"/>
    <xf numFmtId="0" fontId="2" fillId="43" borderId="2" xfId="0" applyFont="1" applyFill="1" applyBorder="1" applyProtection="1"/>
    <xf numFmtId="0" fontId="0" fillId="57" borderId="7" xfId="0" applyFill="1" applyBorder="1" applyProtection="1"/>
    <xf numFmtId="0" fontId="0" fillId="57" borderId="2" xfId="0" applyFill="1" applyBorder="1" applyProtection="1"/>
    <xf numFmtId="0" fontId="0" fillId="57" borderId="11" xfId="0" applyFill="1" applyBorder="1" applyProtection="1"/>
    <xf numFmtId="0" fontId="0" fillId="57" borderId="8" xfId="0" applyFill="1" applyBorder="1" applyProtection="1"/>
    <xf numFmtId="0" fontId="2" fillId="44" borderId="7" xfId="0" applyFont="1" applyFill="1" applyBorder="1" applyProtection="1"/>
    <xf numFmtId="0" fontId="2" fillId="44" borderId="2" xfId="0" applyFont="1" applyFill="1" applyBorder="1" applyProtection="1"/>
    <xf numFmtId="0" fontId="2" fillId="44" borderId="8" xfId="0" applyFont="1" applyFill="1" applyBorder="1" applyProtection="1"/>
    <xf numFmtId="0" fontId="0" fillId="58" borderId="7" xfId="0" applyFill="1" applyBorder="1" applyProtection="1"/>
    <xf numFmtId="0" fontId="0" fillId="58" borderId="2" xfId="0" applyFill="1" applyBorder="1" applyProtection="1"/>
    <xf numFmtId="0" fontId="0" fillId="58" borderId="11" xfId="0" applyFill="1" applyBorder="1" applyProtection="1"/>
    <xf numFmtId="0" fontId="0" fillId="58" borderId="8" xfId="0" applyFill="1" applyBorder="1" applyProtection="1"/>
    <xf numFmtId="0" fontId="2" fillId="45" borderId="7" xfId="0" applyFont="1" applyFill="1" applyBorder="1" applyProtection="1"/>
    <xf numFmtId="0" fontId="2" fillId="45" borderId="2" xfId="0" applyFont="1" applyFill="1" applyBorder="1" applyProtection="1"/>
    <xf numFmtId="0" fontId="2" fillId="45" borderId="8" xfId="0" applyFont="1" applyFill="1" applyBorder="1" applyProtection="1"/>
    <xf numFmtId="0" fontId="0" fillId="59" borderId="7" xfId="0" applyFill="1" applyBorder="1" applyProtection="1"/>
    <xf numFmtId="0" fontId="0" fillId="59" borderId="2" xfId="0" applyFill="1" applyBorder="1" applyProtection="1"/>
    <xf numFmtId="0" fontId="0" fillId="59" borderId="11" xfId="0" applyFill="1" applyBorder="1" applyProtection="1"/>
    <xf numFmtId="0" fontId="0" fillId="59" borderId="8" xfId="0" applyFill="1" applyBorder="1" applyProtection="1"/>
    <xf numFmtId="0" fontId="2" fillId="40" borderId="7" xfId="0" applyFont="1" applyFill="1" applyBorder="1" applyProtection="1"/>
    <xf numFmtId="0" fontId="2" fillId="40" borderId="2" xfId="0" applyFont="1" applyFill="1" applyBorder="1" applyProtection="1"/>
    <xf numFmtId="0" fontId="2" fillId="40" borderId="8" xfId="0" applyFont="1" applyFill="1" applyBorder="1" applyProtection="1"/>
    <xf numFmtId="0" fontId="0" fillId="60" borderId="7" xfId="0" applyFill="1" applyBorder="1" applyProtection="1"/>
    <xf numFmtId="11" fontId="0" fillId="60" borderId="2" xfId="0" applyNumberFormat="1" applyFill="1" applyBorder="1" applyProtection="1"/>
    <xf numFmtId="11" fontId="0" fillId="60" borderId="11" xfId="0" applyNumberFormat="1" applyFill="1" applyBorder="1" applyProtection="1"/>
    <xf numFmtId="0" fontId="0" fillId="60" borderId="2" xfId="0" applyFill="1" applyBorder="1" applyProtection="1"/>
    <xf numFmtId="11" fontId="2" fillId="4" borderId="7" xfId="0" applyNumberFormat="1" applyFont="1" applyFill="1" applyBorder="1" applyProtection="1"/>
    <xf numFmtId="0" fontId="2" fillId="4" borderId="2" xfId="0" applyFont="1" applyFill="1" applyBorder="1" applyProtection="1"/>
    <xf numFmtId="0" fontId="0" fillId="4" borderId="8" xfId="0" applyFill="1" applyBorder="1" applyProtection="1"/>
    <xf numFmtId="11" fontId="28" fillId="71" borderId="0" xfId="0" applyNumberFormat="1" applyFont="1" applyFill="1" applyProtection="1"/>
    <xf numFmtId="11" fontId="0" fillId="0" borderId="0" xfId="0" applyNumberFormat="1" applyProtection="1"/>
    <xf numFmtId="0" fontId="2" fillId="0" borderId="0" xfId="0" applyFont="1" applyProtection="1"/>
    <xf numFmtId="11" fontId="0" fillId="38" borderId="0" xfId="0" applyNumberFormat="1" applyFill="1" applyProtection="1"/>
    <xf numFmtId="0" fontId="0" fillId="38" borderId="0" xfId="0" applyFill="1" applyProtection="1"/>
    <xf numFmtId="11" fontId="0" fillId="37" borderId="0" xfId="0" applyNumberFormat="1" applyFill="1" applyProtection="1"/>
    <xf numFmtId="11" fontId="27" fillId="0" borderId="0" xfId="0" applyNumberFormat="1" applyFont="1" applyProtection="1"/>
    <xf numFmtId="170" fontId="1" fillId="36" borderId="0" xfId="184" applyNumberFormat="1" applyFill="1" applyProtection="1"/>
    <xf numFmtId="43" fontId="1" fillId="36" borderId="0" xfId="184" applyFill="1" applyProtection="1"/>
    <xf numFmtId="1" fontId="0" fillId="0" borderId="0" xfId="0" applyNumberFormat="1" applyProtection="1"/>
    <xf numFmtId="0" fontId="0" fillId="0" borderId="35" xfId="0" applyBorder="1" applyProtection="1"/>
    <xf numFmtId="11" fontId="0" fillId="0" borderId="36" xfId="0" applyNumberFormat="1" applyBorder="1" applyProtection="1"/>
    <xf numFmtId="0" fontId="0" fillId="0" borderId="37" xfId="0" applyBorder="1" applyProtection="1"/>
    <xf numFmtId="0" fontId="0" fillId="0" borderId="10" xfId="0" applyBorder="1" applyProtection="1"/>
    <xf numFmtId="0" fontId="0" fillId="0" borderId="38" xfId="0" applyBorder="1" applyProtection="1"/>
    <xf numFmtId="0" fontId="0" fillId="0" borderId="39" xfId="0" applyBorder="1" applyProtection="1"/>
    <xf numFmtId="11" fontId="0" fillId="0" borderId="40" xfId="0" applyNumberFormat="1" applyBorder="1" applyProtection="1"/>
    <xf numFmtId="0" fontId="0" fillId="0" borderId="41" xfId="0" applyBorder="1" applyProtection="1"/>
    <xf numFmtId="169" fontId="0" fillId="36" borderId="0" xfId="0" applyNumberFormat="1" applyFill="1" applyProtection="1"/>
    <xf numFmtId="0" fontId="0" fillId="2" borderId="0" xfId="0" applyFill="1" applyProtection="1"/>
    <xf numFmtId="0" fontId="0" fillId="36" borderId="0" xfId="0" applyFill="1" applyProtection="1"/>
    <xf numFmtId="0" fontId="0" fillId="0" borderId="15" xfId="0" applyBorder="1" applyProtection="1"/>
    <xf numFmtId="11" fontId="0" fillId="0" borderId="16" xfId="0" applyNumberFormat="1" applyBorder="1" applyProtection="1"/>
    <xf numFmtId="0" fontId="0" fillId="0" borderId="16" xfId="0" applyBorder="1" applyProtection="1"/>
    <xf numFmtId="0" fontId="0" fillId="0" borderId="17" xfId="0" applyBorder="1" applyProtection="1"/>
    <xf numFmtId="0" fontId="0" fillId="46" borderId="4" xfId="0" applyFill="1" applyBorder="1" applyProtection="1"/>
    <xf numFmtId="0" fontId="0" fillId="46" borderId="15" xfId="0" applyFill="1" applyBorder="1" applyProtection="1"/>
    <xf numFmtId="0" fontId="0" fillId="46" borderId="16" xfId="0" applyFill="1" applyBorder="1" applyProtection="1"/>
    <xf numFmtId="0" fontId="0" fillId="46" borderId="17" xfId="0" applyFill="1" applyBorder="1" applyProtection="1"/>
    <xf numFmtId="11" fontId="0" fillId="73" borderId="0" xfId="0" applyNumberFormat="1" applyFill="1" applyProtection="1"/>
    <xf numFmtId="0" fontId="0" fillId="0" borderId="20" xfId="0" applyBorder="1" applyProtection="1"/>
    <xf numFmtId="11" fontId="0" fillId="0" borderId="21" xfId="0" applyNumberFormat="1" applyBorder="1" applyProtection="1"/>
    <xf numFmtId="0" fontId="0" fillId="0" borderId="21" xfId="0" applyBorder="1" applyProtection="1"/>
    <xf numFmtId="0" fontId="0" fillId="0" borderId="22" xfId="0" applyBorder="1" applyProtection="1"/>
    <xf numFmtId="0" fontId="0" fillId="46" borderId="3" xfId="0" applyFill="1" applyBorder="1" applyProtection="1"/>
    <xf numFmtId="0" fontId="0" fillId="46" borderId="18" xfId="0" applyFill="1" applyBorder="1" applyProtection="1"/>
    <xf numFmtId="0" fontId="2" fillId="46" borderId="19" xfId="0" applyFont="1" applyFill="1" applyBorder="1" applyProtection="1"/>
    <xf numFmtId="170" fontId="1" fillId="2" borderId="0" xfId="184" applyNumberFormat="1" applyFill="1" applyProtection="1"/>
    <xf numFmtId="0" fontId="0" fillId="46" borderId="7" xfId="0" applyFill="1" applyBorder="1" applyProtection="1"/>
    <xf numFmtId="0" fontId="0" fillId="46" borderId="20" xfId="0" applyFill="1" applyBorder="1" applyProtection="1"/>
    <xf numFmtId="11" fontId="2" fillId="46" borderId="21" xfId="0" applyNumberFormat="1" applyFont="1" applyFill="1" applyBorder="1" applyProtection="1"/>
    <xf numFmtId="0" fontId="2" fillId="46" borderId="22" xfId="0" applyFont="1" applyFill="1" applyBorder="1" applyProtection="1"/>
    <xf numFmtId="0" fontId="0" fillId="46" borderId="2" xfId="0" applyFill="1" applyBorder="1" applyProtection="1"/>
    <xf numFmtId="1" fontId="0" fillId="36" borderId="0" xfId="0" applyNumberFormat="1" applyFill="1" applyProtection="1"/>
    <xf numFmtId="0" fontId="28" fillId="71" borderId="0" xfId="0" applyFont="1" applyFill="1" applyProtection="1"/>
    <xf numFmtId="11" fontId="2" fillId="54" borderId="2" xfId="0" applyNumberFormat="1" applyFont="1" applyFill="1" applyBorder="1" applyProtection="1"/>
    <xf numFmtId="43" fontId="1" fillId="2" borderId="0" xfId="184" applyFill="1" applyProtection="1"/>
    <xf numFmtId="11" fontId="30" fillId="71" borderId="0" xfId="0" applyNumberFormat="1" applyFont="1" applyFill="1" applyProtection="1"/>
    <xf numFmtId="0" fontId="0" fillId="51" borderId="4" xfId="0" applyFill="1" applyBorder="1" applyProtection="1"/>
    <xf numFmtId="0" fontId="0" fillId="51" borderId="3" xfId="0" applyFill="1" applyBorder="1" applyProtection="1"/>
    <xf numFmtId="11" fontId="2" fillId="51" borderId="0" xfId="0" applyNumberFormat="1" applyFont="1" applyFill="1" applyProtection="1"/>
    <xf numFmtId="11" fontId="2" fillId="0" borderId="0" xfId="0" applyNumberFormat="1" applyFont="1" applyProtection="1"/>
    <xf numFmtId="0" fontId="0" fillId="51" borderId="7" xfId="0" applyFill="1" applyBorder="1" applyProtection="1"/>
    <xf numFmtId="0" fontId="28" fillId="0" borderId="0" xfId="0" applyFont="1" applyProtection="1"/>
    <xf numFmtId="0" fontId="0" fillId="0" borderId="0" xfId="0" applyAlignment="1" applyProtection="1">
      <alignment wrapText="1"/>
    </xf>
    <xf numFmtId="2" fontId="0" fillId="0" borderId="0" xfId="0" applyNumberFormat="1" applyProtection="1"/>
    <xf numFmtId="1" fontId="28" fillId="0" borderId="0" xfId="0" applyNumberFormat="1" applyFont="1" applyProtection="1"/>
    <xf numFmtId="11" fontId="0" fillId="0" borderId="17" xfId="0" applyNumberFormat="1" applyBorder="1" applyProtection="1"/>
    <xf numFmtId="0" fontId="0" fillId="0" borderId="18" xfId="0" applyBorder="1" applyProtection="1"/>
    <xf numFmtId="0" fontId="0" fillId="0" borderId="19" xfId="0" applyBorder="1" applyProtection="1"/>
    <xf numFmtId="11" fontId="0" fillId="0" borderId="19" xfId="0" applyNumberFormat="1" applyBorder="1" applyProtection="1"/>
    <xf numFmtId="11" fontId="0" fillId="0" borderId="22" xfId="0" applyNumberFormat="1" applyBorder="1" applyProtection="1"/>
    <xf numFmtId="0" fontId="4" fillId="0" borderId="0" xfId="185" applyProtection="1"/>
    <xf numFmtId="164" fontId="4" fillId="0" borderId="0" xfId="185" applyNumberFormat="1" applyProtection="1"/>
    <xf numFmtId="11" fontId="4" fillId="0" borderId="0" xfId="185" applyNumberFormat="1" applyProtection="1"/>
    <xf numFmtId="0" fontId="4" fillId="0" borderId="0" xfId="185" applyAlignment="1" applyProtection="1">
      <alignment horizontal="center"/>
    </xf>
    <xf numFmtId="165" fontId="4" fillId="0" borderId="0" xfId="185" applyNumberFormat="1" applyProtection="1"/>
    <xf numFmtId="166" fontId="4" fillId="0" borderId="0" xfId="185" applyNumberFormat="1" applyProtection="1"/>
    <xf numFmtId="2" fontId="4" fillId="0" borderId="0" xfId="185" applyNumberFormat="1" applyAlignment="1" applyProtection="1">
      <alignment horizontal="center"/>
    </xf>
    <xf numFmtId="166" fontId="0" fillId="37" borderId="0" xfId="0" applyNumberFormat="1" applyFill="1" applyProtection="1"/>
    <xf numFmtId="0" fontId="0" fillId="72" borderId="4" xfId="0" applyFill="1" applyBorder="1" applyProtection="1"/>
    <xf numFmtId="11" fontId="0" fillId="72" borderId="1" xfId="0" applyNumberFormat="1" applyFill="1" applyBorder="1" applyProtection="1"/>
    <xf numFmtId="0" fontId="0" fillId="72" borderId="5" xfId="0" applyFill="1" applyBorder="1" applyProtection="1"/>
    <xf numFmtId="0" fontId="0" fillId="72" borderId="3" xfId="0" applyFill="1" applyBorder="1" applyProtection="1"/>
    <xf numFmtId="11" fontId="0" fillId="72" borderId="0" xfId="0" applyNumberFormat="1" applyFill="1" applyProtection="1"/>
    <xf numFmtId="0" fontId="0" fillId="72" borderId="6" xfId="0" applyFill="1" applyBorder="1" applyProtection="1"/>
    <xf numFmtId="0" fontId="0" fillId="50" borderId="2" xfId="0" applyFill="1" applyBorder="1" applyProtection="1"/>
    <xf numFmtId="0" fontId="0" fillId="72" borderId="7" xfId="0" applyFill="1" applyBorder="1" applyProtection="1"/>
    <xf numFmtId="11" fontId="0" fillId="72" borderId="2" xfId="0" applyNumberFormat="1" applyFill="1" applyBorder="1" applyProtection="1"/>
    <xf numFmtId="0" fontId="0" fillId="72" borderId="8" xfId="0" applyFill="1" applyBorder="1" applyProtection="1"/>
    <xf numFmtId="0" fontId="0" fillId="51" borderId="2" xfId="0" applyFill="1" applyBorder="1" applyProtection="1"/>
    <xf numFmtId="11" fontId="2" fillId="47" borderId="10" xfId="0" applyNumberFormat="1" applyFont="1" applyFill="1" applyBorder="1" applyProtection="1"/>
    <xf numFmtId="0" fontId="0" fillId="0" borderId="2" xfId="0" applyBorder="1" applyProtection="1">
      <protection locked="0"/>
    </xf>
    <xf numFmtId="0" fontId="0" fillId="66" borderId="4" xfId="0" applyFill="1" applyBorder="1" applyProtection="1">
      <protection locked="0"/>
    </xf>
    <xf numFmtId="0" fontId="0" fillId="66" borderId="1" xfId="0" applyFill="1" applyBorder="1" applyProtection="1">
      <protection locked="0"/>
    </xf>
    <xf numFmtId="0" fontId="0" fillId="66" borderId="5" xfId="0" applyFill="1" applyBorder="1" applyProtection="1">
      <protection locked="0"/>
    </xf>
    <xf numFmtId="0" fontId="0" fillId="65" borderId="4" xfId="0" applyFill="1" applyBorder="1" applyProtection="1">
      <protection locked="0"/>
    </xf>
    <xf numFmtId="0" fontId="0" fillId="65" borderId="1" xfId="0" applyFill="1" applyBorder="1" applyProtection="1">
      <protection locked="0"/>
    </xf>
    <xf numFmtId="0" fontId="0" fillId="65" borderId="5" xfId="0" applyFill="1" applyBorder="1" applyProtection="1">
      <protection locked="0"/>
    </xf>
    <xf numFmtId="0" fontId="0" fillId="64" borderId="4" xfId="0" applyFill="1" applyBorder="1" applyProtection="1">
      <protection locked="0"/>
    </xf>
    <xf numFmtId="0" fontId="0" fillId="64" borderId="1" xfId="0" applyFill="1" applyBorder="1" applyProtection="1">
      <protection locked="0"/>
    </xf>
    <xf numFmtId="0" fontId="0" fillId="64" borderId="5" xfId="0" applyFill="1" applyBorder="1" applyProtection="1">
      <protection locked="0"/>
    </xf>
    <xf numFmtId="0" fontId="0" fillId="66" borderId="7" xfId="0" applyFill="1" applyBorder="1" applyProtection="1">
      <protection locked="0"/>
    </xf>
    <xf numFmtId="11" fontId="0" fillId="66" borderId="2" xfId="0" applyNumberFormat="1" applyFill="1" applyBorder="1" applyProtection="1">
      <protection locked="0"/>
    </xf>
    <xf numFmtId="0" fontId="0" fillId="66" borderId="8" xfId="0" applyFill="1" applyBorder="1" applyProtection="1">
      <protection locked="0"/>
    </xf>
    <xf numFmtId="0" fontId="0" fillId="65" borderId="7" xfId="0" applyFill="1" applyBorder="1" applyProtection="1">
      <protection locked="0"/>
    </xf>
    <xf numFmtId="11" fontId="0" fillId="65" borderId="2" xfId="0" applyNumberFormat="1" applyFill="1" applyBorder="1" applyProtection="1">
      <protection locked="0"/>
    </xf>
    <xf numFmtId="0" fontId="0" fillId="65" borderId="8" xfId="0" applyFill="1" applyBorder="1" applyProtection="1">
      <protection locked="0"/>
    </xf>
    <xf numFmtId="0" fontId="0" fillId="64" borderId="7" xfId="0" applyFill="1" applyBorder="1" applyProtection="1">
      <protection locked="0"/>
    </xf>
    <xf numFmtId="11" fontId="0" fillId="64" borderId="2" xfId="0" applyNumberFormat="1" applyFill="1" applyBorder="1" applyProtection="1">
      <protection locked="0"/>
    </xf>
    <xf numFmtId="0" fontId="0" fillId="64" borderId="8" xfId="0" applyFill="1" applyBorder="1" applyProtection="1">
      <protection locked="0"/>
    </xf>
    <xf numFmtId="0" fontId="4" fillId="0" borderId="4" xfId="185" applyBorder="1" applyProtection="1">
      <protection locked="0"/>
    </xf>
    <xf numFmtId="0" fontId="0" fillId="0" borderId="1" xfId="0" applyBorder="1" applyProtection="1">
      <protection locked="0"/>
    </xf>
    <xf numFmtId="0" fontId="4" fillId="67" borderId="4" xfId="185" applyFill="1" applyBorder="1" applyProtection="1">
      <protection locked="0"/>
    </xf>
    <xf numFmtId="0" fontId="0" fillId="0" borderId="5" xfId="0" applyBorder="1" applyProtection="1">
      <protection locked="0"/>
    </xf>
    <xf numFmtId="0" fontId="4" fillId="0" borderId="3" xfId="185" applyBorder="1" applyProtection="1">
      <protection locked="0"/>
    </xf>
    <xf numFmtId="0" fontId="0" fillId="67" borderId="3" xfId="0" applyFill="1" applyBorder="1" applyProtection="1">
      <protection locked="0"/>
    </xf>
    <xf numFmtId="0" fontId="0" fillId="0" borderId="6" xfId="0" applyBorder="1" applyProtection="1">
      <protection locked="0"/>
    </xf>
    <xf numFmtId="0" fontId="4" fillId="67" borderId="3" xfId="185" applyFill="1" applyBorder="1" applyProtection="1">
      <protection locked="0"/>
    </xf>
    <xf numFmtId="168" fontId="0" fillId="0" borderId="0" xfId="0" applyNumberFormat="1" applyProtection="1">
      <protection locked="0"/>
    </xf>
    <xf numFmtId="0" fontId="0" fillId="0" borderId="3" xfId="186" applyFont="1" applyBorder="1" applyProtection="1">
      <protection locked="0"/>
    </xf>
    <xf numFmtId="0" fontId="5" fillId="0" borderId="0" xfId="186" applyProtection="1">
      <protection locked="0"/>
    </xf>
    <xf numFmtId="0" fontId="0" fillId="0" borderId="3" xfId="0" applyBorder="1" applyProtection="1">
      <protection locked="0"/>
    </xf>
    <xf numFmtId="0" fontId="0" fillId="0" borderId="7" xfId="0" applyBorder="1" applyProtection="1">
      <protection locked="0"/>
    </xf>
    <xf numFmtId="0" fontId="5" fillId="0" borderId="0" xfId="186" applyAlignment="1" applyProtection="1">
      <alignment horizontal="center"/>
      <protection locked="0"/>
    </xf>
    <xf numFmtId="0" fontId="0" fillId="0" borderId="8" xfId="0" applyBorder="1" applyProtection="1">
      <protection locked="0"/>
    </xf>
    <xf numFmtId="0" fontId="32" fillId="0" borderId="0" xfId="0" applyFont="1" applyAlignment="1">
      <alignment horizontal="center" vertical="center" wrapText="1"/>
    </xf>
    <xf numFmtId="0" fontId="2" fillId="0" borderId="32" xfId="0" applyFont="1" applyBorder="1"/>
    <xf numFmtId="0" fontId="2" fillId="0" borderId="33" xfId="0" applyFont="1" applyBorder="1"/>
    <xf numFmtId="0" fontId="2" fillId="0" borderId="34" xfId="0" applyFont="1"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xf numFmtId="0" fontId="0" fillId="0" borderId="51" xfId="0" applyBorder="1"/>
    <xf numFmtId="0" fontId="31" fillId="0" borderId="0" xfId="0" applyFont="1" applyAlignment="1">
      <alignment horizontal="center"/>
    </xf>
    <xf numFmtId="0" fontId="0" fillId="36" borderId="0" xfId="0" applyFill="1" applyAlignment="1" applyProtection="1">
      <alignment horizontal="center" wrapText="1"/>
    </xf>
    <xf numFmtId="0" fontId="29" fillId="71" borderId="4" xfId="0" applyFont="1" applyFill="1" applyBorder="1" applyAlignment="1" applyProtection="1">
      <alignment horizontal="left" wrapText="1"/>
    </xf>
    <xf numFmtId="0" fontId="29" fillId="71" borderId="1" xfId="0" applyFont="1" applyFill="1" applyBorder="1" applyAlignment="1" applyProtection="1">
      <alignment horizontal="left" wrapText="1"/>
    </xf>
    <xf numFmtId="0" fontId="29" fillId="71" borderId="5" xfId="0" applyFont="1" applyFill="1" applyBorder="1" applyAlignment="1" applyProtection="1">
      <alignment horizontal="left" wrapText="1"/>
    </xf>
    <xf numFmtId="0" fontId="29" fillId="71" borderId="3" xfId="0" applyFont="1" applyFill="1" applyBorder="1" applyAlignment="1" applyProtection="1">
      <alignment horizontal="left" wrapText="1"/>
    </xf>
    <xf numFmtId="0" fontId="29" fillId="71" borderId="0" xfId="0" applyFont="1" applyFill="1" applyAlignment="1" applyProtection="1">
      <alignment horizontal="left" wrapText="1"/>
    </xf>
    <xf numFmtId="0" fontId="29" fillId="71" borderId="6" xfId="0" applyFont="1" applyFill="1" applyBorder="1" applyAlignment="1" applyProtection="1">
      <alignment horizontal="left" wrapText="1"/>
    </xf>
    <xf numFmtId="0" fontId="29" fillId="71" borderId="7" xfId="0" applyFont="1" applyFill="1" applyBorder="1" applyAlignment="1" applyProtection="1">
      <alignment horizontal="left" wrapText="1"/>
    </xf>
    <xf numFmtId="0" fontId="29" fillId="71" borderId="2" xfId="0" applyFont="1" applyFill="1" applyBorder="1" applyAlignment="1" applyProtection="1">
      <alignment horizontal="left" wrapText="1"/>
    </xf>
    <xf numFmtId="0" fontId="29" fillId="71" borderId="8" xfId="0" applyFont="1" applyFill="1" applyBorder="1" applyAlignment="1" applyProtection="1">
      <alignment horizontal="left" wrapText="1"/>
    </xf>
    <xf numFmtId="0" fontId="2" fillId="72" borderId="32" xfId="0" applyFont="1" applyFill="1" applyBorder="1" applyAlignment="1" applyProtection="1">
      <alignment horizontal="center"/>
    </xf>
    <xf numFmtId="0" fontId="2" fillId="72" borderId="33" xfId="0" applyFont="1" applyFill="1" applyBorder="1" applyAlignment="1" applyProtection="1">
      <alignment horizontal="center"/>
    </xf>
    <xf numFmtId="0" fontId="2" fillId="72" borderId="34" xfId="0" applyFont="1" applyFill="1" applyBorder="1" applyAlignment="1" applyProtection="1">
      <alignment horizontal="center"/>
    </xf>
    <xf numFmtId="0" fontId="29" fillId="71" borderId="4" xfId="0" applyFont="1" applyFill="1" applyBorder="1" applyAlignment="1" applyProtection="1">
      <alignment horizontal="center" vertical="center" wrapText="1"/>
    </xf>
    <xf numFmtId="0" fontId="29" fillId="71" borderId="1" xfId="0" applyFont="1" applyFill="1" applyBorder="1" applyAlignment="1" applyProtection="1">
      <alignment horizontal="center" vertical="center" wrapText="1"/>
    </xf>
    <xf numFmtId="0" fontId="29" fillId="71" borderId="5" xfId="0" applyFont="1" applyFill="1" applyBorder="1" applyAlignment="1" applyProtection="1">
      <alignment horizontal="center" vertical="center" wrapText="1"/>
    </xf>
    <xf numFmtId="0" fontId="29" fillId="71" borderId="3" xfId="0" applyFont="1" applyFill="1" applyBorder="1" applyAlignment="1" applyProtection="1">
      <alignment horizontal="center" vertical="center" wrapText="1"/>
    </xf>
    <xf numFmtId="0" fontId="29" fillId="71" borderId="0" xfId="0" applyFont="1" applyFill="1" applyAlignment="1" applyProtection="1">
      <alignment horizontal="center" vertical="center" wrapText="1"/>
    </xf>
    <xf numFmtId="0" fontId="29" fillId="71" borderId="6" xfId="0" applyFont="1" applyFill="1" applyBorder="1" applyAlignment="1" applyProtection="1">
      <alignment horizontal="center" vertical="center" wrapText="1"/>
    </xf>
    <xf numFmtId="0" fontId="29" fillId="71" borderId="7" xfId="0" applyFont="1" applyFill="1" applyBorder="1" applyAlignment="1" applyProtection="1">
      <alignment horizontal="center" vertical="center" wrapText="1"/>
    </xf>
    <xf numFmtId="0" fontId="29" fillId="71" borderId="2" xfId="0" applyFont="1" applyFill="1" applyBorder="1" applyAlignment="1" applyProtection="1">
      <alignment horizontal="center" vertical="center" wrapText="1"/>
    </xf>
    <xf numFmtId="0" fontId="29" fillId="71" borderId="8" xfId="0" applyFont="1" applyFill="1" applyBorder="1" applyAlignment="1" applyProtection="1">
      <alignment horizontal="center" vertical="center" wrapText="1"/>
    </xf>
    <xf numFmtId="0" fontId="0" fillId="67" borderId="0" xfId="0" applyFill="1" applyAlignment="1" applyProtection="1">
      <alignment horizontal="center"/>
      <protection locked="0"/>
    </xf>
    <xf numFmtId="0" fontId="0" fillId="69" borderId="0" xfId="0" applyFill="1" applyAlignment="1" applyProtection="1">
      <alignment wrapText="1"/>
      <protection locked="0"/>
    </xf>
  </cellXfs>
  <cellStyles count="215">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2 3 2" xfId="6" xr:uid="{00000000-0005-0000-0000-000005000000}"/>
    <cellStyle name="20% - Accent1 2 4" xfId="7" xr:uid="{00000000-0005-0000-0000-000006000000}"/>
    <cellStyle name="20% - Accent1 2 5" xfId="8" xr:uid="{00000000-0005-0000-0000-000007000000}"/>
    <cellStyle name="20% - Accent1 3" xfId="9" xr:uid="{00000000-0005-0000-0000-000008000000}"/>
    <cellStyle name="20% - Accent1 3 2" xfId="10" xr:uid="{00000000-0005-0000-0000-000009000000}"/>
    <cellStyle name="20% - Accent1 4" xfId="11" xr:uid="{00000000-0005-0000-0000-00000A000000}"/>
    <cellStyle name="20% - Accent1 4 2" xfId="12" xr:uid="{00000000-0005-0000-0000-00000B000000}"/>
    <cellStyle name="20% - Accent1 5" xfId="13" xr:uid="{00000000-0005-0000-0000-00000C000000}"/>
    <cellStyle name="20% - Accent1 6" xfId="14" xr:uid="{00000000-0005-0000-0000-00000D000000}"/>
    <cellStyle name="20% - Accent2" xfId="15" builtinId="34" customBuiltin="1"/>
    <cellStyle name="20% - Accent2 2" xfId="16" xr:uid="{00000000-0005-0000-0000-00000F000000}"/>
    <cellStyle name="20% - Accent2 2 2" xfId="17" xr:uid="{00000000-0005-0000-0000-000010000000}"/>
    <cellStyle name="20% - Accent2 2 2 2" xfId="18" xr:uid="{00000000-0005-0000-0000-000011000000}"/>
    <cellStyle name="20% - Accent2 2 3" xfId="19" xr:uid="{00000000-0005-0000-0000-000012000000}"/>
    <cellStyle name="20% - Accent2 2 3 2" xfId="20" xr:uid="{00000000-0005-0000-0000-000013000000}"/>
    <cellStyle name="20% - Accent2 2 4" xfId="21" xr:uid="{00000000-0005-0000-0000-000014000000}"/>
    <cellStyle name="20% - Accent2 2 5" xfId="22" xr:uid="{00000000-0005-0000-0000-000015000000}"/>
    <cellStyle name="20% - Accent2 3" xfId="23" xr:uid="{00000000-0005-0000-0000-000016000000}"/>
    <cellStyle name="20% - Accent2 3 2" xfId="24" xr:uid="{00000000-0005-0000-0000-000017000000}"/>
    <cellStyle name="20% - Accent2 4" xfId="25" xr:uid="{00000000-0005-0000-0000-000018000000}"/>
    <cellStyle name="20% - Accent2 4 2" xfId="26" xr:uid="{00000000-0005-0000-0000-000019000000}"/>
    <cellStyle name="20% - Accent2 5" xfId="27" xr:uid="{00000000-0005-0000-0000-00001A000000}"/>
    <cellStyle name="20% - Accent2 6" xfId="28" xr:uid="{00000000-0005-0000-0000-00001B000000}"/>
    <cellStyle name="20% - Accent3" xfId="29" builtinId="38" customBuiltin="1"/>
    <cellStyle name="20% - Accent3 2" xfId="30" xr:uid="{00000000-0005-0000-0000-00001D000000}"/>
    <cellStyle name="20% - Accent3 2 2" xfId="31" xr:uid="{00000000-0005-0000-0000-00001E000000}"/>
    <cellStyle name="20% - Accent3 2 2 2" xfId="32" xr:uid="{00000000-0005-0000-0000-00001F000000}"/>
    <cellStyle name="20% - Accent3 2 3" xfId="33" xr:uid="{00000000-0005-0000-0000-000020000000}"/>
    <cellStyle name="20% - Accent3 2 3 2" xfId="34" xr:uid="{00000000-0005-0000-0000-000021000000}"/>
    <cellStyle name="20% - Accent3 2 4" xfId="35" xr:uid="{00000000-0005-0000-0000-000022000000}"/>
    <cellStyle name="20% - Accent3 2 5" xfId="36" xr:uid="{00000000-0005-0000-0000-000023000000}"/>
    <cellStyle name="20% - Accent3 3" xfId="37" xr:uid="{00000000-0005-0000-0000-000024000000}"/>
    <cellStyle name="20% - Accent3 3 2" xfId="38" xr:uid="{00000000-0005-0000-0000-000025000000}"/>
    <cellStyle name="20% - Accent3 4" xfId="39" xr:uid="{00000000-0005-0000-0000-000026000000}"/>
    <cellStyle name="20% - Accent3 4 2" xfId="40" xr:uid="{00000000-0005-0000-0000-000027000000}"/>
    <cellStyle name="20% - Accent3 5" xfId="41" xr:uid="{00000000-0005-0000-0000-000028000000}"/>
    <cellStyle name="20% - Accent3 6" xfId="42" xr:uid="{00000000-0005-0000-0000-000029000000}"/>
    <cellStyle name="20% - Accent4" xfId="43" builtinId="42" customBuiltin="1"/>
    <cellStyle name="20% - Accent4 2" xfId="44" xr:uid="{00000000-0005-0000-0000-00002B000000}"/>
    <cellStyle name="20% - Accent4 2 2" xfId="45" xr:uid="{00000000-0005-0000-0000-00002C000000}"/>
    <cellStyle name="20% - Accent4 2 2 2" xfId="46" xr:uid="{00000000-0005-0000-0000-00002D000000}"/>
    <cellStyle name="20% - Accent4 2 3" xfId="47" xr:uid="{00000000-0005-0000-0000-00002E000000}"/>
    <cellStyle name="20% - Accent4 2 3 2" xfId="48" xr:uid="{00000000-0005-0000-0000-00002F000000}"/>
    <cellStyle name="20% - Accent4 2 4" xfId="49" xr:uid="{00000000-0005-0000-0000-000030000000}"/>
    <cellStyle name="20% - Accent4 2 5" xfId="50" xr:uid="{00000000-0005-0000-0000-000031000000}"/>
    <cellStyle name="20% - Accent4 3" xfId="51" xr:uid="{00000000-0005-0000-0000-000032000000}"/>
    <cellStyle name="20% - Accent4 3 2" xfId="52" xr:uid="{00000000-0005-0000-0000-000033000000}"/>
    <cellStyle name="20% - Accent4 4" xfId="53" xr:uid="{00000000-0005-0000-0000-000034000000}"/>
    <cellStyle name="20% - Accent4 4 2" xfId="54" xr:uid="{00000000-0005-0000-0000-000035000000}"/>
    <cellStyle name="20% - Accent4 5" xfId="55" xr:uid="{00000000-0005-0000-0000-000036000000}"/>
    <cellStyle name="20% - Accent4 6" xfId="56" xr:uid="{00000000-0005-0000-0000-000037000000}"/>
    <cellStyle name="20% - Accent5" xfId="57" builtinId="46" customBuiltin="1"/>
    <cellStyle name="20% - Accent5 2" xfId="58" xr:uid="{00000000-0005-0000-0000-000039000000}"/>
    <cellStyle name="20% - Accent5 2 2" xfId="59" xr:uid="{00000000-0005-0000-0000-00003A000000}"/>
    <cellStyle name="20% - Accent5 2 2 2" xfId="60" xr:uid="{00000000-0005-0000-0000-00003B000000}"/>
    <cellStyle name="20% - Accent5 2 3" xfId="61" xr:uid="{00000000-0005-0000-0000-00003C000000}"/>
    <cellStyle name="20% - Accent5 2 3 2" xfId="62" xr:uid="{00000000-0005-0000-0000-00003D000000}"/>
    <cellStyle name="20% - Accent5 2 4" xfId="63" xr:uid="{00000000-0005-0000-0000-00003E000000}"/>
    <cellStyle name="20% - Accent5 2 5" xfId="64" xr:uid="{00000000-0005-0000-0000-00003F000000}"/>
    <cellStyle name="20% - Accent5 3" xfId="65" xr:uid="{00000000-0005-0000-0000-000040000000}"/>
    <cellStyle name="20% - Accent5 3 2" xfId="66" xr:uid="{00000000-0005-0000-0000-000041000000}"/>
    <cellStyle name="20% - Accent5 4" xfId="67" xr:uid="{00000000-0005-0000-0000-000042000000}"/>
    <cellStyle name="20% - Accent5 4 2" xfId="68" xr:uid="{00000000-0005-0000-0000-000043000000}"/>
    <cellStyle name="20% - Accent5 5" xfId="69" xr:uid="{00000000-0005-0000-0000-000044000000}"/>
    <cellStyle name="20% - Accent5 6" xfId="70" xr:uid="{00000000-0005-0000-0000-000045000000}"/>
    <cellStyle name="20% - Accent6" xfId="71" builtinId="50" customBuiltin="1"/>
    <cellStyle name="20% - Accent6 2" xfId="72" xr:uid="{00000000-0005-0000-0000-000047000000}"/>
    <cellStyle name="20% - Accent6 2 2" xfId="73" xr:uid="{00000000-0005-0000-0000-000048000000}"/>
    <cellStyle name="20% - Accent6 2 2 2" xfId="74" xr:uid="{00000000-0005-0000-0000-000049000000}"/>
    <cellStyle name="20% - Accent6 2 3" xfId="75" xr:uid="{00000000-0005-0000-0000-00004A000000}"/>
    <cellStyle name="20% - Accent6 2 3 2" xfId="76" xr:uid="{00000000-0005-0000-0000-00004B000000}"/>
    <cellStyle name="20% - Accent6 2 4" xfId="77" xr:uid="{00000000-0005-0000-0000-00004C000000}"/>
    <cellStyle name="20% - Accent6 2 5" xfId="78" xr:uid="{00000000-0005-0000-0000-00004D000000}"/>
    <cellStyle name="20% - Accent6 3" xfId="79" xr:uid="{00000000-0005-0000-0000-00004E000000}"/>
    <cellStyle name="20% - Accent6 3 2" xfId="80" xr:uid="{00000000-0005-0000-0000-00004F000000}"/>
    <cellStyle name="20% - Accent6 4" xfId="81" xr:uid="{00000000-0005-0000-0000-000050000000}"/>
    <cellStyle name="20% - Accent6 4 2" xfId="82" xr:uid="{00000000-0005-0000-0000-000051000000}"/>
    <cellStyle name="20% - Accent6 5" xfId="83" xr:uid="{00000000-0005-0000-0000-000052000000}"/>
    <cellStyle name="20% - Accent6 6" xfId="84" xr:uid="{00000000-0005-0000-0000-000053000000}"/>
    <cellStyle name="40% - Accent1" xfId="85" builtinId="31" customBuiltin="1"/>
    <cellStyle name="40% - Accent1 2" xfId="86" xr:uid="{00000000-0005-0000-0000-000055000000}"/>
    <cellStyle name="40% - Accent1 2 2" xfId="87" xr:uid="{00000000-0005-0000-0000-000056000000}"/>
    <cellStyle name="40% - Accent1 2 2 2" xfId="88" xr:uid="{00000000-0005-0000-0000-000057000000}"/>
    <cellStyle name="40% - Accent1 2 3" xfId="89" xr:uid="{00000000-0005-0000-0000-000058000000}"/>
    <cellStyle name="40% - Accent1 2 3 2" xfId="90" xr:uid="{00000000-0005-0000-0000-000059000000}"/>
    <cellStyle name="40% - Accent1 2 4" xfId="91" xr:uid="{00000000-0005-0000-0000-00005A000000}"/>
    <cellStyle name="40% - Accent1 2 5" xfId="92" xr:uid="{00000000-0005-0000-0000-00005B000000}"/>
    <cellStyle name="40% - Accent1 3" xfId="93" xr:uid="{00000000-0005-0000-0000-00005C000000}"/>
    <cellStyle name="40% - Accent1 3 2" xfId="94" xr:uid="{00000000-0005-0000-0000-00005D000000}"/>
    <cellStyle name="40% - Accent1 4" xfId="95" xr:uid="{00000000-0005-0000-0000-00005E000000}"/>
    <cellStyle name="40% - Accent1 4 2" xfId="96" xr:uid="{00000000-0005-0000-0000-00005F000000}"/>
    <cellStyle name="40% - Accent1 5" xfId="97" xr:uid="{00000000-0005-0000-0000-000060000000}"/>
    <cellStyle name="40% - Accent1 6" xfId="98" xr:uid="{00000000-0005-0000-0000-000061000000}"/>
    <cellStyle name="40% - Accent2" xfId="99" builtinId="35" customBuiltin="1"/>
    <cellStyle name="40% - Accent2 2" xfId="100" xr:uid="{00000000-0005-0000-0000-000063000000}"/>
    <cellStyle name="40% - Accent2 2 2" xfId="101" xr:uid="{00000000-0005-0000-0000-000064000000}"/>
    <cellStyle name="40% - Accent2 2 2 2" xfId="102" xr:uid="{00000000-0005-0000-0000-000065000000}"/>
    <cellStyle name="40% - Accent2 2 3" xfId="103" xr:uid="{00000000-0005-0000-0000-000066000000}"/>
    <cellStyle name="40% - Accent2 2 3 2" xfId="104" xr:uid="{00000000-0005-0000-0000-000067000000}"/>
    <cellStyle name="40% - Accent2 2 4" xfId="105" xr:uid="{00000000-0005-0000-0000-000068000000}"/>
    <cellStyle name="40% - Accent2 2 5" xfId="106" xr:uid="{00000000-0005-0000-0000-000069000000}"/>
    <cellStyle name="40% - Accent2 3" xfId="107" xr:uid="{00000000-0005-0000-0000-00006A000000}"/>
    <cellStyle name="40% - Accent2 3 2" xfId="108" xr:uid="{00000000-0005-0000-0000-00006B000000}"/>
    <cellStyle name="40% - Accent2 4" xfId="109" xr:uid="{00000000-0005-0000-0000-00006C000000}"/>
    <cellStyle name="40% - Accent2 4 2" xfId="110" xr:uid="{00000000-0005-0000-0000-00006D000000}"/>
    <cellStyle name="40% - Accent2 5" xfId="111" xr:uid="{00000000-0005-0000-0000-00006E000000}"/>
    <cellStyle name="40% - Accent2 6" xfId="112" xr:uid="{00000000-0005-0000-0000-00006F000000}"/>
    <cellStyle name="40% - Accent3" xfId="113" builtinId="39" customBuiltin="1"/>
    <cellStyle name="40% - Accent3 2" xfId="114" xr:uid="{00000000-0005-0000-0000-000071000000}"/>
    <cellStyle name="40% - Accent3 2 2" xfId="115" xr:uid="{00000000-0005-0000-0000-000072000000}"/>
    <cellStyle name="40% - Accent3 2 2 2" xfId="116" xr:uid="{00000000-0005-0000-0000-000073000000}"/>
    <cellStyle name="40% - Accent3 2 3" xfId="117" xr:uid="{00000000-0005-0000-0000-000074000000}"/>
    <cellStyle name="40% - Accent3 2 3 2" xfId="118" xr:uid="{00000000-0005-0000-0000-000075000000}"/>
    <cellStyle name="40% - Accent3 2 4" xfId="119" xr:uid="{00000000-0005-0000-0000-000076000000}"/>
    <cellStyle name="40% - Accent3 2 5" xfId="120" xr:uid="{00000000-0005-0000-0000-000077000000}"/>
    <cellStyle name="40% - Accent3 3" xfId="121" xr:uid="{00000000-0005-0000-0000-000078000000}"/>
    <cellStyle name="40% - Accent3 3 2" xfId="122" xr:uid="{00000000-0005-0000-0000-000079000000}"/>
    <cellStyle name="40% - Accent3 4" xfId="123" xr:uid="{00000000-0005-0000-0000-00007A000000}"/>
    <cellStyle name="40% - Accent3 4 2" xfId="124" xr:uid="{00000000-0005-0000-0000-00007B000000}"/>
    <cellStyle name="40% - Accent3 5" xfId="125" xr:uid="{00000000-0005-0000-0000-00007C000000}"/>
    <cellStyle name="40% - Accent3 6" xfId="126" xr:uid="{00000000-0005-0000-0000-00007D000000}"/>
    <cellStyle name="40% - Accent4" xfId="127" builtinId="43" customBuiltin="1"/>
    <cellStyle name="40% - Accent4 2" xfId="128" xr:uid="{00000000-0005-0000-0000-00007F000000}"/>
    <cellStyle name="40% - Accent4 2 2" xfId="129" xr:uid="{00000000-0005-0000-0000-000080000000}"/>
    <cellStyle name="40% - Accent4 2 2 2" xfId="130" xr:uid="{00000000-0005-0000-0000-000081000000}"/>
    <cellStyle name="40% - Accent4 2 3" xfId="131" xr:uid="{00000000-0005-0000-0000-000082000000}"/>
    <cellStyle name="40% - Accent4 2 3 2" xfId="132" xr:uid="{00000000-0005-0000-0000-000083000000}"/>
    <cellStyle name="40% - Accent4 2 4" xfId="133" xr:uid="{00000000-0005-0000-0000-000084000000}"/>
    <cellStyle name="40% - Accent4 2 5" xfId="134" xr:uid="{00000000-0005-0000-0000-000085000000}"/>
    <cellStyle name="40% - Accent4 3" xfId="135" xr:uid="{00000000-0005-0000-0000-000086000000}"/>
    <cellStyle name="40% - Accent4 3 2" xfId="136" xr:uid="{00000000-0005-0000-0000-000087000000}"/>
    <cellStyle name="40% - Accent4 4" xfId="137" xr:uid="{00000000-0005-0000-0000-000088000000}"/>
    <cellStyle name="40% - Accent4 4 2" xfId="138" xr:uid="{00000000-0005-0000-0000-000089000000}"/>
    <cellStyle name="40% - Accent4 5" xfId="139" xr:uid="{00000000-0005-0000-0000-00008A000000}"/>
    <cellStyle name="40% - Accent4 6" xfId="140" xr:uid="{00000000-0005-0000-0000-00008B000000}"/>
    <cellStyle name="40% - Accent5" xfId="141" builtinId="47" customBuiltin="1"/>
    <cellStyle name="40% - Accent5 2" xfId="142" xr:uid="{00000000-0005-0000-0000-00008D000000}"/>
    <cellStyle name="40% - Accent5 2 2" xfId="143" xr:uid="{00000000-0005-0000-0000-00008E000000}"/>
    <cellStyle name="40% - Accent5 2 2 2" xfId="144" xr:uid="{00000000-0005-0000-0000-00008F000000}"/>
    <cellStyle name="40% - Accent5 2 3" xfId="145" xr:uid="{00000000-0005-0000-0000-000090000000}"/>
    <cellStyle name="40% - Accent5 2 3 2" xfId="146" xr:uid="{00000000-0005-0000-0000-000091000000}"/>
    <cellStyle name="40% - Accent5 2 4" xfId="147" xr:uid="{00000000-0005-0000-0000-000092000000}"/>
    <cellStyle name="40% - Accent5 2 5" xfId="148" xr:uid="{00000000-0005-0000-0000-000093000000}"/>
    <cellStyle name="40% - Accent5 3" xfId="149" xr:uid="{00000000-0005-0000-0000-000094000000}"/>
    <cellStyle name="40% - Accent5 3 2" xfId="150" xr:uid="{00000000-0005-0000-0000-000095000000}"/>
    <cellStyle name="40% - Accent5 4" xfId="151" xr:uid="{00000000-0005-0000-0000-000096000000}"/>
    <cellStyle name="40% - Accent5 4 2" xfId="152" xr:uid="{00000000-0005-0000-0000-000097000000}"/>
    <cellStyle name="40% - Accent5 5" xfId="153" xr:uid="{00000000-0005-0000-0000-000098000000}"/>
    <cellStyle name="40% - Accent5 6" xfId="154" xr:uid="{00000000-0005-0000-0000-000099000000}"/>
    <cellStyle name="40% - Accent6" xfId="155" builtinId="51" customBuiltin="1"/>
    <cellStyle name="40% - Accent6 2" xfId="156" xr:uid="{00000000-0005-0000-0000-00009B000000}"/>
    <cellStyle name="40% - Accent6 2 2" xfId="157" xr:uid="{00000000-0005-0000-0000-00009C000000}"/>
    <cellStyle name="40% - Accent6 2 2 2" xfId="158" xr:uid="{00000000-0005-0000-0000-00009D000000}"/>
    <cellStyle name="40% - Accent6 2 3" xfId="159" xr:uid="{00000000-0005-0000-0000-00009E000000}"/>
    <cellStyle name="40% - Accent6 2 3 2" xfId="160" xr:uid="{00000000-0005-0000-0000-00009F000000}"/>
    <cellStyle name="40% - Accent6 2 4" xfId="161" xr:uid="{00000000-0005-0000-0000-0000A0000000}"/>
    <cellStyle name="40% - Accent6 2 5" xfId="162" xr:uid="{00000000-0005-0000-0000-0000A1000000}"/>
    <cellStyle name="40% - Accent6 3" xfId="163" xr:uid="{00000000-0005-0000-0000-0000A2000000}"/>
    <cellStyle name="40% - Accent6 3 2" xfId="164" xr:uid="{00000000-0005-0000-0000-0000A3000000}"/>
    <cellStyle name="40% - Accent6 4" xfId="165" xr:uid="{00000000-0005-0000-0000-0000A4000000}"/>
    <cellStyle name="40% - Accent6 4 2" xfId="166" xr:uid="{00000000-0005-0000-0000-0000A5000000}"/>
    <cellStyle name="40% - Accent6 5" xfId="167" xr:uid="{00000000-0005-0000-0000-0000A6000000}"/>
    <cellStyle name="40% - Accent6 6" xfId="168" xr:uid="{00000000-0005-0000-0000-0000A7000000}"/>
    <cellStyle name="60% - Accent1" xfId="169" builtinId="32" customBuiltin="1"/>
    <cellStyle name="60% - Accent2" xfId="170" builtinId="36" customBuiltin="1"/>
    <cellStyle name="60% - Accent3" xfId="171" builtinId="40" customBuiltin="1"/>
    <cellStyle name="60% - Accent4" xfId="172" builtinId="44" customBuiltin="1"/>
    <cellStyle name="60% - Accent5" xfId="173" builtinId="48" customBuiltin="1"/>
    <cellStyle name="60% - Accent6" xfId="174" builtinId="52" customBuiltin="1"/>
    <cellStyle name="Accent1" xfId="175" builtinId="29" customBuiltin="1"/>
    <cellStyle name="Accent2" xfId="176" builtinId="33" customBuiltin="1"/>
    <cellStyle name="Accent3" xfId="177" builtinId="37" customBuiltin="1"/>
    <cellStyle name="Accent4" xfId="178" builtinId="41" customBuiltin="1"/>
    <cellStyle name="Accent5" xfId="179" builtinId="45" customBuiltin="1"/>
    <cellStyle name="Accent6" xfId="180" builtinId="49" customBuiltin="1"/>
    <cellStyle name="Bad" xfId="181" builtinId="27" customBuiltin="1"/>
    <cellStyle name="Calculation" xfId="182" builtinId="22" customBuiltin="1"/>
    <cellStyle name="Check Cell" xfId="183" builtinId="23" customBuiltin="1"/>
    <cellStyle name="Comma" xfId="184" builtinId="3"/>
    <cellStyle name="Excel Built-in Normal" xfId="185" xr:uid="{00000000-0005-0000-0000-0000B8000000}"/>
    <cellStyle name="Excel Built-in Normal 2" xfId="186" xr:uid="{00000000-0005-0000-0000-0000B9000000}"/>
    <cellStyle name="Explanatory Text" xfId="187" builtinId="53" customBuiltin="1"/>
    <cellStyle name="Good" xfId="188" builtinId="26" customBuiltin="1"/>
    <cellStyle name="Heading 1" xfId="189" builtinId="16" customBuiltin="1"/>
    <cellStyle name="Heading 2" xfId="190" builtinId="17" customBuiltin="1"/>
    <cellStyle name="Heading 3" xfId="191" builtinId="18" customBuiltin="1"/>
    <cellStyle name="Heading 4" xfId="192" builtinId="19" customBuiltin="1"/>
    <cellStyle name="Input" xfId="193" builtinId="20" customBuiltin="1"/>
    <cellStyle name="Linked Cell" xfId="194" builtinId="24" customBuiltin="1"/>
    <cellStyle name="Neutral" xfId="195" builtinId="28" customBuiltin="1"/>
    <cellStyle name="Normal" xfId="0" builtinId="0"/>
    <cellStyle name="Normal 2" xfId="196" xr:uid="{00000000-0005-0000-0000-0000C4000000}"/>
    <cellStyle name="Normal 2 2" xfId="197" xr:uid="{00000000-0005-0000-0000-0000C5000000}"/>
    <cellStyle name="Normal 2 2 2" xfId="198" xr:uid="{00000000-0005-0000-0000-0000C6000000}"/>
    <cellStyle name="Normal 2 2 2 2" xfId="199" xr:uid="{00000000-0005-0000-0000-0000C7000000}"/>
    <cellStyle name="Normal 2 2 3" xfId="200" xr:uid="{00000000-0005-0000-0000-0000C8000000}"/>
    <cellStyle name="Normal 2 2 3 2" xfId="201" xr:uid="{00000000-0005-0000-0000-0000C9000000}"/>
    <cellStyle name="Normal 2 2 4" xfId="202" xr:uid="{00000000-0005-0000-0000-0000CA000000}"/>
    <cellStyle name="Normal 2 2 5" xfId="203" xr:uid="{00000000-0005-0000-0000-0000CB000000}"/>
    <cellStyle name="Normal 2 3" xfId="204" xr:uid="{00000000-0005-0000-0000-0000CC000000}"/>
    <cellStyle name="Normal 2 3 2" xfId="205" xr:uid="{00000000-0005-0000-0000-0000CD000000}"/>
    <cellStyle name="Normal 2 4" xfId="206" xr:uid="{00000000-0005-0000-0000-0000CE000000}"/>
    <cellStyle name="Normal 2 4 2" xfId="207" xr:uid="{00000000-0005-0000-0000-0000CF000000}"/>
    <cellStyle name="Normal 2 5" xfId="208" xr:uid="{00000000-0005-0000-0000-0000D0000000}"/>
    <cellStyle name="Normal 2 6" xfId="209" xr:uid="{00000000-0005-0000-0000-0000D1000000}"/>
    <cellStyle name="Note 2" xfId="210" xr:uid="{00000000-0005-0000-0000-0000D2000000}"/>
    <cellStyle name="Output" xfId="211" builtinId="21" customBuiltin="1"/>
    <cellStyle name="Title" xfId="212" builtinId="15" customBuiltin="1"/>
    <cellStyle name="Total" xfId="213" builtinId="25" customBuiltin="1"/>
    <cellStyle name="Warning Text" xfId="2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13739"/>
    </indexedColors>
    <mruColors>
      <color rgb="FFA4D7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096F7-8E85-4065-BA62-B31A2D2EB4D4}">
  <dimension ref="B1:L15"/>
  <sheetViews>
    <sheetView tabSelected="1" workbookViewId="0"/>
  </sheetViews>
  <sheetFormatPr defaultRowHeight="12.75" x14ac:dyDescent="0.2"/>
  <cols>
    <col min="2" max="2" width="11.140625" bestFit="1" customWidth="1"/>
    <col min="3" max="3" width="8" bestFit="1" customWidth="1"/>
  </cols>
  <sheetData>
    <row r="1" spans="2:12" ht="13.5" thickBot="1" x14ac:dyDescent="0.25"/>
    <row r="2" spans="2:12" ht="14.25" thickTop="1" thickBot="1" x14ac:dyDescent="0.25">
      <c r="B2" s="4" t="s">
        <v>489</v>
      </c>
      <c r="C2" s="470" t="s">
        <v>490</v>
      </c>
      <c r="D2" s="471"/>
      <c r="E2" s="471"/>
      <c r="F2" s="471"/>
      <c r="G2" s="471"/>
      <c r="H2" s="471"/>
      <c r="I2" s="471"/>
      <c r="J2" s="471"/>
      <c r="K2" s="471"/>
      <c r="L2" s="472"/>
    </row>
    <row r="3" spans="2:12" ht="14.25" thickTop="1" thickBot="1" x14ac:dyDescent="0.25">
      <c r="B3" s="5"/>
      <c r="C3" s="473" t="s">
        <v>491</v>
      </c>
      <c r="D3" s="474"/>
      <c r="E3" s="474"/>
      <c r="F3" s="474"/>
      <c r="G3" s="474"/>
      <c r="H3" s="474"/>
      <c r="I3" s="474"/>
      <c r="J3" s="474"/>
      <c r="K3" s="474"/>
      <c r="L3" s="475"/>
    </row>
    <row r="4" spans="2:12" ht="14.25" thickTop="1" thickBot="1" x14ac:dyDescent="0.25">
      <c r="B4" s="6"/>
      <c r="C4" s="476" t="s">
        <v>492</v>
      </c>
      <c r="D4" s="477"/>
      <c r="E4" s="477"/>
      <c r="F4" s="477"/>
      <c r="G4" s="477"/>
      <c r="H4" s="477"/>
      <c r="I4" s="477"/>
      <c r="J4" s="477"/>
      <c r="K4" s="477"/>
      <c r="L4" s="478"/>
    </row>
    <row r="5" spans="2:12" ht="14.25" thickTop="1" thickBot="1" x14ac:dyDescent="0.25">
      <c r="B5" s="7"/>
      <c r="C5" s="476" t="s">
        <v>493</v>
      </c>
      <c r="D5" s="477"/>
      <c r="E5" s="477"/>
      <c r="F5" s="477"/>
      <c r="G5" s="477"/>
      <c r="H5" s="477"/>
      <c r="I5" s="477"/>
      <c r="J5" s="477"/>
      <c r="K5" s="477"/>
      <c r="L5" s="478"/>
    </row>
    <row r="6" spans="2:12" ht="14.25" thickTop="1" thickBot="1" x14ac:dyDescent="0.25">
      <c r="B6" s="8"/>
      <c r="C6" s="479" t="s">
        <v>494</v>
      </c>
      <c r="D6" s="480"/>
      <c r="E6" s="480"/>
      <c r="F6" s="480"/>
      <c r="G6" s="480"/>
      <c r="H6" s="480"/>
      <c r="I6" s="480"/>
      <c r="J6" s="480"/>
      <c r="K6" s="480"/>
      <c r="L6" s="481"/>
    </row>
    <row r="7" spans="2:12" ht="13.5" thickTop="1" x14ac:dyDescent="0.2"/>
    <row r="8" spans="2:12" x14ac:dyDescent="0.2">
      <c r="B8" s="482" t="s">
        <v>495</v>
      </c>
      <c r="C8" s="482"/>
      <c r="D8" s="482"/>
      <c r="E8" s="482"/>
      <c r="F8" s="482"/>
      <c r="G8" s="482"/>
      <c r="H8" s="482"/>
      <c r="I8" s="482"/>
      <c r="J8" s="482"/>
      <c r="K8" s="482"/>
      <c r="L8" s="482"/>
    </row>
    <row r="11" spans="2:12" ht="12.75" customHeight="1" x14ac:dyDescent="0.2">
      <c r="B11" s="9" t="s">
        <v>496</v>
      </c>
      <c r="C11" s="469" t="s">
        <v>497</v>
      </c>
      <c r="D11" s="469"/>
      <c r="E11" s="469"/>
      <c r="F11" s="469"/>
      <c r="G11" s="469"/>
      <c r="H11" s="469"/>
      <c r="I11" s="469"/>
      <c r="J11" s="469"/>
      <c r="K11" s="469"/>
      <c r="L11" s="469"/>
    </row>
    <row r="12" spans="2:12" x14ac:dyDescent="0.2">
      <c r="B12" s="10"/>
      <c r="C12" s="469"/>
      <c r="D12" s="469"/>
      <c r="E12" s="469"/>
      <c r="F12" s="469"/>
      <c r="G12" s="469"/>
      <c r="H12" s="469"/>
      <c r="I12" s="469"/>
      <c r="J12" s="469"/>
      <c r="K12" s="469"/>
      <c r="L12" s="469"/>
    </row>
    <row r="13" spans="2:12" x14ac:dyDescent="0.2">
      <c r="B13" s="10"/>
      <c r="C13" s="469"/>
      <c r="D13" s="469"/>
      <c r="E13" s="469"/>
      <c r="F13" s="469"/>
      <c r="G13" s="469"/>
      <c r="H13" s="469"/>
      <c r="I13" s="469"/>
      <c r="J13" s="469"/>
      <c r="K13" s="469"/>
      <c r="L13" s="469"/>
    </row>
    <row r="14" spans="2:12" x14ac:dyDescent="0.2">
      <c r="B14" s="10"/>
      <c r="C14" s="469"/>
      <c r="D14" s="469"/>
      <c r="E14" s="469"/>
      <c r="F14" s="469"/>
      <c r="G14" s="469"/>
      <c r="H14" s="469"/>
      <c r="I14" s="469"/>
      <c r="J14" s="469"/>
      <c r="K14" s="469"/>
      <c r="L14" s="469"/>
    </row>
    <row r="15" spans="2:12" x14ac:dyDescent="0.2">
      <c r="B15" s="10"/>
      <c r="C15" s="469"/>
      <c r="D15" s="469"/>
      <c r="E15" s="469"/>
      <c r="F15" s="469"/>
      <c r="G15" s="469"/>
      <c r="H15" s="469"/>
      <c r="I15" s="469"/>
      <c r="J15" s="469"/>
      <c r="K15" s="469"/>
      <c r="L15" s="469"/>
    </row>
  </sheetData>
  <sheetProtection algorithmName="SHA-512" hashValue="LgZsutw7YjHys8PdofwUkVcK6T0+AcTicdinMNKEvDXCkB4MDiJVHVGUKcvgQgaUYpMqt/2tvURok9ntuobwKw==" saltValue="DMYOa4uHCXZor+csZnIsBQ==" spinCount="100000" sheet="1" objects="1" scenarios="1" formatColumns="0" formatRows="0"/>
  <mergeCells count="7">
    <mergeCell ref="C11:L15"/>
    <mergeCell ref="C2:L2"/>
    <mergeCell ref="C3:L3"/>
    <mergeCell ref="C4:L4"/>
    <mergeCell ref="C5:L5"/>
    <mergeCell ref="C6:L6"/>
    <mergeCell ref="B8:L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9"/>
  <sheetViews>
    <sheetView workbookViewId="0">
      <selection sqref="A1:B1"/>
    </sheetView>
  </sheetViews>
  <sheetFormatPr defaultRowHeight="12.75" x14ac:dyDescent="0.2"/>
  <cols>
    <col min="1" max="1" width="10" bestFit="1" customWidth="1"/>
    <col min="2" max="2" width="12" bestFit="1" customWidth="1"/>
    <col min="3" max="3" width="10" bestFit="1" customWidth="1"/>
    <col min="4" max="4" width="12" bestFit="1" customWidth="1"/>
    <col min="5" max="5" width="12.5703125" bestFit="1" customWidth="1"/>
    <col min="6" max="6" width="12.42578125" bestFit="1" customWidth="1"/>
    <col min="7" max="7" width="12" bestFit="1" customWidth="1"/>
    <col min="8" max="8" width="10.28515625" bestFit="1" customWidth="1"/>
    <col min="9" max="9" width="11.42578125" bestFit="1" customWidth="1"/>
    <col min="10" max="10" width="12" bestFit="1" customWidth="1"/>
    <col min="11" max="12" width="10.28515625" bestFit="1" customWidth="1"/>
  </cols>
  <sheetData>
    <row r="1" spans="1:14" ht="41.45" customHeight="1" thickBot="1" x14ac:dyDescent="0.25">
      <c r="A1" s="506" t="s">
        <v>398</v>
      </c>
      <c r="B1" s="506"/>
      <c r="C1" s="435"/>
      <c r="D1" s="11"/>
      <c r="E1" s="11"/>
      <c r="F1" s="11"/>
      <c r="G1" s="11"/>
      <c r="H1" s="11"/>
      <c r="I1" s="11"/>
      <c r="J1" s="11"/>
      <c r="K1" s="11"/>
      <c r="L1" s="11"/>
      <c r="M1" s="11"/>
      <c r="N1" s="11"/>
    </row>
    <row r="2" spans="1:14" ht="13.5" thickTop="1" x14ac:dyDescent="0.2">
      <c r="A2" s="11"/>
      <c r="B2" s="11"/>
      <c r="C2" s="436" t="s">
        <v>355</v>
      </c>
      <c r="D2" s="437"/>
      <c r="E2" s="438"/>
      <c r="F2" s="439" t="s">
        <v>355</v>
      </c>
      <c r="G2" s="440"/>
      <c r="H2" s="441"/>
      <c r="I2" s="442" t="s">
        <v>355</v>
      </c>
      <c r="J2" s="443"/>
      <c r="K2" s="444"/>
      <c r="L2" s="11"/>
      <c r="M2" s="11"/>
      <c r="N2" s="11"/>
    </row>
    <row r="3" spans="1:14" ht="13.5" thickBot="1" x14ac:dyDescent="0.25">
      <c r="A3" s="11"/>
      <c r="B3" s="11"/>
      <c r="C3" s="445" t="s">
        <v>353</v>
      </c>
      <c r="D3" s="446">
        <f>D8*((D13)/(D14*(1-D7)*((D4/D5)^3)*D6))</f>
        <v>1359344473.5814338</v>
      </c>
      <c r="E3" s="447" t="s">
        <v>354</v>
      </c>
      <c r="F3" s="448" t="s">
        <v>424</v>
      </c>
      <c r="G3" s="449">
        <f>G4*(1/G9)*((G5*G6)/((((2.6*(G23/12)^0.8)*((G7/3)^0.4))/((G21/0.2)^0.3))*((365-G22)/365)*281.9*G8))</f>
        <v>773681.6396651821</v>
      </c>
      <c r="H3" s="450"/>
      <c r="I3" s="451" t="s">
        <v>425</v>
      </c>
      <c r="J3" s="452">
        <f>J4*(1/J7)*(1/J8)</f>
        <v>36055860.959050171</v>
      </c>
      <c r="K3" s="453"/>
      <c r="L3" s="11"/>
      <c r="M3" s="11"/>
      <c r="N3" s="11"/>
    </row>
    <row r="4" spans="1:14" ht="13.5" thickTop="1" x14ac:dyDescent="0.2">
      <c r="A4" s="505" t="s">
        <v>397</v>
      </c>
      <c r="B4" s="505"/>
      <c r="C4" s="454" t="s">
        <v>235</v>
      </c>
      <c r="D4" s="455">
        <v>4.6900000000000004</v>
      </c>
      <c r="E4" s="455" t="s">
        <v>236</v>
      </c>
      <c r="F4" s="456" t="s">
        <v>357</v>
      </c>
      <c r="G4" s="455">
        <f>G24*EXP((((LN(G17))-G25)^2)/G26)</f>
        <v>16.403103329458006</v>
      </c>
      <c r="H4" s="455"/>
      <c r="I4" s="456" t="s">
        <v>357</v>
      </c>
      <c r="J4" s="455">
        <f>J43*EXP((((LN(J38))-J44)^2)/J45)</f>
        <v>9.4355742285493491</v>
      </c>
      <c r="K4" s="457"/>
      <c r="L4" s="11"/>
      <c r="M4" s="11"/>
      <c r="N4" s="11"/>
    </row>
    <row r="5" spans="1:14" x14ac:dyDescent="0.2">
      <c r="A5" s="11"/>
      <c r="B5" s="11"/>
      <c r="C5" s="458" t="s">
        <v>237</v>
      </c>
      <c r="D5" s="11">
        <v>11.32</v>
      </c>
      <c r="E5" s="11" t="s">
        <v>236</v>
      </c>
      <c r="F5" s="459" t="s">
        <v>156</v>
      </c>
      <c r="G5" s="12">
        <f>G20*G13*G27*G32</f>
        <v>3744000</v>
      </c>
      <c r="H5" s="11" t="s">
        <v>368</v>
      </c>
      <c r="I5" s="459" t="s">
        <v>156</v>
      </c>
      <c r="J5" s="12">
        <f>J39*J17*J40*J48</f>
        <v>3744000</v>
      </c>
      <c r="K5" s="460" t="s">
        <v>368</v>
      </c>
      <c r="L5" s="11"/>
      <c r="M5" s="11"/>
      <c r="N5" s="11"/>
    </row>
    <row r="6" spans="1:14" x14ac:dyDescent="0.2">
      <c r="A6" s="11"/>
      <c r="B6" s="11"/>
      <c r="C6" s="458" t="s">
        <v>234</v>
      </c>
      <c r="D6" s="11">
        <v>0.19400000000000001</v>
      </c>
      <c r="E6" s="11" t="s">
        <v>80</v>
      </c>
      <c r="F6" s="459" t="s">
        <v>358</v>
      </c>
      <c r="G6" s="11">
        <f>G11*G14*G30</f>
        <v>867.14059713578104</v>
      </c>
      <c r="H6" s="11" t="s">
        <v>359</v>
      </c>
      <c r="I6" s="459" t="s">
        <v>362</v>
      </c>
      <c r="J6" s="11">
        <f>J39*J41*J46*J47</f>
        <v>4368</v>
      </c>
      <c r="K6" s="460" t="s">
        <v>369</v>
      </c>
      <c r="L6" s="11"/>
      <c r="M6" s="11"/>
      <c r="N6" s="11"/>
    </row>
    <row r="7" spans="1:14" x14ac:dyDescent="0.2">
      <c r="A7" s="11"/>
      <c r="B7" s="460"/>
      <c r="C7" s="458" t="s">
        <v>227</v>
      </c>
      <c r="D7" s="11">
        <v>0.5</v>
      </c>
      <c r="E7" s="11"/>
      <c r="F7" s="459" t="s">
        <v>222</v>
      </c>
      <c r="G7" s="11">
        <f>((G15*G33)+(G16*G34))/(G15+G16)</f>
        <v>8</v>
      </c>
      <c r="H7" s="11" t="s">
        <v>223</v>
      </c>
      <c r="I7" s="459" t="s">
        <v>361</v>
      </c>
      <c r="J7" s="11">
        <f>0.1852+(5.3537/J6)+(-9.6318/(J6)^2)</f>
        <v>0.18642515909285312</v>
      </c>
      <c r="K7" s="460" t="s">
        <v>80</v>
      </c>
      <c r="L7" s="11"/>
      <c r="M7" s="11"/>
      <c r="N7" s="11"/>
    </row>
    <row r="8" spans="1:14" x14ac:dyDescent="0.2">
      <c r="A8" s="11"/>
      <c r="B8" s="11"/>
      <c r="C8" s="461" t="s">
        <v>357</v>
      </c>
      <c r="D8" s="11">
        <f>D10*EXP((((LN(D9))-D11)^2)/D12)</f>
        <v>93.773582452087695</v>
      </c>
      <c r="E8" s="11"/>
      <c r="F8" s="459" t="s">
        <v>360</v>
      </c>
      <c r="G8" s="11">
        <f>(G15+G16)*G12*G18*G19</f>
        <v>554.76538466316788</v>
      </c>
      <c r="H8" s="11" t="s">
        <v>220</v>
      </c>
      <c r="I8" s="459" t="s">
        <v>228</v>
      </c>
      <c r="J8" s="12">
        <f>(J9+J10+J11+J12+J13)/(J14*J5)</f>
        <v>1.4037440964901645E-6</v>
      </c>
      <c r="K8" s="460"/>
      <c r="L8" s="11"/>
      <c r="M8" s="11"/>
      <c r="N8" s="11"/>
    </row>
    <row r="9" spans="1:14" x14ac:dyDescent="0.2">
      <c r="A9" s="11"/>
      <c r="B9" s="11"/>
      <c r="C9" s="458" t="s">
        <v>212</v>
      </c>
      <c r="D9" s="11">
        <v>0.5</v>
      </c>
      <c r="E9" s="11" t="s">
        <v>207</v>
      </c>
      <c r="F9" s="459" t="s">
        <v>361</v>
      </c>
      <c r="G9" s="462">
        <f>0.1852+(5.3537/G10)+(-9.6318/(G10)^2)</f>
        <v>0.18642515909285312</v>
      </c>
      <c r="H9" s="11" t="s">
        <v>80</v>
      </c>
      <c r="I9" s="459" t="s">
        <v>377</v>
      </c>
      <c r="J9" s="11">
        <f>0.036*(1-J21)*((J18/J19)^3)*J20*J39*J14*8760</f>
        <v>88039.135458504272</v>
      </c>
      <c r="K9" s="460" t="s">
        <v>230</v>
      </c>
      <c r="L9" s="11"/>
      <c r="M9" s="11"/>
      <c r="N9" s="11"/>
    </row>
    <row r="10" spans="1:14" x14ac:dyDescent="0.2">
      <c r="A10" s="11"/>
      <c r="B10" s="11"/>
      <c r="C10" s="463" t="s">
        <v>215</v>
      </c>
      <c r="D10" s="464">
        <v>16.2302</v>
      </c>
      <c r="E10" s="11"/>
      <c r="F10" s="459" t="s">
        <v>362</v>
      </c>
      <c r="G10" s="11">
        <f>G20*G18*G28*G29</f>
        <v>4368</v>
      </c>
      <c r="H10" s="11" t="s">
        <v>369</v>
      </c>
      <c r="I10" s="459" t="s">
        <v>231</v>
      </c>
      <c r="J10" s="11">
        <f>(0.35*0.0016*((J18/2.2)^1.3)/((J26/2)^1.4))*J22*J23*J24*J25*1000</f>
        <v>1658.1505859098856</v>
      </c>
      <c r="K10" s="460" t="s">
        <v>230</v>
      </c>
      <c r="L10" s="11"/>
      <c r="M10" s="11"/>
      <c r="N10" s="11"/>
    </row>
    <row r="11" spans="1:14" x14ac:dyDescent="0.2">
      <c r="A11" s="11"/>
      <c r="B11" s="11"/>
      <c r="C11" s="463" t="s">
        <v>217</v>
      </c>
      <c r="D11" s="464">
        <v>18.776199999999999</v>
      </c>
      <c r="E11" s="11"/>
      <c r="F11" s="459" t="s">
        <v>363</v>
      </c>
      <c r="G11" s="11">
        <f>SQRT(G17*43560.17)</f>
        <v>466.69138625005706</v>
      </c>
      <c r="H11" s="11" t="s">
        <v>204</v>
      </c>
      <c r="I11" s="459" t="s">
        <v>229</v>
      </c>
      <c r="J11" s="11">
        <f>0.75*((0.45*(J27^1.5))/(J28^1.4))*(J15/J29)*1000</f>
        <v>739.26351214461999</v>
      </c>
      <c r="K11" s="460" t="s">
        <v>230</v>
      </c>
      <c r="L11" s="11"/>
      <c r="M11" s="11"/>
      <c r="N11" s="11"/>
    </row>
    <row r="12" spans="1:14" x14ac:dyDescent="0.2">
      <c r="A12" s="11"/>
      <c r="B12" s="11"/>
      <c r="C12" s="463" t="s">
        <v>219</v>
      </c>
      <c r="D12" s="464">
        <v>216.108</v>
      </c>
      <c r="E12" s="11"/>
      <c r="F12" s="459" t="s">
        <v>225</v>
      </c>
      <c r="G12" s="11">
        <f>G11*0.0003048</f>
        <v>0.14224753452901739</v>
      </c>
      <c r="H12" s="11" t="s">
        <v>226</v>
      </c>
      <c r="I12" s="459" t="s">
        <v>233</v>
      </c>
      <c r="J12" s="11">
        <f>0.6*0.0056*(J30^2)*J16*1000</f>
        <v>10863.846413114754</v>
      </c>
      <c r="K12" s="460" t="s">
        <v>230</v>
      </c>
      <c r="L12" s="11"/>
      <c r="M12" s="11"/>
      <c r="N12" s="11"/>
    </row>
    <row r="13" spans="1:14" x14ac:dyDescent="0.2">
      <c r="A13" s="11"/>
      <c r="B13" s="11"/>
      <c r="C13" s="465"/>
      <c r="D13" s="11">
        <v>3600</v>
      </c>
      <c r="E13" s="11" t="s">
        <v>356</v>
      </c>
      <c r="F13" s="459" t="s">
        <v>372</v>
      </c>
      <c r="G13" s="11">
        <f>G18*G19</f>
        <v>130</v>
      </c>
      <c r="H13" s="11" t="s">
        <v>55</v>
      </c>
      <c r="I13" s="459" t="s">
        <v>232</v>
      </c>
      <c r="J13" s="11">
        <f>1.1*(J31^0.6)*J32*4047*(1/10000)*1000*J33</f>
        <v>5043.3532488378178</v>
      </c>
      <c r="K13" s="460" t="s">
        <v>230</v>
      </c>
      <c r="L13" s="11"/>
      <c r="M13" s="11"/>
      <c r="N13" s="11"/>
    </row>
    <row r="14" spans="1:14" ht="13.5" thickBot="1" x14ac:dyDescent="0.25">
      <c r="A14" s="11"/>
      <c r="B14" s="11"/>
      <c r="C14" s="466"/>
      <c r="D14" s="435">
        <v>3.5999999999999997E-2</v>
      </c>
      <c r="E14" s="435"/>
      <c r="F14" s="465" t="s">
        <v>364</v>
      </c>
      <c r="G14" s="11">
        <v>20</v>
      </c>
      <c r="H14" s="11" t="s">
        <v>204</v>
      </c>
      <c r="I14" s="459" t="s">
        <v>218</v>
      </c>
      <c r="J14" s="11">
        <f>J38*4046.86</f>
        <v>20234.3</v>
      </c>
      <c r="K14" s="460" t="s">
        <v>359</v>
      </c>
      <c r="L14" s="11"/>
      <c r="M14" s="11"/>
      <c r="N14" s="11"/>
    </row>
    <row r="15" spans="1:14" ht="13.5" thickTop="1" x14ac:dyDescent="0.2">
      <c r="A15" s="11"/>
      <c r="B15" s="11"/>
      <c r="C15" s="11"/>
      <c r="D15" s="11"/>
      <c r="E15" s="11"/>
      <c r="F15" s="465" t="s">
        <v>366</v>
      </c>
      <c r="G15" s="11">
        <v>20</v>
      </c>
      <c r="H15" s="11"/>
      <c r="I15" s="459" t="s">
        <v>385</v>
      </c>
      <c r="J15" s="11">
        <f>J35*J23*(1/J36)*(1/1000)*J37</f>
        <v>24.879098360655735</v>
      </c>
      <c r="K15" s="460" t="s">
        <v>220</v>
      </c>
      <c r="L15" s="11"/>
      <c r="M15" s="11"/>
      <c r="N15" s="11"/>
    </row>
    <row r="16" spans="1:14" x14ac:dyDescent="0.2">
      <c r="A16" s="11"/>
      <c r="B16" s="11"/>
      <c r="C16" s="11"/>
      <c r="D16" s="13"/>
      <c r="E16" s="11"/>
      <c r="F16" s="465" t="s">
        <v>367</v>
      </c>
      <c r="G16" s="11">
        <v>10</v>
      </c>
      <c r="H16" s="11"/>
      <c r="I16" s="459" t="s">
        <v>390</v>
      </c>
      <c r="J16" s="11">
        <f>J34*J23*(1/J36)*(1/1000)*J37</f>
        <v>24.879098360655735</v>
      </c>
      <c r="K16" s="460" t="s">
        <v>220</v>
      </c>
      <c r="L16" s="11"/>
      <c r="M16" s="11"/>
      <c r="N16" s="11"/>
    </row>
    <row r="17" spans="1:14" x14ac:dyDescent="0.2">
      <c r="A17" s="11"/>
      <c r="B17" s="11"/>
      <c r="C17" s="11"/>
      <c r="D17" s="11"/>
      <c r="E17" s="11"/>
      <c r="F17" s="465" t="s">
        <v>212</v>
      </c>
      <c r="G17" s="11">
        <v>5</v>
      </c>
      <c r="H17" s="11" t="s">
        <v>207</v>
      </c>
      <c r="I17" s="459" t="s">
        <v>372</v>
      </c>
      <c r="J17" s="11">
        <f>'Am-241 Default'!AG8</f>
        <v>130</v>
      </c>
      <c r="K17" s="460" t="s">
        <v>55</v>
      </c>
      <c r="L17" s="11"/>
      <c r="M17" s="11"/>
      <c r="N17" s="11"/>
    </row>
    <row r="18" spans="1:14" x14ac:dyDescent="0.2">
      <c r="A18" s="11"/>
      <c r="B18" s="11"/>
      <c r="C18" s="11"/>
      <c r="D18" s="11"/>
      <c r="E18" s="11"/>
      <c r="F18" s="465" t="s">
        <v>370</v>
      </c>
      <c r="G18" s="11">
        <v>26</v>
      </c>
      <c r="H18" s="11" t="s">
        <v>211</v>
      </c>
      <c r="I18" s="458" t="s">
        <v>235</v>
      </c>
      <c r="J18" s="11">
        <v>4.6900000000000004</v>
      </c>
      <c r="K18" s="460" t="s">
        <v>236</v>
      </c>
      <c r="L18" s="11"/>
      <c r="M18" s="11"/>
      <c r="N18" s="11"/>
    </row>
    <row r="19" spans="1:14" x14ac:dyDescent="0.2">
      <c r="A19" s="11"/>
      <c r="B19" s="11"/>
      <c r="C19" s="11"/>
      <c r="D19" s="11"/>
      <c r="E19" s="11"/>
      <c r="F19" s="465" t="s">
        <v>371</v>
      </c>
      <c r="G19" s="11">
        <f>'Am-241 Default'!AF12</f>
        <v>5</v>
      </c>
      <c r="H19" s="11" t="s">
        <v>210</v>
      </c>
      <c r="I19" s="458" t="s">
        <v>237</v>
      </c>
      <c r="J19" s="11">
        <v>11.32</v>
      </c>
      <c r="K19" s="460" t="s">
        <v>236</v>
      </c>
      <c r="L19" s="11"/>
      <c r="M19" s="11"/>
      <c r="N19" s="11"/>
    </row>
    <row r="20" spans="1:14" x14ac:dyDescent="0.2">
      <c r="A20" s="11"/>
      <c r="B20" s="11"/>
      <c r="C20" s="11"/>
      <c r="D20" s="12"/>
      <c r="E20" s="11"/>
      <c r="F20" s="465" t="s">
        <v>328</v>
      </c>
      <c r="G20" s="11">
        <f>'Am-241 Default'!AF15</f>
        <v>1</v>
      </c>
      <c r="H20" s="11" t="s">
        <v>276</v>
      </c>
      <c r="I20" s="458" t="s">
        <v>234</v>
      </c>
      <c r="J20" s="11">
        <v>0.19400000000000001</v>
      </c>
      <c r="K20" s="460" t="s">
        <v>80</v>
      </c>
      <c r="L20" s="11"/>
      <c r="M20" s="11"/>
      <c r="N20" s="11"/>
    </row>
    <row r="21" spans="1:14" x14ac:dyDescent="0.2">
      <c r="A21" s="11"/>
      <c r="B21" s="11"/>
      <c r="C21" s="11"/>
      <c r="D21" s="11"/>
      <c r="E21" s="11"/>
      <c r="F21" s="465" t="s">
        <v>376</v>
      </c>
      <c r="G21" s="11">
        <v>0.2</v>
      </c>
      <c r="H21" s="11" t="s">
        <v>384</v>
      </c>
      <c r="I21" s="458" t="s">
        <v>227</v>
      </c>
      <c r="J21" s="11">
        <v>0</v>
      </c>
      <c r="K21" s="460"/>
      <c r="L21" s="11"/>
      <c r="M21" s="11"/>
      <c r="N21" s="11"/>
    </row>
    <row r="22" spans="1:14" x14ac:dyDescent="0.2">
      <c r="A22" s="11"/>
      <c r="B22" s="11"/>
      <c r="C22" s="11"/>
      <c r="D22" s="11"/>
      <c r="E22" s="11"/>
      <c r="F22" s="465" t="s">
        <v>213</v>
      </c>
      <c r="G22" s="11">
        <v>70</v>
      </c>
      <c r="H22" s="11" t="s">
        <v>55</v>
      </c>
      <c r="I22" s="458" t="s">
        <v>378</v>
      </c>
      <c r="J22" s="11">
        <v>1.68</v>
      </c>
      <c r="K22" s="460" t="s">
        <v>379</v>
      </c>
      <c r="L22" s="11"/>
      <c r="M22" s="11"/>
      <c r="N22" s="11"/>
    </row>
    <row r="23" spans="1:14" x14ac:dyDescent="0.2">
      <c r="A23" s="11"/>
      <c r="B23" s="11"/>
      <c r="C23" s="11"/>
      <c r="D23" s="11"/>
      <c r="E23" s="11"/>
      <c r="F23" s="465" t="s">
        <v>214</v>
      </c>
      <c r="G23" s="11">
        <v>8.5</v>
      </c>
      <c r="H23" s="11" t="s">
        <v>384</v>
      </c>
      <c r="I23" s="458" t="s">
        <v>380</v>
      </c>
      <c r="J23" s="11">
        <v>4047</v>
      </c>
      <c r="K23" s="460" t="s">
        <v>359</v>
      </c>
      <c r="L23" s="11"/>
      <c r="M23" s="11"/>
      <c r="N23" s="11"/>
    </row>
    <row r="24" spans="1:14" x14ac:dyDescent="0.2">
      <c r="A24" s="11"/>
      <c r="B24" s="11"/>
      <c r="C24" s="11"/>
      <c r="D24" s="11"/>
      <c r="E24" s="11"/>
      <c r="F24" s="463" t="s">
        <v>215</v>
      </c>
      <c r="G24" s="464">
        <v>12.9351</v>
      </c>
      <c r="H24" s="11"/>
      <c r="I24" s="458" t="s">
        <v>381</v>
      </c>
      <c r="J24" s="11">
        <v>1</v>
      </c>
      <c r="K24" s="460" t="s">
        <v>192</v>
      </c>
      <c r="L24" s="11"/>
      <c r="M24" s="11"/>
      <c r="N24" s="11"/>
    </row>
    <row r="25" spans="1:14" x14ac:dyDescent="0.2">
      <c r="A25" s="11"/>
      <c r="B25" s="11"/>
      <c r="C25" s="11"/>
      <c r="D25" s="11"/>
      <c r="E25" s="11"/>
      <c r="F25" s="463" t="s">
        <v>217</v>
      </c>
      <c r="G25" s="464">
        <v>5.7382999999999997</v>
      </c>
      <c r="H25" s="11"/>
      <c r="I25" s="458" t="s">
        <v>382</v>
      </c>
      <c r="J25" s="11">
        <v>2</v>
      </c>
      <c r="K25" s="460"/>
      <c r="L25" s="11"/>
      <c r="M25" s="11"/>
      <c r="N25" s="11"/>
    </row>
    <row r="26" spans="1:14" x14ac:dyDescent="0.2">
      <c r="A26" s="11"/>
      <c r="B26" s="11"/>
      <c r="C26" s="11"/>
      <c r="D26" s="11"/>
      <c r="E26" s="11"/>
      <c r="F26" s="463" t="s">
        <v>219</v>
      </c>
      <c r="G26" s="464">
        <v>71.771100000000004</v>
      </c>
      <c r="H26" s="11"/>
      <c r="I26" s="458" t="s">
        <v>383</v>
      </c>
      <c r="J26" s="11">
        <v>12</v>
      </c>
      <c r="K26" s="460" t="s">
        <v>384</v>
      </c>
      <c r="L26" s="11"/>
      <c r="M26" s="11"/>
      <c r="N26" s="11"/>
    </row>
    <row r="27" spans="1:14" x14ac:dyDescent="0.2">
      <c r="A27" s="11"/>
      <c r="B27" s="11"/>
      <c r="C27" s="11"/>
      <c r="D27" s="11"/>
      <c r="E27" s="11"/>
      <c r="F27" s="465" t="s">
        <v>126</v>
      </c>
      <c r="G27" s="11">
        <f>'Am-241 Default'!AF14</f>
        <v>8</v>
      </c>
      <c r="H27" s="11" t="s">
        <v>258</v>
      </c>
      <c r="I27" s="458" t="s">
        <v>221</v>
      </c>
      <c r="J27" s="11">
        <v>6.9</v>
      </c>
      <c r="K27" s="460" t="s">
        <v>384</v>
      </c>
      <c r="L27" s="11"/>
      <c r="M27" s="11"/>
      <c r="N27" s="11"/>
    </row>
    <row r="28" spans="1:14" x14ac:dyDescent="0.2">
      <c r="A28" s="11"/>
      <c r="B28" s="11"/>
      <c r="C28" s="11"/>
      <c r="D28" s="11"/>
      <c r="E28" s="11"/>
      <c r="F28" s="465"/>
      <c r="G28" s="11">
        <v>7</v>
      </c>
      <c r="H28" s="11" t="s">
        <v>210</v>
      </c>
      <c r="I28" s="458" t="s">
        <v>386</v>
      </c>
      <c r="J28" s="11">
        <v>7.9</v>
      </c>
      <c r="K28" s="460" t="s">
        <v>384</v>
      </c>
      <c r="L28" s="11"/>
      <c r="M28" s="11"/>
      <c r="N28" s="11"/>
    </row>
    <row r="29" spans="1:14" x14ac:dyDescent="0.2">
      <c r="A29" s="11"/>
      <c r="B29" s="11"/>
      <c r="C29" s="11"/>
      <c r="D29" s="11"/>
      <c r="E29" s="11"/>
      <c r="F29" s="465"/>
      <c r="G29" s="11">
        <v>24</v>
      </c>
      <c r="H29" s="11" t="s">
        <v>375</v>
      </c>
      <c r="I29" s="458" t="s">
        <v>387</v>
      </c>
      <c r="J29" s="11">
        <v>11.4</v>
      </c>
      <c r="K29" s="460" t="s">
        <v>388</v>
      </c>
      <c r="L29" s="11"/>
      <c r="M29" s="11"/>
      <c r="N29" s="11"/>
    </row>
    <row r="30" spans="1:14" x14ac:dyDescent="0.2">
      <c r="A30" s="11"/>
      <c r="B30" s="11"/>
      <c r="C30" s="11"/>
      <c r="D30" s="11"/>
      <c r="E30" s="11"/>
      <c r="F30" s="465"/>
      <c r="G30" s="11">
        <v>9.2902999999999999E-2</v>
      </c>
      <c r="H30" s="11" t="s">
        <v>365</v>
      </c>
      <c r="I30" s="458" t="s">
        <v>389</v>
      </c>
      <c r="J30" s="11">
        <v>11.4</v>
      </c>
      <c r="K30" s="460" t="s">
        <v>388</v>
      </c>
      <c r="L30" s="11"/>
      <c r="M30" s="11"/>
      <c r="N30" s="12"/>
    </row>
    <row r="31" spans="1:14" x14ac:dyDescent="0.2">
      <c r="A31" s="11"/>
      <c r="B31" s="11"/>
      <c r="C31" s="11"/>
      <c r="D31" s="11"/>
      <c r="E31" s="11"/>
      <c r="F31" s="465"/>
      <c r="G31" s="11">
        <v>365</v>
      </c>
      <c r="H31" s="11" t="s">
        <v>55</v>
      </c>
      <c r="I31" s="458" t="s">
        <v>224</v>
      </c>
      <c r="J31" s="11">
        <v>18</v>
      </c>
      <c r="K31" s="460" t="s">
        <v>384</v>
      </c>
      <c r="L31" s="11"/>
      <c r="M31" s="11"/>
      <c r="N31" s="11"/>
    </row>
    <row r="32" spans="1:14" x14ac:dyDescent="0.2">
      <c r="A32" s="11"/>
      <c r="B32" s="11"/>
      <c r="C32" s="11"/>
      <c r="D32" s="11"/>
      <c r="E32" s="11"/>
      <c r="F32" s="465"/>
      <c r="G32" s="11">
        <v>3600</v>
      </c>
      <c r="H32" s="11" t="s">
        <v>374</v>
      </c>
      <c r="I32" s="458" t="s">
        <v>391</v>
      </c>
      <c r="J32" s="11">
        <v>1</v>
      </c>
      <c r="K32" s="460" t="s">
        <v>207</v>
      </c>
      <c r="L32" s="11"/>
      <c r="M32" s="11"/>
      <c r="N32" s="11"/>
    </row>
    <row r="33" spans="1:14" x14ac:dyDescent="0.2">
      <c r="A33" s="11"/>
      <c r="B33" s="11"/>
      <c r="C33" s="11"/>
      <c r="D33" s="11"/>
      <c r="E33" s="11"/>
      <c r="F33" s="465"/>
      <c r="G33" s="11">
        <v>2</v>
      </c>
      <c r="H33" s="11" t="s">
        <v>208</v>
      </c>
      <c r="I33" s="458" t="s">
        <v>392</v>
      </c>
      <c r="J33" s="11">
        <v>2</v>
      </c>
      <c r="K33" s="460"/>
      <c r="L33" s="11"/>
      <c r="M33" s="11"/>
      <c r="N33" s="11"/>
    </row>
    <row r="34" spans="1:14" ht="13.5" thickBot="1" x14ac:dyDescent="0.25">
      <c r="A34" s="11"/>
      <c r="B34" s="11"/>
      <c r="C34" s="11"/>
      <c r="D34" s="11"/>
      <c r="E34" s="11"/>
      <c r="F34" s="466"/>
      <c r="G34" s="435">
        <v>20</v>
      </c>
      <c r="H34" s="435" t="s">
        <v>209</v>
      </c>
      <c r="I34" s="458" t="s">
        <v>393</v>
      </c>
      <c r="J34" s="11">
        <v>5</v>
      </c>
      <c r="K34" s="460" t="s">
        <v>207</v>
      </c>
      <c r="L34" s="11"/>
      <c r="M34" s="11"/>
      <c r="N34" s="11"/>
    </row>
    <row r="35" spans="1:14" ht="13.5" thickTop="1" x14ac:dyDescent="0.2">
      <c r="A35" s="11"/>
      <c r="B35" s="11"/>
      <c r="C35" s="11"/>
      <c r="D35" s="11"/>
      <c r="E35" s="11"/>
      <c r="F35" s="11"/>
      <c r="G35" s="11"/>
      <c r="H35" s="11"/>
      <c r="I35" s="458" t="s">
        <v>396</v>
      </c>
      <c r="J35" s="11">
        <v>5</v>
      </c>
      <c r="K35" s="460" t="s">
        <v>207</v>
      </c>
      <c r="L35" s="11"/>
      <c r="M35" s="11"/>
      <c r="N35" s="11"/>
    </row>
    <row r="36" spans="1:14" x14ac:dyDescent="0.2">
      <c r="A36" s="11"/>
      <c r="B36" s="11"/>
      <c r="C36" s="11"/>
      <c r="D36" s="11"/>
      <c r="E36" s="11"/>
      <c r="F36" s="11"/>
      <c r="G36" s="11"/>
      <c r="H36" s="11"/>
      <c r="I36" s="458" t="s">
        <v>394</v>
      </c>
      <c r="J36" s="11">
        <v>2.44</v>
      </c>
      <c r="K36" s="460" t="s">
        <v>192</v>
      </c>
      <c r="L36" s="11"/>
      <c r="M36" s="11"/>
      <c r="N36" s="11"/>
    </row>
    <row r="37" spans="1:14" x14ac:dyDescent="0.2">
      <c r="A37" s="11"/>
      <c r="B37" s="11"/>
      <c r="C37" s="11"/>
      <c r="D37" s="11"/>
      <c r="E37" s="11"/>
      <c r="F37" s="11"/>
      <c r="G37" s="11"/>
      <c r="H37" s="11"/>
      <c r="I37" s="458" t="s">
        <v>395</v>
      </c>
      <c r="J37" s="11">
        <v>3</v>
      </c>
      <c r="K37" s="460"/>
      <c r="L37" s="11"/>
      <c r="M37" s="11"/>
      <c r="N37" s="11"/>
    </row>
    <row r="38" spans="1:14" x14ac:dyDescent="0.2">
      <c r="A38" s="11"/>
      <c r="B38" s="11"/>
      <c r="C38" s="11"/>
      <c r="D38" s="11"/>
      <c r="E38" s="11"/>
      <c r="F38" s="11"/>
      <c r="G38" s="11"/>
      <c r="H38" s="11"/>
      <c r="I38" s="458" t="s">
        <v>216</v>
      </c>
      <c r="J38" s="11">
        <v>5</v>
      </c>
      <c r="K38" s="460" t="s">
        <v>207</v>
      </c>
      <c r="L38" s="11"/>
      <c r="M38" s="11"/>
      <c r="N38" s="11"/>
    </row>
    <row r="39" spans="1:14" x14ac:dyDescent="0.2">
      <c r="A39" s="11"/>
      <c r="B39" s="11"/>
      <c r="C39" s="11"/>
      <c r="D39" s="11"/>
      <c r="E39" s="11"/>
      <c r="F39" s="11"/>
      <c r="G39" s="11"/>
      <c r="H39" s="11"/>
      <c r="I39" s="465" t="s">
        <v>328</v>
      </c>
      <c r="J39" s="11">
        <f>'Am-241 Default'!AG11</f>
        <v>1</v>
      </c>
      <c r="K39" s="460" t="s">
        <v>276</v>
      </c>
      <c r="L39" s="11"/>
      <c r="M39" s="11"/>
      <c r="N39" s="11"/>
    </row>
    <row r="40" spans="1:14" x14ac:dyDescent="0.2">
      <c r="A40" s="11"/>
      <c r="B40" s="11"/>
      <c r="C40" s="11"/>
      <c r="D40" s="11"/>
      <c r="E40" s="11"/>
      <c r="F40" s="11"/>
      <c r="G40" s="11"/>
      <c r="H40" s="11"/>
      <c r="I40" s="465" t="s">
        <v>373</v>
      </c>
      <c r="J40" s="11">
        <f>'Am-241 Default'!AG14</f>
        <v>8</v>
      </c>
      <c r="K40" s="460" t="s">
        <v>258</v>
      </c>
      <c r="L40" s="11"/>
      <c r="M40" s="11"/>
      <c r="N40" s="11"/>
    </row>
    <row r="41" spans="1:14" x14ac:dyDescent="0.2">
      <c r="A41" s="11"/>
      <c r="B41" s="11"/>
      <c r="C41" s="11"/>
      <c r="D41" s="11"/>
      <c r="E41" s="11"/>
      <c r="F41" s="11"/>
      <c r="G41" s="11"/>
      <c r="H41" s="11"/>
      <c r="I41" s="465" t="s">
        <v>370</v>
      </c>
      <c r="J41" s="11">
        <f>'Am-241 Default'!AG13</f>
        <v>26</v>
      </c>
      <c r="K41" s="460" t="s">
        <v>211</v>
      </c>
      <c r="L41" s="11"/>
      <c r="M41" s="11"/>
      <c r="N41" s="11"/>
    </row>
    <row r="42" spans="1:14" x14ac:dyDescent="0.2">
      <c r="A42" s="11"/>
      <c r="B42" s="11"/>
      <c r="C42" s="11"/>
      <c r="D42" s="11"/>
      <c r="E42" s="11"/>
      <c r="F42" s="11"/>
      <c r="G42" s="11"/>
      <c r="H42" s="11"/>
      <c r="I42" s="465" t="s">
        <v>371</v>
      </c>
      <c r="J42" s="11">
        <f>'Am-241 Default'!AG12</f>
        <v>5</v>
      </c>
      <c r="K42" s="460" t="s">
        <v>210</v>
      </c>
      <c r="L42" s="11"/>
      <c r="M42" s="11"/>
      <c r="N42" s="11"/>
    </row>
    <row r="43" spans="1:14" x14ac:dyDescent="0.2">
      <c r="A43" s="11"/>
      <c r="B43" s="11"/>
      <c r="C43" s="11"/>
      <c r="D43" s="11"/>
      <c r="E43" s="11"/>
      <c r="F43" s="11"/>
      <c r="G43" s="11"/>
      <c r="H43" s="11"/>
      <c r="I43" s="463" t="s">
        <v>215</v>
      </c>
      <c r="J43" s="467">
        <v>2.4538000000000002</v>
      </c>
      <c r="K43" s="460"/>
      <c r="L43" s="11"/>
      <c r="M43" s="11"/>
      <c r="N43" s="11"/>
    </row>
    <row r="44" spans="1:14" x14ac:dyDescent="0.2">
      <c r="A44" s="11"/>
      <c r="B44" s="11"/>
      <c r="C44" s="11"/>
      <c r="D44" s="11"/>
      <c r="E44" s="11"/>
      <c r="F44" s="11"/>
      <c r="G44" s="11"/>
      <c r="H44" s="11"/>
      <c r="I44" s="463" t="s">
        <v>217</v>
      </c>
      <c r="J44" s="467">
        <v>17.565999999999999</v>
      </c>
      <c r="K44" s="460"/>
      <c r="L44" s="11"/>
      <c r="M44" s="11"/>
      <c r="N44" s="11"/>
    </row>
    <row r="45" spans="1:14" x14ac:dyDescent="0.2">
      <c r="A45" s="11"/>
      <c r="B45" s="11"/>
      <c r="C45" s="11"/>
      <c r="D45" s="11"/>
      <c r="E45" s="11"/>
      <c r="F45" s="11"/>
      <c r="G45" s="11"/>
      <c r="H45" s="11"/>
      <c r="I45" s="463" t="s">
        <v>219</v>
      </c>
      <c r="J45" s="467">
        <v>189.04259999999999</v>
      </c>
      <c r="K45" s="460"/>
      <c r="L45" s="11"/>
      <c r="M45" s="11"/>
      <c r="N45" s="11"/>
    </row>
    <row r="46" spans="1:14" x14ac:dyDescent="0.2">
      <c r="A46" s="11"/>
      <c r="B46" s="11"/>
      <c r="C46" s="11"/>
      <c r="D46" s="11"/>
      <c r="E46" s="11"/>
      <c r="F46" s="11"/>
      <c r="G46" s="11"/>
      <c r="H46" s="11"/>
      <c r="I46" s="465"/>
      <c r="J46" s="11">
        <v>7</v>
      </c>
      <c r="K46" s="460" t="s">
        <v>210</v>
      </c>
      <c r="L46" s="11"/>
      <c r="M46" s="11"/>
      <c r="N46" s="11"/>
    </row>
    <row r="47" spans="1:14" x14ac:dyDescent="0.2">
      <c r="A47" s="11"/>
      <c r="B47" s="11"/>
      <c r="C47" s="11"/>
      <c r="D47" s="11"/>
      <c r="E47" s="11"/>
      <c r="F47" s="11"/>
      <c r="G47" s="11"/>
      <c r="H47" s="11"/>
      <c r="I47" s="465"/>
      <c r="J47" s="11">
        <v>24</v>
      </c>
      <c r="K47" s="460" t="s">
        <v>375</v>
      </c>
      <c r="L47" s="11"/>
      <c r="M47" s="11"/>
      <c r="N47" s="11"/>
    </row>
    <row r="48" spans="1:14" ht="13.5" thickBot="1" x14ac:dyDescent="0.25">
      <c r="A48" s="11"/>
      <c r="B48" s="11"/>
      <c r="C48" s="11"/>
      <c r="D48" s="11"/>
      <c r="E48" s="11"/>
      <c r="F48" s="11"/>
      <c r="G48" s="11"/>
      <c r="H48" s="11"/>
      <c r="I48" s="466"/>
      <c r="J48" s="435">
        <v>3600</v>
      </c>
      <c r="K48" s="468" t="s">
        <v>368</v>
      </c>
      <c r="L48" s="11"/>
      <c r="M48" s="11"/>
      <c r="N48" s="11"/>
    </row>
    <row r="49" spans="1:14" ht="13.5" thickTop="1" x14ac:dyDescent="0.2">
      <c r="A49" s="11"/>
      <c r="B49" s="11"/>
      <c r="C49" s="11"/>
      <c r="D49" s="11"/>
      <c r="E49" s="11"/>
      <c r="F49" s="11"/>
      <c r="G49" s="11"/>
      <c r="H49" s="11"/>
      <c r="I49" s="11"/>
      <c r="J49" s="11"/>
      <c r="K49" s="11"/>
      <c r="L49" s="11"/>
      <c r="M49" s="11"/>
      <c r="N49" s="11"/>
    </row>
  </sheetData>
  <sheetProtection algorithmName="SHA-512" hashValue="pw5WUw5VPhf+s2juvh2mt03VjbY3mf4sm5hHkSLRXlukFLrUgiwfCHxMuHJRcSrSraLjEk4ZC6qGsGVKGaEF8A==" saltValue="sohKJEdqcdhvpy8JtMJxJA==" spinCount="100000" sheet="1" objects="1" scenarios="1" formatColumns="0" formatRows="0" autoFilter="0"/>
  <mergeCells count="2">
    <mergeCell ref="A4:B4"/>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F86"/>
  <sheetViews>
    <sheetView zoomScaleNormal="100" workbookViewId="0">
      <pane xSplit="3" ySplit="4" topLeftCell="D5" activePane="bottomRight" state="frozen"/>
      <selection pane="topRight" activeCell="D1" sqref="D1"/>
      <selection pane="bottomLeft" activeCell="A5" sqref="A5"/>
      <selection pane="bottomRight" activeCell="D5" sqref="D5"/>
    </sheetView>
  </sheetViews>
  <sheetFormatPr defaultRowHeight="12.75" x14ac:dyDescent="0.2"/>
  <cols>
    <col min="1" max="1" width="14.42578125" bestFit="1" customWidth="1"/>
    <col min="2" max="2" width="9.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2" width="15.42578125"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5" thickTop="1" x14ac:dyDescent="0.2">
      <c r="A1" s="484" t="s">
        <v>450</v>
      </c>
      <c r="B1" s="485"/>
      <c r="C1" s="486"/>
      <c r="D1" s="14" t="s">
        <v>3</v>
      </c>
      <c r="E1" s="15"/>
      <c r="F1" s="15" t="s">
        <v>0</v>
      </c>
      <c r="G1" s="16" t="s">
        <v>3</v>
      </c>
      <c r="H1" s="17"/>
      <c r="I1" s="17" t="s">
        <v>0</v>
      </c>
      <c r="J1" s="18" t="s">
        <v>3</v>
      </c>
      <c r="K1" s="19"/>
      <c r="L1" s="20" t="s">
        <v>0</v>
      </c>
      <c r="M1" s="21" t="s">
        <v>13</v>
      </c>
      <c r="N1" s="22" t="s">
        <v>14</v>
      </c>
      <c r="O1" s="22" t="s">
        <v>0</v>
      </c>
      <c r="P1" s="23" t="s">
        <v>13</v>
      </c>
      <c r="Q1" s="22" t="s">
        <v>157</v>
      </c>
      <c r="R1" s="22" t="s">
        <v>0</v>
      </c>
      <c r="S1" s="23" t="s">
        <v>13</v>
      </c>
      <c r="T1" s="22" t="s">
        <v>16</v>
      </c>
      <c r="U1" s="24" t="s">
        <v>0</v>
      </c>
      <c r="V1" s="25" t="s">
        <v>1</v>
      </c>
      <c r="W1" s="26" t="s">
        <v>2</v>
      </c>
      <c r="X1" s="26" t="s">
        <v>0</v>
      </c>
      <c r="Y1" s="27" t="s">
        <v>1</v>
      </c>
      <c r="Z1" s="26" t="s">
        <v>4</v>
      </c>
      <c r="AA1" s="28" t="s">
        <v>0</v>
      </c>
      <c r="AB1" s="29" t="s">
        <v>1</v>
      </c>
      <c r="AC1" s="30" t="s">
        <v>4</v>
      </c>
      <c r="AD1" s="31" t="s">
        <v>5</v>
      </c>
      <c r="AE1" s="30" t="s">
        <v>2</v>
      </c>
      <c r="AF1" s="30" t="s">
        <v>7</v>
      </c>
      <c r="AG1" s="31" t="s">
        <v>6</v>
      </c>
      <c r="AH1" s="32" t="s">
        <v>15</v>
      </c>
      <c r="AI1" s="33" t="s">
        <v>13</v>
      </c>
      <c r="AJ1" s="34" t="s">
        <v>14</v>
      </c>
      <c r="AK1" s="34" t="s">
        <v>0</v>
      </c>
      <c r="AL1" s="35" t="s">
        <v>13</v>
      </c>
      <c r="AM1" s="34" t="s">
        <v>157</v>
      </c>
      <c r="AN1" s="34" t="s">
        <v>0</v>
      </c>
      <c r="AO1" s="35" t="s">
        <v>13</v>
      </c>
      <c r="AP1" s="34" t="s">
        <v>16</v>
      </c>
      <c r="AQ1" s="36" t="s">
        <v>0</v>
      </c>
      <c r="AR1" s="37" t="s">
        <v>13</v>
      </c>
      <c r="AS1" s="38" t="s">
        <v>14</v>
      </c>
      <c r="AT1" s="38" t="s">
        <v>0</v>
      </c>
      <c r="AU1" s="39" t="s">
        <v>13</v>
      </c>
      <c r="AV1" s="38" t="s">
        <v>157</v>
      </c>
      <c r="AW1" s="38" t="s">
        <v>0</v>
      </c>
      <c r="AX1" s="39" t="s">
        <v>13</v>
      </c>
      <c r="AY1" s="38" t="s">
        <v>16</v>
      </c>
      <c r="AZ1" s="40" t="s">
        <v>0</v>
      </c>
      <c r="BA1" s="37" t="s">
        <v>13</v>
      </c>
      <c r="BB1" s="38" t="s">
        <v>14</v>
      </c>
      <c r="BC1" s="38" t="s">
        <v>0</v>
      </c>
      <c r="BD1" s="39" t="s">
        <v>13</v>
      </c>
      <c r="BE1" s="38" t="s">
        <v>157</v>
      </c>
      <c r="BF1" s="38" t="s">
        <v>0</v>
      </c>
      <c r="BG1" s="39" t="s">
        <v>13</v>
      </c>
      <c r="BH1" s="38" t="s">
        <v>16</v>
      </c>
      <c r="BI1" s="40" t="s">
        <v>0</v>
      </c>
      <c r="BJ1" s="37" t="s">
        <v>13</v>
      </c>
      <c r="BK1" s="38" t="s">
        <v>14</v>
      </c>
      <c r="BL1" s="38" t="s">
        <v>0</v>
      </c>
      <c r="BM1" s="39" t="s">
        <v>13</v>
      </c>
      <c r="BN1" s="38" t="s">
        <v>157</v>
      </c>
      <c r="BO1" s="38" t="s">
        <v>0</v>
      </c>
      <c r="BP1" s="39" t="s">
        <v>13</v>
      </c>
      <c r="BQ1" s="38" t="s">
        <v>16</v>
      </c>
      <c r="BR1" s="40" t="s">
        <v>0</v>
      </c>
      <c r="BS1" s="41" t="s">
        <v>8</v>
      </c>
      <c r="BT1" s="42"/>
      <c r="BU1" s="42" t="s">
        <v>0</v>
      </c>
      <c r="BV1" s="41" t="s">
        <v>8</v>
      </c>
      <c r="BW1" s="42"/>
      <c r="BX1" s="42" t="s">
        <v>0</v>
      </c>
      <c r="BY1" s="41" t="s">
        <v>434</v>
      </c>
      <c r="BZ1" s="42"/>
      <c r="CA1" s="42" t="s">
        <v>0</v>
      </c>
      <c r="CB1" s="41" t="s">
        <v>8</v>
      </c>
      <c r="CC1" s="42" t="s">
        <v>14</v>
      </c>
      <c r="CD1" s="42" t="s">
        <v>0</v>
      </c>
      <c r="CE1" s="41" t="s">
        <v>8</v>
      </c>
      <c r="CF1" s="42" t="s">
        <v>157</v>
      </c>
      <c r="CG1" s="42" t="s">
        <v>0</v>
      </c>
      <c r="CH1" s="41" t="s">
        <v>8</v>
      </c>
      <c r="CI1" s="42" t="s">
        <v>16</v>
      </c>
      <c r="CJ1" s="43" t="s">
        <v>0</v>
      </c>
      <c r="CK1" s="41" t="s">
        <v>8</v>
      </c>
      <c r="CL1" s="42" t="s">
        <v>331</v>
      </c>
      <c r="CM1" s="43" t="s">
        <v>0</v>
      </c>
      <c r="CN1" s="41" t="s">
        <v>8</v>
      </c>
      <c r="CO1" s="42" t="s">
        <v>331</v>
      </c>
      <c r="CP1" s="43" t="s">
        <v>0</v>
      </c>
      <c r="CQ1" s="41" t="s">
        <v>8</v>
      </c>
      <c r="CR1" s="42" t="s">
        <v>331</v>
      </c>
      <c r="CS1" s="43" t="s">
        <v>0</v>
      </c>
      <c r="CT1" s="44" t="s">
        <v>321</v>
      </c>
      <c r="CU1" s="45"/>
      <c r="CV1" s="46" t="s">
        <v>0</v>
      </c>
      <c r="CW1" s="47" t="s">
        <v>321</v>
      </c>
      <c r="CX1" s="48"/>
      <c r="CY1" s="48" t="s">
        <v>0</v>
      </c>
      <c r="CZ1" s="49" t="s">
        <v>9</v>
      </c>
      <c r="DA1" s="50"/>
      <c r="DB1" s="51" t="s">
        <v>0</v>
      </c>
      <c r="DC1" s="52" t="s">
        <v>9</v>
      </c>
      <c r="DD1" s="52"/>
      <c r="DE1" s="52" t="s">
        <v>0</v>
      </c>
      <c r="DF1" s="53" t="s">
        <v>9</v>
      </c>
      <c r="DG1" s="54" t="s">
        <v>10</v>
      </c>
      <c r="DH1" s="54" t="s">
        <v>0</v>
      </c>
      <c r="DI1" s="55" t="s">
        <v>9</v>
      </c>
      <c r="DJ1" s="54" t="s">
        <v>11</v>
      </c>
      <c r="DK1" s="54" t="s">
        <v>0</v>
      </c>
      <c r="DL1" s="55" t="s">
        <v>9</v>
      </c>
      <c r="DM1" s="54" t="s">
        <v>12</v>
      </c>
      <c r="DN1" s="54" t="s">
        <v>0</v>
      </c>
      <c r="DO1" s="55" t="s">
        <v>9</v>
      </c>
      <c r="DP1" s="54" t="s">
        <v>12</v>
      </c>
      <c r="DQ1" s="56" t="s">
        <v>0</v>
      </c>
      <c r="DR1" s="57" t="s">
        <v>9</v>
      </c>
      <c r="DS1" s="57"/>
      <c r="DT1" s="57" t="s">
        <v>0</v>
      </c>
      <c r="DU1" s="58" t="s">
        <v>9</v>
      </c>
      <c r="DV1" s="59" t="s">
        <v>10</v>
      </c>
      <c r="DW1" s="59" t="s">
        <v>0</v>
      </c>
      <c r="DX1" s="60" t="s">
        <v>9</v>
      </c>
      <c r="DY1" s="59" t="s">
        <v>11</v>
      </c>
      <c r="DZ1" s="59" t="s">
        <v>0</v>
      </c>
      <c r="EA1" s="60" t="s">
        <v>9</v>
      </c>
      <c r="EB1" s="59" t="s">
        <v>12</v>
      </c>
      <c r="EC1" s="59" t="s">
        <v>0</v>
      </c>
      <c r="ED1" s="60" t="s">
        <v>9</v>
      </c>
      <c r="EE1" s="59" t="s">
        <v>12</v>
      </c>
      <c r="EF1" s="61" t="s">
        <v>0</v>
      </c>
      <c r="EG1" s="62" t="s">
        <v>9</v>
      </c>
      <c r="EH1" s="62"/>
      <c r="EI1" s="62" t="s">
        <v>0</v>
      </c>
      <c r="EJ1" s="63" t="s">
        <v>9</v>
      </c>
      <c r="EK1" s="64" t="s">
        <v>10</v>
      </c>
      <c r="EL1" s="64" t="s">
        <v>0</v>
      </c>
      <c r="EM1" s="65" t="s">
        <v>9</v>
      </c>
      <c r="EN1" s="64" t="s">
        <v>11</v>
      </c>
      <c r="EO1" s="64" t="s">
        <v>0</v>
      </c>
      <c r="EP1" s="65" t="s">
        <v>9</v>
      </c>
      <c r="EQ1" s="64" t="s">
        <v>12</v>
      </c>
      <c r="ER1" s="64" t="s">
        <v>0</v>
      </c>
      <c r="ES1" s="65" t="s">
        <v>9</v>
      </c>
      <c r="ET1" s="64" t="s">
        <v>12</v>
      </c>
      <c r="EU1" s="66" t="s">
        <v>0</v>
      </c>
      <c r="EV1" s="67" t="s">
        <v>9</v>
      </c>
      <c r="EW1" s="67"/>
      <c r="EX1" s="67" t="s">
        <v>0</v>
      </c>
      <c r="EY1" s="68" t="s">
        <v>9</v>
      </c>
      <c r="EZ1" s="69" t="s">
        <v>10</v>
      </c>
      <c r="FA1" s="69" t="s">
        <v>0</v>
      </c>
      <c r="FB1" s="70" t="s">
        <v>9</v>
      </c>
      <c r="FC1" s="69" t="s">
        <v>11</v>
      </c>
      <c r="FD1" s="69" t="s">
        <v>0</v>
      </c>
      <c r="FE1" s="70" t="s">
        <v>9</v>
      </c>
      <c r="FF1" s="69" t="s">
        <v>12</v>
      </c>
      <c r="FG1" s="69" t="s">
        <v>0</v>
      </c>
      <c r="FH1" s="70" t="s">
        <v>9</v>
      </c>
      <c r="FI1" s="69" t="s">
        <v>12</v>
      </c>
      <c r="FJ1" s="71" t="s">
        <v>0</v>
      </c>
      <c r="FK1" s="72" t="s">
        <v>9</v>
      </c>
      <c r="FL1" s="73"/>
      <c r="FM1" s="74" t="s">
        <v>0</v>
      </c>
      <c r="FN1" s="75" t="s">
        <v>9</v>
      </c>
      <c r="FO1" s="76" t="s">
        <v>10</v>
      </c>
      <c r="FP1" s="76" t="s">
        <v>0</v>
      </c>
      <c r="FQ1" s="77" t="s">
        <v>9</v>
      </c>
      <c r="FR1" s="76" t="s">
        <v>11</v>
      </c>
      <c r="FS1" s="76" t="s">
        <v>0</v>
      </c>
      <c r="FT1" s="77" t="s">
        <v>9</v>
      </c>
      <c r="FU1" s="76" t="s">
        <v>12</v>
      </c>
      <c r="FV1" s="76" t="s">
        <v>0</v>
      </c>
      <c r="FW1" s="77" t="s">
        <v>9</v>
      </c>
      <c r="FX1" s="76" t="s">
        <v>12</v>
      </c>
      <c r="FY1" s="78" t="s">
        <v>0</v>
      </c>
      <c r="FZ1" s="79" t="s">
        <v>9</v>
      </c>
      <c r="GA1" s="80"/>
      <c r="GB1" s="81" t="s">
        <v>0</v>
      </c>
      <c r="GC1" s="82" t="s">
        <v>9</v>
      </c>
      <c r="GD1" s="83" t="s">
        <v>10</v>
      </c>
      <c r="GE1" s="83" t="s">
        <v>0</v>
      </c>
      <c r="GF1" s="84" t="s">
        <v>9</v>
      </c>
      <c r="GG1" s="83" t="s">
        <v>11</v>
      </c>
      <c r="GH1" s="83" t="s">
        <v>0</v>
      </c>
      <c r="GI1" s="84" t="s">
        <v>9</v>
      </c>
      <c r="GJ1" s="83" t="s">
        <v>12</v>
      </c>
      <c r="GK1" s="83" t="s">
        <v>0</v>
      </c>
      <c r="GL1" s="84" t="s">
        <v>9</v>
      </c>
      <c r="GM1" s="83" t="s">
        <v>12</v>
      </c>
      <c r="GN1" s="85" t="s">
        <v>0</v>
      </c>
      <c r="GO1" s="86" t="s">
        <v>9</v>
      </c>
      <c r="GP1" s="87"/>
      <c r="GQ1" s="88" t="s">
        <v>0</v>
      </c>
      <c r="GR1" s="89" t="s">
        <v>9</v>
      </c>
      <c r="GS1" s="90" t="s">
        <v>10</v>
      </c>
      <c r="GT1" s="90" t="s">
        <v>0</v>
      </c>
      <c r="GU1" s="91" t="s">
        <v>9</v>
      </c>
      <c r="GV1" s="90" t="s">
        <v>11</v>
      </c>
      <c r="GW1" s="90" t="s">
        <v>0</v>
      </c>
      <c r="GX1" s="91" t="s">
        <v>9</v>
      </c>
      <c r="GY1" s="90" t="s">
        <v>12</v>
      </c>
      <c r="GZ1" s="90" t="s">
        <v>0</v>
      </c>
      <c r="HA1" s="91" t="s">
        <v>9</v>
      </c>
      <c r="HB1" s="90" t="s">
        <v>12</v>
      </c>
      <c r="HC1" s="90" t="s">
        <v>0</v>
      </c>
      <c r="HD1" s="92" t="s">
        <v>17</v>
      </c>
      <c r="HE1" s="93" t="s">
        <v>0</v>
      </c>
      <c r="HF1" s="94" t="s">
        <v>18</v>
      </c>
    </row>
    <row r="2" spans="1:214" s="95" customFormat="1" x14ac:dyDescent="0.2">
      <c r="A2" s="487"/>
      <c r="B2" s="488"/>
      <c r="C2" s="489"/>
      <c r="D2" s="96"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x14ac:dyDescent="0.2">
      <c r="A3" s="487"/>
      <c r="B3" s="488"/>
      <c r="C3" s="489"/>
      <c r="D3" s="96" t="s">
        <v>37</v>
      </c>
      <c r="E3" s="181">
        <f>1/((1/E20)+(1/E21))</f>
        <v>7.4308779673049071E-5</v>
      </c>
      <c r="F3" s="182"/>
      <c r="G3" s="98"/>
      <c r="H3" s="181">
        <f>1/((1/H10)+(1/H12)+(1/H13))</f>
        <v>0.61770516749673854</v>
      </c>
      <c r="I3" s="183"/>
      <c r="J3" s="100"/>
      <c r="K3" s="181">
        <f>1/((1/K14)+(1/K15)+(1/K16+(1/K17)))</f>
        <v>7.13692593794438E-2</v>
      </c>
      <c r="L3" s="184"/>
      <c r="M3" s="103" t="s">
        <v>39</v>
      </c>
      <c r="N3" s="185">
        <f>(N5*N6*N7)/((1-EXP(-N7*N6))*N10*N9*(1/365)*((N14*(1/24)*N12)+(N16*(1/24)*N11)*N13))</f>
        <v>1.6541395995611357E-7</v>
      </c>
      <c r="O3" s="105"/>
      <c r="P3" s="106" t="s">
        <v>39</v>
      </c>
      <c r="Q3" s="185">
        <f>(Q5*Q6*Q7)/((1-EXP(-Q7*Q6))*Q10*Q15*(Q9/365)*Q13*(((Q14/24)*Q12)+((Q16/24)*Q11)))</f>
        <v>19167.318650766349</v>
      </c>
      <c r="R3" s="105"/>
      <c r="S3" s="106" t="s">
        <v>39</v>
      </c>
      <c r="T3" s="185">
        <f>(T5*T6*T7)/((1-EXP(-T7*T6))*T10*T15*(T9/365)*T13*(((T14/24)*T12)+((T16/24)*T11)))</f>
        <v>5.9932594186997683</v>
      </c>
      <c r="U3" s="107"/>
      <c r="V3" s="108" t="s">
        <v>38</v>
      </c>
      <c r="W3" s="186">
        <f>1/((1/W18)+(1/W19))</f>
        <v>3.2271304342425234E-4</v>
      </c>
      <c r="X3" s="187"/>
      <c r="Y3" s="188" t="s">
        <v>38</v>
      </c>
      <c r="Z3" s="186">
        <f>1/((1/Z18)+(1/Z19))</f>
        <v>2.904417390818271E-4</v>
      </c>
      <c r="AA3" s="189"/>
      <c r="AB3" s="112"/>
      <c r="AC3" s="190">
        <f>1/((1/AC37)+(1/AC38)+(1/AC39))</f>
        <v>4.7014221914694643</v>
      </c>
      <c r="AD3" s="191">
        <f>1/((1/AD37)+(1/AD38)+(1/AD39))</f>
        <v>10.848885186403145</v>
      </c>
      <c r="AE3" s="190">
        <f>1/((1/AE37)+(1/AE38)+(1/AE39))</f>
        <v>5.2238024349660694</v>
      </c>
      <c r="AF3" s="190">
        <f>1/((1/AF37)+(1/AF38)+(1/AF39))</f>
        <v>9.7238019117054186</v>
      </c>
      <c r="AG3" s="191">
        <f>1/((1/AG37)+(1/AG39)+(1/AG40))</f>
        <v>88.346710469209697</v>
      </c>
      <c r="AH3" s="192"/>
      <c r="AI3" s="116" t="s">
        <v>39</v>
      </c>
      <c r="AJ3" s="193">
        <f>(AJ5*AJ6*AJ7)/((1-EXP(-AJ7*AJ6))*AJ10*AJ15*(AJ9/365)*AJ13*((AJ14*AJ12)+(AJ16*AJ11)))</f>
        <v>0.87606930512110204</v>
      </c>
      <c r="AK3" s="118"/>
      <c r="AL3" s="119" t="s">
        <v>39</v>
      </c>
      <c r="AM3" s="193">
        <f>(AM5*AM6*AM7)/((1-EXP(-AM7*AM6))*AM10*AM15*(AM9/365)*AM13*((AM14*AM12)+(AM16*AM11)))</f>
        <v>2801.7975459261197</v>
      </c>
      <c r="AN3" s="118"/>
      <c r="AO3" s="119" t="s">
        <v>39</v>
      </c>
      <c r="AP3" s="193">
        <f>(AP5*AP6*AP7)/((1-EXP(-AP7*AP6))*AP10*AP15*(AP9/365)*AP13*((AP14*AP12)+(AP16*AP11)))</f>
        <v>0.87606930512110204</v>
      </c>
      <c r="AQ3" s="120"/>
      <c r="AR3" s="121" t="s">
        <v>39</v>
      </c>
      <c r="AS3" s="194">
        <f>(AS5*AS6*AS7)/((1-EXP(-AS7*AS6))*AS10*AS15*(AS9/365)*AS13*((AS14*AS12)+(AS16*AS11)))</f>
        <v>7.195449226061319</v>
      </c>
      <c r="AT3" s="123"/>
      <c r="AU3" s="124" t="s">
        <v>39</v>
      </c>
      <c r="AV3" s="194">
        <f>(AV5*AV6*AV7)/((1-EXP(-AV7*AV6))*AV10*AV15*(AV9/365)*AV13*((AV14*AV12)+(AV16*AV11)))</f>
        <v>23012.097177206528</v>
      </c>
      <c r="AW3" s="123"/>
      <c r="AX3" s="124" t="s">
        <v>39</v>
      </c>
      <c r="AY3" s="194">
        <f>(AY5*AY6*AY7)/((1-EXP(-AY7*AY6))*AY10*AY15*(AY9/365)*AY13*((AY14*AY12)+(AY16*AY11)))</f>
        <v>7.195449226061319</v>
      </c>
      <c r="AZ3" s="125"/>
      <c r="BA3" s="121" t="s">
        <v>39</v>
      </c>
      <c r="BB3" s="194">
        <f>(BB5*BB6*BB7)/((1-EXP(-BB7*BB6))*BB10*BB15*(BB9/365)*BB13*((BB14*BB12)+(BB16*BB11)))</f>
        <v>6.4759043034551871</v>
      </c>
      <c r="BC3" s="123"/>
      <c r="BD3" s="124" t="s">
        <v>39</v>
      </c>
      <c r="BE3" s="194">
        <f>(BE5*BE6*BE7)/((1-EXP(-BE7*BE6))*BE10*BE15*(BE9/365)*BE13*((BE14*BE12)+(BE16*BE11)))</f>
        <v>20710.887459485879</v>
      </c>
      <c r="BF3" s="123"/>
      <c r="BG3" s="124" t="s">
        <v>39</v>
      </c>
      <c r="BH3" s="194">
        <f>(BH5*BH6*BH7)/((1-EXP(-BH7*BH6))*BH10*BH15*(BH9/365)*BH13*((BH14*BH12)+(BH16*BH11)))</f>
        <v>6.4759043034551871</v>
      </c>
      <c r="BI3" s="125"/>
      <c r="BJ3" s="121" t="s">
        <v>39</v>
      </c>
      <c r="BK3" s="194">
        <f>(BK5*BK6*BK7)/((1-EXP(-BK7*BK6))*BK12*BK16*(BK9/365)*BK14*BK15*BK13)</f>
        <v>875187.57286084001</v>
      </c>
      <c r="BL3" s="123"/>
      <c r="BM3" s="124" t="s">
        <v>39</v>
      </c>
      <c r="BN3" s="194">
        <f>(BN5*BN6*BN7)/((1-EXP(-BN7*BN6))*BN12*BN16*(BN9/365)*BN14*BN15*BN13)</f>
        <v>5843011915.1515179</v>
      </c>
      <c r="BO3" s="123"/>
      <c r="BP3" s="124" t="s">
        <v>39</v>
      </c>
      <c r="BQ3" s="194">
        <f>(BQ5*BQ6*BQ7)/((1-EXP(-BQ7*BQ6))*BQ12*BQ16*(BQ9/365)*BQ14*BQ15*BQ13)</f>
        <v>1061565.3450911373</v>
      </c>
      <c r="BR3" s="125"/>
      <c r="BS3" s="126" t="s">
        <v>37</v>
      </c>
      <c r="BT3" s="195">
        <f>1/((1/BT21)+(1/BT22))</f>
        <v>2.4756297154092818E-2</v>
      </c>
      <c r="BU3" s="128"/>
      <c r="BV3" s="126"/>
      <c r="BW3" s="195">
        <f>1/((1/BW10)+(1/BW12))</f>
        <v>98.619041446592462</v>
      </c>
      <c r="BX3" s="128"/>
      <c r="BY3" s="126"/>
      <c r="BZ3" s="195">
        <f>1/((1/BZ13)+(1/BZ14)+(1/BZ15))</f>
        <v>19.592651522587374</v>
      </c>
      <c r="CA3" s="128"/>
      <c r="CB3" s="126" t="s">
        <v>39</v>
      </c>
      <c r="CC3" s="195">
        <f>(CC5*CC6*CC7)/((1-EXP(-CC7*CC6))*CC10*CC14*(CC9/365)*CC12*(CC13/24)*CC11)</f>
        <v>915734.55644479999</v>
      </c>
      <c r="CD3" s="128"/>
      <c r="CE3" s="126" t="s">
        <v>39</v>
      </c>
      <c r="CF3" s="195">
        <f>(CF5*CF6*CF7)/((1-EXP(-CF7*CF6))*CF10*CF14*(CF9/365)*CF12*(CF13/24)*CF11)</f>
        <v>6113715608.3382158</v>
      </c>
      <c r="CG3" s="128"/>
      <c r="CH3" s="126" t="s">
        <v>39</v>
      </c>
      <c r="CI3" s="195">
        <f>(CI5*CI6*CI7)/((1-EXP(-CI7*CI6))*CI10*CI14*(CI9/365)*CI12*(CI13/24)*CI11)</f>
        <v>1110747.1136119242</v>
      </c>
      <c r="CJ3" s="129"/>
      <c r="CK3" s="126" t="s">
        <v>17</v>
      </c>
      <c r="CL3" s="195">
        <f>CL5/(CL6*CL7*CL8*CL9)</f>
        <v>3.8270187523918859</v>
      </c>
      <c r="CM3" s="129"/>
      <c r="CN3" s="126" t="s">
        <v>17</v>
      </c>
      <c r="CO3" s="195">
        <f>CL3/(CO5*((CO10*CO12*CO13*(CO6+CO7))+(CO11*CO12)))</f>
        <v>508.23622209719605</v>
      </c>
      <c r="CP3" s="129"/>
      <c r="CQ3" s="126" t="s">
        <v>17</v>
      </c>
      <c r="CR3" s="195">
        <f>CL3/(CR5*CR6*(1/CR7))</f>
        <v>637836.45873198099</v>
      </c>
      <c r="CS3" s="129"/>
      <c r="CT3" s="130"/>
      <c r="CU3" s="196">
        <f>1/((1/CU14)+(1/CU15)+(1/CU16+(1/CU17)))</f>
        <v>2.6221483610140563E-2</v>
      </c>
      <c r="CV3" s="197"/>
      <c r="CW3" s="133" t="s">
        <v>37</v>
      </c>
      <c r="CX3" s="198">
        <f>1/((1/CX20)+(1/CX21))</f>
        <v>1.3740223034378103E-4</v>
      </c>
      <c r="CY3" s="199"/>
      <c r="CZ3" s="200"/>
      <c r="DA3" s="201">
        <f>1/((1/DA13)+(1/DA14)+(1/DA15)+(1/DA16))</f>
        <v>2.7442156446406664E-4</v>
      </c>
      <c r="DB3" s="202"/>
      <c r="DC3" s="138"/>
      <c r="DD3" s="203">
        <f>DD7</f>
        <v>7.0346293699996964E-3</v>
      </c>
      <c r="DE3" s="204" t="s">
        <v>421</v>
      </c>
      <c r="DF3" s="139"/>
      <c r="DG3" s="205">
        <f>DD7/((1/DG24)*(DG5+DG6+DG7))</f>
        <v>0.5512251151356129</v>
      </c>
      <c r="DH3" s="206" t="s">
        <v>421</v>
      </c>
      <c r="DI3" s="141"/>
      <c r="DJ3" s="205">
        <f>DD7/(DJ5+DJ6)</f>
        <v>2.6952602950190408E-2</v>
      </c>
      <c r="DK3" s="206" t="s">
        <v>421</v>
      </c>
      <c r="DL3" s="141"/>
      <c r="DM3" s="205">
        <f>(DD7)/(DM5+DM6)</f>
        <v>2.6952602950190408E-2</v>
      </c>
      <c r="DN3" s="206"/>
      <c r="DO3" s="141"/>
      <c r="DP3" s="205">
        <f>-(DP5+DP6+DP7)/(DP23+DP24)</f>
        <v>-49.702044174744607</v>
      </c>
      <c r="DQ3" s="207"/>
      <c r="DR3" s="143"/>
      <c r="DS3" s="208">
        <f>DS7</f>
        <v>9.4992255281426893E-4</v>
      </c>
      <c r="DT3" s="209" t="s">
        <v>421</v>
      </c>
      <c r="DU3" s="144"/>
      <c r="DV3" s="210">
        <f>DS7/(DV5*DV6)</f>
        <v>5.1626225696427657</v>
      </c>
      <c r="DW3" s="211"/>
      <c r="DX3" s="146"/>
      <c r="DY3" s="210">
        <f>DS7/(DY9*((DY10*DY12*DY13*(DY5+DY6))+(DY11*DY12)))</f>
        <v>100.63804987967677</v>
      </c>
      <c r="DZ3" s="211" t="s">
        <v>421</v>
      </c>
      <c r="EA3" s="146"/>
      <c r="EB3" s="210">
        <f>DS7/(EB9*((EB10*EB12*EB13*(EB5+EB6))+(EB11*EB12)))</f>
        <v>100.63804987967677</v>
      </c>
      <c r="EC3" s="211"/>
      <c r="ED3" s="146"/>
      <c r="EE3" s="210">
        <f>-EE15/((EE10*EE12*EE13*(EE5+EE6))+(EE11*EE12))</f>
        <v>-19.49359042271427</v>
      </c>
      <c r="EF3" s="212"/>
      <c r="EG3" s="148"/>
      <c r="EH3" s="213">
        <f>EH7</f>
        <v>4.4855999950842726E-3</v>
      </c>
      <c r="EI3" s="214" t="s">
        <v>421</v>
      </c>
      <c r="EJ3" s="149"/>
      <c r="EK3" s="215">
        <f>EH7/(EK5*EK6)</f>
        <v>1.6926792434280273</v>
      </c>
      <c r="EL3" s="216"/>
      <c r="EM3" s="151"/>
      <c r="EN3" s="215">
        <f>EH7/(EN9*((EN10*EN12*EN13*(EN5+EN6))+(EN11*EN12)))</f>
        <v>26.45318233201688</v>
      </c>
      <c r="EO3" s="216" t="s">
        <v>421</v>
      </c>
      <c r="EP3" s="151"/>
      <c r="EQ3" s="215">
        <f>EH7/(EQ9*((EQ10*EQ12*EQ13*(EQ5+EQ6))+(EQ11*EQ12)))</f>
        <v>26.45318233201688</v>
      </c>
      <c r="ER3" s="216"/>
      <c r="ES3" s="151"/>
      <c r="ET3" s="215">
        <f>-ET15/((ET10*ET12*ET13*(ET5+ET6))+(ET11*ET12))</f>
        <v>-15.627994751352706</v>
      </c>
      <c r="EU3" s="217"/>
      <c r="EV3" s="218"/>
      <c r="EW3" s="219">
        <f>EW7</f>
        <v>1.4954873158092265E-2</v>
      </c>
      <c r="EX3" s="218" t="s">
        <v>421</v>
      </c>
      <c r="EY3" s="220"/>
      <c r="EZ3" s="221">
        <f>EW7/(EZ5*EZ6*(1/EZ7))</f>
        <v>9346.7957238076651</v>
      </c>
      <c r="FA3" s="221"/>
      <c r="FB3" s="222"/>
      <c r="FC3" s="221">
        <f>EW7/(FC9*((FC10*FC12*FC13*(FC5+FC6))+(FC11*FC12)))</f>
        <v>51.215319034562548</v>
      </c>
      <c r="FD3" s="223" t="s">
        <v>421</v>
      </c>
      <c r="FE3" s="224"/>
      <c r="FF3" s="221">
        <f>EW7/(FF9*(FF10*FF12*FF13*(FF5*FF6))+(FF11*FF12))</f>
        <v>0.67973606463761949</v>
      </c>
      <c r="FG3" s="221"/>
      <c r="FH3" s="222"/>
      <c r="FI3" s="221">
        <f>FI15/((FI10*FI12*FI13*(FI5+FI6))+(FI11*FI12))</f>
        <v>5.4794520547945202</v>
      </c>
      <c r="FJ3" s="225"/>
      <c r="FK3" s="226"/>
      <c r="FL3" s="227">
        <f>FL7</f>
        <v>4.8774855800145494E-3</v>
      </c>
      <c r="FM3" s="228"/>
      <c r="FN3" s="229"/>
      <c r="FO3" s="230">
        <f>FL7/(FR5*(1/FO7))</f>
        <v>0.16258285266715164</v>
      </c>
      <c r="FP3" s="230"/>
      <c r="FQ3" s="231"/>
      <c r="FR3" s="230">
        <f>(FL7*FR6)/FR5</f>
        <v>1.3331793918706434E-3</v>
      </c>
      <c r="FS3" s="230"/>
      <c r="FT3" s="231"/>
      <c r="FU3" s="230">
        <f>(FL7*FU15)/FU14</f>
        <v>1.3331793918706434E-3</v>
      </c>
      <c r="FV3" s="230"/>
      <c r="FW3" s="231"/>
      <c r="FX3" s="230">
        <f>-FX29/FX30</f>
        <v>-8.199999999999999E-3</v>
      </c>
      <c r="FY3" s="232"/>
      <c r="FZ3" s="233"/>
      <c r="GA3" s="234">
        <f>GA7</f>
        <v>6.2399903716093778E-3</v>
      </c>
      <c r="GB3" s="235" t="s">
        <v>421</v>
      </c>
      <c r="GC3" s="236"/>
      <c r="GD3" s="237">
        <f>FL7/(GD5*GD6*(1/GD7))</f>
        <v>2032.2856583393952</v>
      </c>
      <c r="GE3" s="237"/>
      <c r="GF3" s="238"/>
      <c r="GG3" s="237">
        <f>GA7/((GG9)*((GG10*GG12*GG13*(GG5+GG6))+(GG11*GG12)))</f>
        <v>14.24655335983876</v>
      </c>
      <c r="GH3" s="237" t="s">
        <v>421</v>
      </c>
      <c r="GI3" s="238"/>
      <c r="GJ3" s="237">
        <f>FL7/(GJ9*(GJ10*GJ12*GJ13*(GJ5*GJ6))+(GJ11*GJ12))</f>
        <v>0.22168877485692109</v>
      </c>
      <c r="GK3" s="237"/>
      <c r="GL3" s="238"/>
      <c r="GM3" s="237">
        <f>GM15/((GM10*GM12*GM13*(GM5+GM6))+(GM11*GM12))</f>
        <v>5.4794520547945202</v>
      </c>
      <c r="GN3" s="239"/>
      <c r="GO3" s="240"/>
      <c r="GP3" s="241">
        <f>GP7</f>
        <v>8.0331502802138879E-3</v>
      </c>
      <c r="GQ3" s="242" t="s">
        <v>421</v>
      </c>
      <c r="GR3" s="243"/>
      <c r="GS3" s="244">
        <f>GP7/(GS5*GS6*(1/GS7))</f>
        <v>4145.0723840112933</v>
      </c>
      <c r="GT3" s="244"/>
      <c r="GU3" s="245"/>
      <c r="GV3" s="244">
        <f>GP7/((GV9)*((GV10*GV12*GV13*(GV5+GV6))+(GV11*GV12)))</f>
        <v>30.126761350161775</v>
      </c>
      <c r="GW3" s="244" t="s">
        <v>421</v>
      </c>
      <c r="GX3" s="245"/>
      <c r="GY3" s="244">
        <f>GP7/((GY9*((GY10*GY12*GY13*(GY5+GY6))+(GY11*GY12))))</f>
        <v>30.126761350161775</v>
      </c>
      <c r="GZ3" s="244"/>
      <c r="HA3" s="245"/>
      <c r="HB3" s="244">
        <f>GP7/((HB10*HB12*HB13*(HB5+HB6))+(HB11*HB12))</f>
        <v>5.1215494295275017E-3</v>
      </c>
      <c r="HC3" s="246"/>
      <c r="HD3" s="247">
        <f>HE5*HE13*10^-3*(HE14+(HE9/HE10))*((HE11*HE7)/(1-EXP(-HE7*HE11)))</f>
        <v>1.2864465728363332</v>
      </c>
      <c r="HE3" s="248"/>
      <c r="HF3" s="180" t="s">
        <v>40</v>
      </c>
    </row>
    <row r="4" spans="1:214" s="95" customFormat="1" ht="13.5" thickBot="1" x14ac:dyDescent="0.25">
      <c r="A4" s="490"/>
      <c r="B4" s="491"/>
      <c r="C4" s="492"/>
      <c r="D4" s="249" t="s">
        <v>38</v>
      </c>
      <c r="E4" s="250">
        <f>1/((1/E22)+(1/E23))</f>
        <v>7.582774673809662E-4</v>
      </c>
      <c r="F4" s="251"/>
      <c r="G4" s="252"/>
      <c r="H4" s="253"/>
      <c r="I4" s="254"/>
      <c r="J4" s="255" t="s">
        <v>0</v>
      </c>
      <c r="K4" s="256" t="s">
        <v>34</v>
      </c>
      <c r="L4" s="257"/>
      <c r="M4" s="258"/>
      <c r="N4" s="259"/>
      <c r="O4" s="260"/>
      <c r="P4" s="261"/>
      <c r="Q4" s="259"/>
      <c r="R4" s="260"/>
      <c r="S4" s="261"/>
      <c r="T4" s="259"/>
      <c r="U4" s="262"/>
      <c r="V4" s="263" t="s">
        <v>37</v>
      </c>
      <c r="W4" s="264">
        <f>1/((1/W16)+(1/W17))</f>
        <v>3.1633053542138055E-4</v>
      </c>
      <c r="X4" s="265"/>
      <c r="Y4" s="266" t="s">
        <v>37</v>
      </c>
      <c r="Z4" s="264">
        <f>1/((1/Z16)+(1/Z17))</f>
        <v>2.8469748187924255E-4</v>
      </c>
      <c r="AA4" s="267"/>
      <c r="AB4" s="268" t="s">
        <v>0</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2.5275915579365548E-2</v>
      </c>
      <c r="BU4" s="286"/>
      <c r="BV4" s="284"/>
      <c r="BW4" s="285"/>
      <c r="BX4" s="286"/>
      <c r="BY4" s="284" t="s">
        <v>0</v>
      </c>
      <c r="BZ4" s="285" t="s">
        <v>34</v>
      </c>
      <c r="CA4" s="286"/>
      <c r="CB4" s="284"/>
      <c r="CC4" s="285"/>
      <c r="CD4" s="286"/>
      <c r="CE4" s="284"/>
      <c r="CF4" s="285"/>
      <c r="CG4" s="286"/>
      <c r="CH4" s="284"/>
      <c r="CI4" s="285"/>
      <c r="CJ4" s="287"/>
      <c r="CK4" s="284"/>
      <c r="CL4" s="285"/>
      <c r="CM4" s="287"/>
      <c r="CN4" s="284"/>
      <c r="CO4" s="285"/>
      <c r="CP4" s="287"/>
      <c r="CQ4" s="284"/>
      <c r="CR4" s="285"/>
      <c r="CS4" s="287"/>
      <c r="CT4" s="288" t="s">
        <v>0</v>
      </c>
      <c r="CU4" s="289" t="s">
        <v>9</v>
      </c>
      <c r="CV4" s="290"/>
      <c r="CW4" s="291" t="s">
        <v>38</v>
      </c>
      <c r="CX4" s="292">
        <f>1/((1/CX22)+(1/CX23))</f>
        <v>1.4185560965448564E-4</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5.2976313049964842E-2</v>
      </c>
      <c r="HE4" s="351"/>
      <c r="HF4" s="352" t="s">
        <v>45</v>
      </c>
    </row>
    <row r="5" spans="1:214" s="95" customFormat="1" ht="13.5" thickTop="1" x14ac:dyDescent="0.2">
      <c r="A5" s="95" t="s">
        <v>75</v>
      </c>
      <c r="B5" s="353">
        <v>2.81E-8</v>
      </c>
      <c r="C5" s="95" t="s">
        <v>64</v>
      </c>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B29</f>
        <v>6.0000000000000001E-3</v>
      </c>
      <c r="CQ5" s="95" t="s">
        <v>432</v>
      </c>
      <c r="CR5" s="354">
        <f>CO5</f>
        <v>6.0000000000000001E-3</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3.4941224674809555E-2</v>
      </c>
      <c r="DH5" s="95" t="s">
        <v>48</v>
      </c>
      <c r="DI5" s="95" t="s">
        <v>49</v>
      </c>
      <c r="DJ5" s="95">
        <f>DJ7</f>
        <v>1E-3</v>
      </c>
      <c r="DL5" s="95" t="s">
        <v>49</v>
      </c>
      <c r="DM5" s="95">
        <f>DM7</f>
        <v>1E-3</v>
      </c>
      <c r="DO5" s="95" t="s">
        <v>47</v>
      </c>
      <c r="DP5" s="95">
        <f>(DP8*DP9*DP10*((1-EXP(-DP11*DP12))))/(DP13*DP11)</f>
        <v>3.5746410762351036E-2</v>
      </c>
      <c r="DQ5" s="95" t="s">
        <v>48</v>
      </c>
      <c r="DR5" s="95" t="s">
        <v>46</v>
      </c>
      <c r="DS5" s="354">
        <v>9.9999999999999995E-7</v>
      </c>
      <c r="DU5" s="95" t="s">
        <v>347</v>
      </c>
      <c r="DV5" s="354">
        <f>B23</f>
        <v>1.9999999999999999E-6</v>
      </c>
      <c r="DX5" s="95" t="s">
        <v>50</v>
      </c>
      <c r="DY5" s="95">
        <f>DY7</f>
        <v>5.0000000000000001E-3</v>
      </c>
      <c r="EA5" s="95" t="s">
        <v>50</v>
      </c>
      <c r="EB5" s="95">
        <f>EB7</f>
        <v>5.0000000000000001E-3</v>
      </c>
      <c r="ED5" s="95" t="s">
        <v>50</v>
      </c>
      <c r="EE5" s="95">
        <f>EE7</f>
        <v>5.0000000000000001E-3</v>
      </c>
      <c r="EG5" s="95" t="s">
        <v>46</v>
      </c>
      <c r="EH5" s="354">
        <v>9.9999999999999995E-7</v>
      </c>
      <c r="EJ5" s="95" t="s">
        <v>348</v>
      </c>
      <c r="EK5" s="354">
        <f>B24</f>
        <v>5.0000000000000002E-5</v>
      </c>
      <c r="EM5" s="95" t="s">
        <v>50</v>
      </c>
      <c r="EN5" s="95">
        <f>EN7</f>
        <v>5.0000000000000001E-3</v>
      </c>
      <c r="EP5" s="95" t="s">
        <v>50</v>
      </c>
      <c r="EQ5" s="95">
        <f>EQ7</f>
        <v>5.0000000000000001E-3</v>
      </c>
      <c r="ES5" s="95" t="s">
        <v>50</v>
      </c>
      <c r="ET5" s="95">
        <f>ET7</f>
        <v>5.0000000000000001E-3</v>
      </c>
      <c r="EV5" s="95" t="s">
        <v>46</v>
      </c>
      <c r="EW5" s="354">
        <v>9.9999999999999995E-7</v>
      </c>
      <c r="EY5" s="95" t="s">
        <v>349</v>
      </c>
      <c r="EZ5" s="356">
        <f>B26</f>
        <v>4.0000000000000001E-3</v>
      </c>
      <c r="FB5" s="95" t="s">
        <v>50</v>
      </c>
      <c r="FC5" s="95">
        <f>FC7</f>
        <v>5.0000000000000001E-3</v>
      </c>
      <c r="FE5" s="95" t="s">
        <v>50</v>
      </c>
      <c r="FF5" s="95">
        <f>FF7</f>
        <v>5.0000000000000001E-3</v>
      </c>
      <c r="FH5" s="95" t="s">
        <v>50</v>
      </c>
      <c r="FI5" s="95">
        <f>FI7</f>
        <v>5.0000000000000001E-3</v>
      </c>
      <c r="FK5" s="95" t="s">
        <v>46</v>
      </c>
      <c r="FL5" s="354">
        <v>9.9999999999999995E-7</v>
      </c>
      <c r="FN5" s="95" t="s">
        <v>350</v>
      </c>
      <c r="FO5" s="357">
        <v>1</v>
      </c>
      <c r="FQ5" s="95" t="s">
        <v>203</v>
      </c>
      <c r="FR5" s="354">
        <f>B22</f>
        <v>30</v>
      </c>
      <c r="FT5" s="95" t="s">
        <v>50</v>
      </c>
      <c r="FU5" s="95">
        <f>FU7</f>
        <v>5.0000000000000001E-3</v>
      </c>
      <c r="FW5" s="95" t="s">
        <v>50</v>
      </c>
      <c r="FX5" s="95">
        <f>FX7</f>
        <v>5.0000000000000001E-3</v>
      </c>
      <c r="FZ5" s="95" t="s">
        <v>46</v>
      </c>
      <c r="GA5" s="354">
        <v>9.9999999999999995E-7</v>
      </c>
      <c r="GC5" s="95" t="s">
        <v>351</v>
      </c>
      <c r="GD5" s="356">
        <f>B25</f>
        <v>6.0000000000000001E-3</v>
      </c>
      <c r="GF5" s="95" t="s">
        <v>50</v>
      </c>
      <c r="GG5" s="95">
        <f>GG7</f>
        <v>5.0000000000000001E-3</v>
      </c>
      <c r="GI5" s="95" t="s">
        <v>50</v>
      </c>
      <c r="GJ5" s="95">
        <f>GJ7</f>
        <v>5.0000000000000001E-3</v>
      </c>
      <c r="GL5" s="95" t="s">
        <v>50</v>
      </c>
      <c r="GM5" s="95">
        <f>GM7</f>
        <v>5.0000000000000001E-3</v>
      </c>
      <c r="GO5" s="95" t="s">
        <v>46</v>
      </c>
      <c r="GP5" s="354">
        <v>9.9999999999999995E-7</v>
      </c>
      <c r="GR5" s="95" t="s">
        <v>352</v>
      </c>
      <c r="GS5" s="356">
        <f>B27</f>
        <v>1.7000000000000001E-4</v>
      </c>
      <c r="GU5" s="95" t="s">
        <v>50</v>
      </c>
      <c r="GV5" s="95">
        <f>GV7</f>
        <v>5.0000000000000001E-3</v>
      </c>
      <c r="GX5" s="95" t="s">
        <v>50</v>
      </c>
      <c r="GY5" s="95">
        <f>GY7</f>
        <v>5.0000000000000001E-3</v>
      </c>
      <c r="HA5" s="95" t="s">
        <v>50</v>
      </c>
      <c r="HB5" s="95">
        <f>HB7</f>
        <v>5.0000000000000001E-3</v>
      </c>
      <c r="HD5" s="355" t="s">
        <v>51</v>
      </c>
      <c r="HE5" s="95">
        <v>15</v>
      </c>
      <c r="HF5" s="95" t="s">
        <v>25</v>
      </c>
    </row>
    <row r="6" spans="1:214" s="95" customFormat="1" x14ac:dyDescent="0.2">
      <c r="A6" s="95" t="s">
        <v>261</v>
      </c>
      <c r="B6" s="353">
        <v>1.04E-10</v>
      </c>
      <c r="C6" s="95" t="s">
        <v>64</v>
      </c>
      <c r="D6" s="95" t="s">
        <v>52</v>
      </c>
      <c r="E6" s="354">
        <f>0.693/E7</f>
        <v>1.6034243405830633E-3</v>
      </c>
      <c r="G6" s="95" t="s">
        <v>261</v>
      </c>
      <c r="H6" s="354">
        <f>B6</f>
        <v>1.04E-10</v>
      </c>
      <c r="I6" s="95" t="s">
        <v>64</v>
      </c>
      <c r="J6" s="95" t="s">
        <v>77</v>
      </c>
      <c r="K6" s="354">
        <f>B7</f>
        <v>2.17E-10</v>
      </c>
      <c r="L6" s="95" t="s">
        <v>64</v>
      </c>
      <c r="M6" s="95" t="s">
        <v>61</v>
      </c>
      <c r="N6" s="95">
        <v>26</v>
      </c>
      <c r="O6" s="95" t="s">
        <v>62</v>
      </c>
      <c r="P6" s="95" t="s">
        <v>61</v>
      </c>
      <c r="Q6" s="95">
        <v>26</v>
      </c>
      <c r="R6" s="95" t="s">
        <v>62</v>
      </c>
      <c r="S6" s="95" t="s">
        <v>61</v>
      </c>
      <c r="T6" s="95">
        <v>26</v>
      </c>
      <c r="U6" s="95" t="s">
        <v>62</v>
      </c>
      <c r="V6" s="95" t="s">
        <v>52</v>
      </c>
      <c r="W6" s="354">
        <f>0.693/W7</f>
        <v>1.6034243405830633E-3</v>
      </c>
      <c r="Y6" s="95" t="s">
        <v>52</v>
      </c>
      <c r="Z6" s="354">
        <f>0.693/Z7</f>
        <v>1.6034243405830633E-3</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25</v>
      </c>
      <c r="AT6" s="95" t="s">
        <v>62</v>
      </c>
      <c r="AU6" s="95" t="s">
        <v>61</v>
      </c>
      <c r="AV6" s="95">
        <v>25</v>
      </c>
      <c r="AW6" s="95" t="s">
        <v>62</v>
      </c>
      <c r="AX6" s="95" t="s">
        <v>61</v>
      </c>
      <c r="AY6" s="95">
        <v>25</v>
      </c>
      <c r="AZ6" s="95" t="s">
        <v>62</v>
      </c>
      <c r="BA6" s="95" t="s">
        <v>61</v>
      </c>
      <c r="BB6" s="95">
        <v>25</v>
      </c>
      <c r="BC6" s="95" t="s">
        <v>62</v>
      </c>
      <c r="BD6" s="95" t="s">
        <v>61</v>
      </c>
      <c r="BE6" s="95">
        <v>25</v>
      </c>
      <c r="BF6" s="95" t="s">
        <v>62</v>
      </c>
      <c r="BG6" s="95" t="s">
        <v>61</v>
      </c>
      <c r="BH6" s="95">
        <v>25</v>
      </c>
      <c r="BI6" s="95" t="s">
        <v>62</v>
      </c>
      <c r="BJ6" s="95" t="s">
        <v>61</v>
      </c>
      <c r="BK6" s="95">
        <v>1</v>
      </c>
      <c r="BL6" s="95" t="s">
        <v>62</v>
      </c>
      <c r="BM6" s="95" t="s">
        <v>61</v>
      </c>
      <c r="BN6" s="95">
        <v>1</v>
      </c>
      <c r="BO6" s="95" t="s">
        <v>62</v>
      </c>
      <c r="BP6" s="95" t="s">
        <v>61</v>
      </c>
      <c r="BQ6" s="95">
        <v>1</v>
      </c>
      <c r="BR6" s="95" t="s">
        <v>62</v>
      </c>
      <c r="BS6" s="95" t="s">
        <v>52</v>
      </c>
      <c r="BT6" s="354">
        <f>0.693/BT7</f>
        <v>1.6034243405830633E-3</v>
      </c>
      <c r="BV6" s="95" t="s">
        <v>261</v>
      </c>
      <c r="BW6" s="354">
        <f>H6</f>
        <v>1.04E-10</v>
      </c>
      <c r="BX6" s="95" t="s">
        <v>64</v>
      </c>
      <c r="BY6" s="95" t="s">
        <v>77</v>
      </c>
      <c r="BZ6" s="354">
        <f>B7</f>
        <v>2.17E-10</v>
      </c>
      <c r="CA6" s="95" t="s">
        <v>64</v>
      </c>
      <c r="CB6" s="95" t="s">
        <v>61</v>
      </c>
      <c r="CC6" s="95">
        <v>26</v>
      </c>
      <c r="CD6" s="95" t="s">
        <v>62</v>
      </c>
      <c r="CE6" s="95" t="s">
        <v>61</v>
      </c>
      <c r="CF6" s="95">
        <v>26</v>
      </c>
      <c r="CG6" s="95" t="s">
        <v>62</v>
      </c>
      <c r="CH6" s="95" t="s">
        <v>61</v>
      </c>
      <c r="CI6" s="95">
        <v>26</v>
      </c>
      <c r="CJ6" s="95" t="s">
        <v>62</v>
      </c>
      <c r="CK6" s="95" t="s">
        <v>415</v>
      </c>
      <c r="CL6" s="354">
        <f>E33</f>
        <v>1.34E-10</v>
      </c>
      <c r="CM6" s="95" t="s">
        <v>23</v>
      </c>
      <c r="CN6" s="95" t="s">
        <v>50</v>
      </c>
      <c r="CO6" s="95">
        <f>CO8</f>
        <v>5.0000000000000001E-3</v>
      </c>
      <c r="CQ6" s="95" t="s">
        <v>345</v>
      </c>
      <c r="CR6" s="357">
        <v>1</v>
      </c>
      <c r="CS6" s="95" t="s">
        <v>59</v>
      </c>
      <c r="CT6" s="95" t="s">
        <v>77</v>
      </c>
      <c r="CU6" s="354">
        <f>B7</f>
        <v>2.17E-10</v>
      </c>
      <c r="CV6" s="95" t="s">
        <v>64</v>
      </c>
      <c r="CW6" s="95" t="s">
        <v>52</v>
      </c>
      <c r="CX6" s="354">
        <f>0.693/CX7</f>
        <v>1.6034243405830633E-3</v>
      </c>
      <c r="CZ6" s="95" t="s">
        <v>261</v>
      </c>
      <c r="DA6" s="354">
        <f>B6</f>
        <v>1.04E-10</v>
      </c>
      <c r="DB6" s="95" t="s">
        <v>64</v>
      </c>
      <c r="DC6" s="95" t="s">
        <v>415</v>
      </c>
      <c r="DD6" s="354">
        <f>B16</f>
        <v>1.34E-10</v>
      </c>
      <c r="DE6" s="95" t="s">
        <v>64</v>
      </c>
      <c r="DF6" s="95" t="s">
        <v>56</v>
      </c>
      <c r="DG6" s="95">
        <f>(DG8*DG9*DG14*((1-EXP(-DG11*DG12))))/(DG13*DG11)</f>
        <v>9.0847184154504852</v>
      </c>
      <c r="DH6" s="95" t="s">
        <v>48</v>
      </c>
      <c r="DI6" s="95" t="s">
        <v>57</v>
      </c>
      <c r="DJ6" s="95">
        <f>DJ8</f>
        <v>0.26</v>
      </c>
      <c r="DL6" s="95" t="s">
        <v>57</v>
      </c>
      <c r="DM6" s="95">
        <f>DM8</f>
        <v>0.26</v>
      </c>
      <c r="DO6" s="95" t="s">
        <v>56</v>
      </c>
      <c r="DP6" s="95">
        <f>(DP8*DP9*DP14*((1-EXP(-DP11*DP12))))/(DP13*DP11)</f>
        <v>9.2940667982112686</v>
      </c>
      <c r="DQ6" s="95" t="s">
        <v>48</v>
      </c>
      <c r="DR6" s="95" t="s">
        <v>415</v>
      </c>
      <c r="DS6" s="354">
        <f>B16</f>
        <v>1.34E-10</v>
      </c>
      <c r="DT6" s="95" t="s">
        <v>64</v>
      </c>
      <c r="DU6" s="95" t="s">
        <v>58</v>
      </c>
      <c r="DV6" s="95">
        <v>92</v>
      </c>
      <c r="DW6" s="95" t="s">
        <v>59</v>
      </c>
      <c r="DX6" s="95" t="s">
        <v>57</v>
      </c>
      <c r="DY6" s="95">
        <f>DY8</f>
        <v>0.25</v>
      </c>
      <c r="EA6" s="95" t="s">
        <v>57</v>
      </c>
      <c r="EB6" s="95">
        <f>EB8</f>
        <v>0.25</v>
      </c>
      <c r="ED6" s="95" t="s">
        <v>57</v>
      </c>
      <c r="EE6" s="95">
        <f>EE8</f>
        <v>0.25</v>
      </c>
      <c r="EG6" s="95" t="s">
        <v>415</v>
      </c>
      <c r="EH6" s="354">
        <f>B16</f>
        <v>1.34E-10</v>
      </c>
      <c r="EI6" s="95" t="s">
        <v>64</v>
      </c>
      <c r="EJ6" s="95" t="s">
        <v>60</v>
      </c>
      <c r="EK6" s="95">
        <v>53</v>
      </c>
      <c r="EL6" s="95" t="s">
        <v>59</v>
      </c>
      <c r="EM6" s="95" t="s">
        <v>57</v>
      </c>
      <c r="EN6" s="95">
        <f>EN8</f>
        <v>0.25</v>
      </c>
      <c r="EP6" s="95" t="s">
        <v>57</v>
      </c>
      <c r="EQ6" s="95">
        <f>EQ8</f>
        <v>0.25</v>
      </c>
      <c r="ES6" s="95" t="s">
        <v>57</v>
      </c>
      <c r="ET6" s="95">
        <f>ET8</f>
        <v>0.25</v>
      </c>
      <c r="EV6" s="95" t="s">
        <v>415</v>
      </c>
      <c r="EW6" s="354">
        <f>B16</f>
        <v>1.34E-10</v>
      </c>
      <c r="EX6" s="95" t="s">
        <v>64</v>
      </c>
      <c r="EY6" s="95" t="s">
        <v>297</v>
      </c>
      <c r="EZ6" s="95">
        <v>0.4</v>
      </c>
      <c r="FA6" s="95" t="s">
        <v>59</v>
      </c>
      <c r="FB6" s="95" t="s">
        <v>57</v>
      </c>
      <c r="FC6" s="95">
        <f>FC8</f>
        <v>0.25</v>
      </c>
      <c r="FE6" s="95" t="s">
        <v>57</v>
      </c>
      <c r="FF6" s="95">
        <f>FF8</f>
        <v>0.25</v>
      </c>
      <c r="FH6" s="95" t="s">
        <v>57</v>
      </c>
      <c r="FI6" s="95">
        <f>FI8</f>
        <v>0.25</v>
      </c>
      <c r="FK6" s="95" t="s">
        <v>415</v>
      </c>
      <c r="FL6" s="354">
        <f>B16</f>
        <v>1.34E-10</v>
      </c>
      <c r="FM6" s="95" t="s">
        <v>64</v>
      </c>
      <c r="FN6" s="95" t="s">
        <v>300</v>
      </c>
      <c r="FO6" s="357">
        <v>1</v>
      </c>
      <c r="FP6" s="95" t="s">
        <v>59</v>
      </c>
      <c r="FQ6" s="95" t="s">
        <v>322</v>
      </c>
      <c r="FR6" s="354">
        <v>8.1999999999999993</v>
      </c>
      <c r="FT6" s="95" t="s">
        <v>57</v>
      </c>
      <c r="FU6" s="95">
        <f>FU8</f>
        <v>0.25</v>
      </c>
      <c r="FW6" s="95" t="s">
        <v>57</v>
      </c>
      <c r="FX6" s="95">
        <f>FX8</f>
        <v>0.25</v>
      </c>
      <c r="FZ6" s="95" t="s">
        <v>415</v>
      </c>
      <c r="GA6" s="354">
        <f>B16</f>
        <v>1.34E-10</v>
      </c>
      <c r="GB6" s="95" t="s">
        <v>64</v>
      </c>
      <c r="GC6" s="95" t="s">
        <v>298</v>
      </c>
      <c r="GD6" s="95">
        <v>0.4</v>
      </c>
      <c r="GE6" s="95" t="s">
        <v>59</v>
      </c>
      <c r="GF6" s="95" t="s">
        <v>57</v>
      </c>
      <c r="GG6" s="95">
        <f>GG8</f>
        <v>0.25</v>
      </c>
      <c r="GI6" s="95" t="s">
        <v>57</v>
      </c>
      <c r="GJ6" s="95">
        <f>GJ8</f>
        <v>0.25</v>
      </c>
      <c r="GL6" s="95" t="s">
        <v>57</v>
      </c>
      <c r="GM6" s="95">
        <f>GM8</f>
        <v>0.25</v>
      </c>
      <c r="GO6" s="95" t="s">
        <v>415</v>
      </c>
      <c r="GP6" s="354">
        <f>B16</f>
        <v>1.34E-10</v>
      </c>
      <c r="GQ6" s="95" t="s">
        <v>64</v>
      </c>
      <c r="GR6" s="95" t="s">
        <v>299</v>
      </c>
      <c r="GS6" s="95">
        <v>11.4</v>
      </c>
      <c r="GT6" s="95" t="s">
        <v>59</v>
      </c>
      <c r="GU6" s="95" t="s">
        <v>57</v>
      </c>
      <c r="GV6" s="95">
        <f>GV8</f>
        <v>0.25</v>
      </c>
      <c r="GX6" s="95" t="s">
        <v>57</v>
      </c>
      <c r="GY6" s="95">
        <f>GY8</f>
        <v>0.25</v>
      </c>
      <c r="HA6" s="95" t="s">
        <v>57</v>
      </c>
      <c r="HB6" s="95">
        <f>HB8</f>
        <v>0.25</v>
      </c>
      <c r="HD6" s="95" t="s">
        <v>17</v>
      </c>
      <c r="HE6" s="354">
        <f>H3</f>
        <v>0.61770516749673854</v>
      </c>
      <c r="HF6" s="95" t="s">
        <v>25</v>
      </c>
    </row>
    <row r="7" spans="1:214" s="95" customFormat="1" x14ac:dyDescent="0.2">
      <c r="A7" s="95" t="s">
        <v>77</v>
      </c>
      <c r="B7" s="353">
        <v>2.17E-10</v>
      </c>
      <c r="C7" s="95" t="s">
        <v>64</v>
      </c>
      <c r="D7" s="95" t="s">
        <v>448</v>
      </c>
      <c r="E7" s="354">
        <f>B17</f>
        <v>432.2</v>
      </c>
      <c r="F7" s="95" t="s">
        <v>129</v>
      </c>
      <c r="G7" s="95" t="s">
        <v>75</v>
      </c>
      <c r="H7" s="354">
        <f>B5</f>
        <v>2.81E-8</v>
      </c>
      <c r="I7" s="95" t="s">
        <v>64</v>
      </c>
      <c r="J7" s="95" t="s">
        <v>75</v>
      </c>
      <c r="K7" s="354">
        <f>B5</f>
        <v>2.81E-8</v>
      </c>
      <c r="L7" s="95" t="s">
        <v>64</v>
      </c>
      <c r="M7" s="95" t="s">
        <v>52</v>
      </c>
      <c r="N7" s="354">
        <f>0.693/N8</f>
        <v>1.6034243405830633E-3</v>
      </c>
      <c r="P7" s="95" t="s">
        <v>52</v>
      </c>
      <c r="Q7" s="354">
        <f>0.693/Q8</f>
        <v>1.6034243405830633E-3</v>
      </c>
      <c r="S7" s="95" t="s">
        <v>52</v>
      </c>
      <c r="T7" s="354">
        <f>0.693/T8</f>
        <v>1.6034243405830633E-3</v>
      </c>
      <c r="V7" s="95" t="s">
        <v>448</v>
      </c>
      <c r="W7" s="354">
        <f>B17</f>
        <v>432.2</v>
      </c>
      <c r="X7" s="95" t="s">
        <v>129</v>
      </c>
      <c r="Y7" s="95" t="s">
        <v>448</v>
      </c>
      <c r="Z7" s="354">
        <f>B17</f>
        <v>432.2</v>
      </c>
      <c r="AA7" s="95" t="s">
        <v>129</v>
      </c>
      <c r="AI7" s="95" t="s">
        <v>52</v>
      </c>
      <c r="AJ7" s="354">
        <f>0.693/AJ8</f>
        <v>1.6034243405830633E-3</v>
      </c>
      <c r="AL7" s="95" t="s">
        <v>52</v>
      </c>
      <c r="AM7" s="354">
        <f>0.693/AM8</f>
        <v>1.6034243405830633E-3</v>
      </c>
      <c r="AO7" s="95" t="s">
        <v>52</v>
      </c>
      <c r="AP7" s="354">
        <f>0.693/AP8</f>
        <v>1.6034243405830633E-3</v>
      </c>
      <c r="AR7" s="95" t="s">
        <v>52</v>
      </c>
      <c r="AS7" s="354">
        <f>0.693/AS8</f>
        <v>1.6034243405830633E-3</v>
      </c>
      <c r="AU7" s="95" t="s">
        <v>52</v>
      </c>
      <c r="AV7" s="354">
        <f>0.693/AV8</f>
        <v>1.6034243405830633E-3</v>
      </c>
      <c r="AX7" s="95" t="s">
        <v>52</v>
      </c>
      <c r="AY7" s="354">
        <f>0.693/AY8</f>
        <v>1.6034243405830633E-3</v>
      </c>
      <c r="BA7" s="95" t="s">
        <v>52</v>
      </c>
      <c r="BB7" s="354">
        <f>0.693/BB8</f>
        <v>1.6034243405830633E-3</v>
      </c>
      <c r="BD7" s="95" t="s">
        <v>52</v>
      </c>
      <c r="BE7" s="354">
        <f>0.693/BE8</f>
        <v>1.6034243405830633E-3</v>
      </c>
      <c r="BG7" s="95" t="s">
        <v>52</v>
      </c>
      <c r="BH7" s="354">
        <f>0.693/BH8</f>
        <v>1.6034243405830633E-3</v>
      </c>
      <c r="BJ7" s="95" t="s">
        <v>52</v>
      </c>
      <c r="BK7" s="354">
        <f>0.693/BK8</f>
        <v>1.6034243405830633E-3</v>
      </c>
      <c r="BM7" s="95" t="s">
        <v>52</v>
      </c>
      <c r="BN7" s="354">
        <f>0.693/BN8</f>
        <v>1.6034243405830633E-3</v>
      </c>
      <c r="BP7" s="95" t="s">
        <v>52</v>
      </c>
      <c r="BQ7" s="354">
        <f>0.693/BQ8</f>
        <v>1.6034243405830633E-3</v>
      </c>
      <c r="BS7" s="95" t="s">
        <v>448</v>
      </c>
      <c r="BT7" s="354">
        <f>B17</f>
        <v>432.2</v>
      </c>
      <c r="BU7" s="95" t="s">
        <v>129</v>
      </c>
      <c r="BV7" s="95" t="s">
        <v>75</v>
      </c>
      <c r="BW7" s="354">
        <f>E10</f>
        <v>2.81E-8</v>
      </c>
      <c r="BX7" s="95" t="s">
        <v>64</v>
      </c>
      <c r="BY7" s="95" t="s">
        <v>75</v>
      </c>
      <c r="BZ7" s="354">
        <f>B5</f>
        <v>2.81E-8</v>
      </c>
      <c r="CA7" s="95" t="s">
        <v>64</v>
      </c>
      <c r="CB7" s="95" t="s">
        <v>52</v>
      </c>
      <c r="CC7" s="354">
        <f>0.693/CC8</f>
        <v>1.6034243405830633E-3</v>
      </c>
      <c r="CE7" s="95" t="s">
        <v>52</v>
      </c>
      <c r="CF7" s="354">
        <f>0.693/CF8</f>
        <v>1.6034243405830633E-3</v>
      </c>
      <c r="CH7" s="95" t="s">
        <v>52</v>
      </c>
      <c r="CI7" s="354">
        <f>0.693/CI8</f>
        <v>1.6034243405830633E-3</v>
      </c>
      <c r="CK7" s="95" t="s">
        <v>238</v>
      </c>
      <c r="CL7" s="95">
        <v>75</v>
      </c>
      <c r="CM7" s="95" t="s">
        <v>268</v>
      </c>
      <c r="CN7" s="95" t="s">
        <v>57</v>
      </c>
      <c r="CO7" s="95">
        <f>CO9</f>
        <v>0.25</v>
      </c>
      <c r="CR7" s="95">
        <v>1000</v>
      </c>
      <c r="CS7" s="95" t="s">
        <v>230</v>
      </c>
      <c r="CT7" s="95" t="s">
        <v>75</v>
      </c>
      <c r="CU7" s="354">
        <f>B5</f>
        <v>2.81E-8</v>
      </c>
      <c r="CV7" s="95" t="s">
        <v>64</v>
      </c>
      <c r="CW7" s="95" t="s">
        <v>448</v>
      </c>
      <c r="CX7" s="354">
        <f>B17</f>
        <v>432.2</v>
      </c>
      <c r="CY7" s="95" t="s">
        <v>129</v>
      </c>
      <c r="CZ7" s="95" t="s">
        <v>75</v>
      </c>
      <c r="DA7" s="354">
        <f>B5</f>
        <v>2.81E-8</v>
      </c>
      <c r="DB7" s="95" t="s">
        <v>64</v>
      </c>
      <c r="DC7" s="95" t="s">
        <v>142</v>
      </c>
      <c r="DD7" s="358">
        <f>(DD5)/(DD6*(DD8+DD11)*DD21)</f>
        <v>7.0346293699996964E-3</v>
      </c>
      <c r="DE7" s="95" t="s">
        <v>23</v>
      </c>
      <c r="DF7" s="95" t="s">
        <v>65</v>
      </c>
      <c r="DG7" s="95">
        <f>(DG8*DG9*DG15*DG21*((1-EXP(-DG16*DG17))))/(DG18*DG16)</f>
        <v>3.6421488784670224</v>
      </c>
      <c r="DH7" s="95" t="s">
        <v>48</v>
      </c>
      <c r="DI7" s="95" t="s">
        <v>66</v>
      </c>
      <c r="DJ7" s="354">
        <f>B30</f>
        <v>1E-3</v>
      </c>
      <c r="DL7" s="95" t="s">
        <v>66</v>
      </c>
      <c r="DM7" s="354">
        <f>B30</f>
        <v>1E-3</v>
      </c>
      <c r="DO7" s="95" t="s">
        <v>65</v>
      </c>
      <c r="DP7" s="95">
        <f>(DP8*DP9*DP15*DP21*((1-EXP(-DP16*DP17))))/(DP18*DP16)</f>
        <v>3.6424203206347228</v>
      </c>
      <c r="DQ7" s="95" t="s">
        <v>48</v>
      </c>
      <c r="DR7" s="95" t="s">
        <v>142</v>
      </c>
      <c r="DS7" s="358">
        <f>DS5/(DS6*DS8*DS17)</f>
        <v>9.4992255281426893E-4</v>
      </c>
      <c r="DT7" s="95" t="s">
        <v>23</v>
      </c>
      <c r="DX7" s="95" t="s">
        <v>67</v>
      </c>
      <c r="DY7" s="354">
        <f>B31</f>
        <v>5.0000000000000001E-3</v>
      </c>
      <c r="EA7" s="95" t="s">
        <v>67</v>
      </c>
      <c r="EB7" s="354">
        <f>B31</f>
        <v>5.0000000000000001E-3</v>
      </c>
      <c r="ED7" s="95" t="s">
        <v>67</v>
      </c>
      <c r="EE7" s="354">
        <f>B31</f>
        <v>5.0000000000000001E-3</v>
      </c>
      <c r="EG7" s="95" t="s">
        <v>142</v>
      </c>
      <c r="EH7" s="358">
        <f>EH5/(EH6*EH8*EH17)</f>
        <v>4.4855999950842726E-3</v>
      </c>
      <c r="EI7" s="95" t="s">
        <v>23</v>
      </c>
      <c r="EM7" s="95" t="s">
        <v>67</v>
      </c>
      <c r="EN7" s="354">
        <f>B31</f>
        <v>5.0000000000000001E-3</v>
      </c>
      <c r="EP7" s="95" t="s">
        <v>67</v>
      </c>
      <c r="EQ7" s="354">
        <f>B31</f>
        <v>5.0000000000000001E-3</v>
      </c>
      <c r="ES7" s="95" t="s">
        <v>67</v>
      </c>
      <c r="ET7" s="354">
        <f>B31</f>
        <v>5.0000000000000001E-3</v>
      </c>
      <c r="EV7" s="95" t="s">
        <v>142</v>
      </c>
      <c r="EW7" s="358">
        <f>EW5/(EW6*EW8*EW17)</f>
        <v>1.4954873158092265E-2</v>
      </c>
      <c r="EX7" s="95" t="s">
        <v>23</v>
      </c>
      <c r="EZ7" s="95">
        <v>1000</v>
      </c>
      <c r="FA7" s="95" t="s">
        <v>230</v>
      </c>
      <c r="FB7" s="95" t="s">
        <v>67</v>
      </c>
      <c r="FC7" s="354">
        <f>B31</f>
        <v>5.0000000000000001E-3</v>
      </c>
      <c r="FE7" s="95" t="s">
        <v>67</v>
      </c>
      <c r="FF7" s="354">
        <f>B31</f>
        <v>5.0000000000000001E-3</v>
      </c>
      <c r="FH7" s="95" t="s">
        <v>67</v>
      </c>
      <c r="FI7" s="354">
        <f>B31</f>
        <v>5.0000000000000001E-3</v>
      </c>
      <c r="FK7" s="95" t="s">
        <v>142</v>
      </c>
      <c r="FL7" s="358">
        <f>FL5/(FL6*FL8*FL17)</f>
        <v>4.8774855800145494E-3</v>
      </c>
      <c r="FM7" s="95" t="s">
        <v>23</v>
      </c>
      <c r="FO7" s="95">
        <v>1000</v>
      </c>
      <c r="FP7" s="95" t="s">
        <v>230</v>
      </c>
      <c r="FT7" s="95" t="s">
        <v>67</v>
      </c>
      <c r="FU7" s="354">
        <f>B31</f>
        <v>5.0000000000000001E-3</v>
      </c>
      <c r="FW7" s="95" t="s">
        <v>67</v>
      </c>
      <c r="FX7" s="354">
        <f>B31</f>
        <v>5.0000000000000001E-3</v>
      </c>
      <c r="FZ7" s="95" t="s">
        <v>142</v>
      </c>
      <c r="GA7" s="358">
        <f>GA5/(GA6*GA8*GA17)</f>
        <v>6.2399903716093778E-3</v>
      </c>
      <c r="GB7" s="95" t="s">
        <v>23</v>
      </c>
      <c r="GD7" s="95">
        <v>1000</v>
      </c>
      <c r="GE7" s="95" t="s">
        <v>230</v>
      </c>
      <c r="GF7" s="95" t="s">
        <v>67</v>
      </c>
      <c r="GG7" s="354">
        <f>B31</f>
        <v>5.0000000000000001E-3</v>
      </c>
      <c r="GI7" s="95" t="s">
        <v>67</v>
      </c>
      <c r="GJ7" s="354">
        <f>B31</f>
        <v>5.0000000000000001E-3</v>
      </c>
      <c r="GL7" s="95" t="s">
        <v>67</v>
      </c>
      <c r="GM7" s="354">
        <f>B31</f>
        <v>5.0000000000000001E-3</v>
      </c>
      <c r="GO7" s="95" t="s">
        <v>142</v>
      </c>
      <c r="GP7" s="358">
        <f>GP5/(GP6*GP8*GP16)</f>
        <v>8.0331502802138879E-3</v>
      </c>
      <c r="GQ7" s="95" t="s">
        <v>23</v>
      </c>
      <c r="GS7" s="95">
        <v>1000</v>
      </c>
      <c r="GT7" s="95" t="s">
        <v>230</v>
      </c>
      <c r="GU7" s="95" t="s">
        <v>67</v>
      </c>
      <c r="GV7" s="354">
        <f>B31</f>
        <v>5.0000000000000001E-3</v>
      </c>
      <c r="GX7" s="95" t="s">
        <v>67</v>
      </c>
      <c r="GY7" s="354">
        <f>B31</f>
        <v>5.0000000000000001E-3</v>
      </c>
      <c r="HA7" s="95" t="s">
        <v>67</v>
      </c>
      <c r="HB7" s="354">
        <f>B31</f>
        <v>5.0000000000000001E-3</v>
      </c>
      <c r="HD7" s="95" t="s">
        <v>52</v>
      </c>
      <c r="HE7" s="354">
        <f>0.693/HE8</f>
        <v>1.6034243405830633E-3</v>
      </c>
    </row>
    <row r="8" spans="1:214" s="95" customFormat="1" x14ac:dyDescent="0.2">
      <c r="A8" s="95" t="s">
        <v>461</v>
      </c>
      <c r="B8" s="353">
        <v>9.0999999999999996E-11</v>
      </c>
      <c r="C8" s="95" t="s">
        <v>64</v>
      </c>
      <c r="D8" s="95" t="s">
        <v>54</v>
      </c>
      <c r="E8" s="95">
        <v>250</v>
      </c>
      <c r="F8" s="95" t="s">
        <v>63</v>
      </c>
      <c r="G8" s="95" t="s">
        <v>409</v>
      </c>
      <c r="H8" s="354">
        <f>B15</f>
        <v>1.3299999999999999E-13</v>
      </c>
      <c r="I8" s="95" t="s">
        <v>64</v>
      </c>
      <c r="J8" s="95" t="s">
        <v>131</v>
      </c>
      <c r="K8" s="354">
        <f>B9</f>
        <v>2.7599999999999999E-8</v>
      </c>
      <c r="L8" s="95" t="s">
        <v>163</v>
      </c>
      <c r="M8" s="95" t="s">
        <v>448</v>
      </c>
      <c r="N8" s="354">
        <f>B17</f>
        <v>432.2</v>
      </c>
      <c r="O8" s="95" t="s">
        <v>129</v>
      </c>
      <c r="P8" s="95" t="s">
        <v>448</v>
      </c>
      <c r="Q8" s="354">
        <f>B17</f>
        <v>432.2</v>
      </c>
      <c r="R8" s="95" t="s">
        <v>129</v>
      </c>
      <c r="S8" s="95" t="s">
        <v>448</v>
      </c>
      <c r="T8" s="354">
        <f>B17</f>
        <v>432.2</v>
      </c>
      <c r="U8" s="95" t="s">
        <v>129</v>
      </c>
      <c r="V8" s="95" t="s">
        <v>54</v>
      </c>
      <c r="W8" s="95">
        <v>225</v>
      </c>
      <c r="X8" s="95" t="s">
        <v>63</v>
      </c>
      <c r="Y8" s="95" t="s">
        <v>54</v>
      </c>
      <c r="Z8" s="95">
        <v>250</v>
      </c>
      <c r="AA8" s="95" t="s">
        <v>63</v>
      </c>
      <c r="AB8" s="95" t="s">
        <v>69</v>
      </c>
      <c r="AC8" s="95">
        <v>250</v>
      </c>
      <c r="AD8" s="95">
        <v>250</v>
      </c>
      <c r="AE8" s="95">
        <v>225</v>
      </c>
      <c r="AF8" s="95">
        <f>AF12*AF13</f>
        <v>130</v>
      </c>
      <c r="AG8" s="95">
        <f>AG12*AG13</f>
        <v>130</v>
      </c>
      <c r="AH8" s="95" t="s">
        <v>55</v>
      </c>
      <c r="AI8" s="95" t="s">
        <v>448</v>
      </c>
      <c r="AJ8" s="354">
        <f>B17</f>
        <v>432.2</v>
      </c>
      <c r="AK8" s="95" t="s">
        <v>129</v>
      </c>
      <c r="AL8" s="95" t="s">
        <v>448</v>
      </c>
      <c r="AM8" s="354">
        <f>B17</f>
        <v>432.2</v>
      </c>
      <c r="AN8" s="95" t="s">
        <v>129</v>
      </c>
      <c r="AO8" s="95" t="s">
        <v>448</v>
      </c>
      <c r="AP8" s="354">
        <f>B17</f>
        <v>432.2</v>
      </c>
      <c r="AQ8" s="95" t="s">
        <v>129</v>
      </c>
      <c r="AR8" s="95" t="s">
        <v>448</v>
      </c>
      <c r="AS8" s="354">
        <f>B17</f>
        <v>432.2</v>
      </c>
      <c r="AT8" s="95" t="s">
        <v>129</v>
      </c>
      <c r="AU8" s="95" t="s">
        <v>448</v>
      </c>
      <c r="AV8" s="354">
        <f>B17</f>
        <v>432.2</v>
      </c>
      <c r="AW8" s="95" t="s">
        <v>129</v>
      </c>
      <c r="AX8" s="95" t="s">
        <v>448</v>
      </c>
      <c r="AY8" s="354">
        <f>B17</f>
        <v>432.2</v>
      </c>
      <c r="AZ8" s="95" t="s">
        <v>129</v>
      </c>
      <c r="BA8" s="95" t="s">
        <v>448</v>
      </c>
      <c r="BB8" s="354">
        <f>B17</f>
        <v>432.2</v>
      </c>
      <c r="BC8" s="95" t="s">
        <v>129</v>
      </c>
      <c r="BD8" s="95" t="s">
        <v>448</v>
      </c>
      <c r="BE8" s="354">
        <f>B17</f>
        <v>432.2</v>
      </c>
      <c r="BF8" s="95" t="s">
        <v>129</v>
      </c>
      <c r="BG8" s="95" t="s">
        <v>448</v>
      </c>
      <c r="BH8" s="354">
        <f>B17</f>
        <v>432.2</v>
      </c>
      <c r="BI8" s="95" t="s">
        <v>129</v>
      </c>
      <c r="BJ8" s="95" t="s">
        <v>448</v>
      </c>
      <c r="BK8" s="354">
        <f>B17</f>
        <v>432.2</v>
      </c>
      <c r="BL8" s="95" t="s">
        <v>129</v>
      </c>
      <c r="BM8" s="95" t="s">
        <v>448</v>
      </c>
      <c r="BN8" s="354">
        <f>B17</f>
        <v>432.2</v>
      </c>
      <c r="BO8" s="95" t="s">
        <v>129</v>
      </c>
      <c r="BP8" s="95" t="s">
        <v>448</v>
      </c>
      <c r="BQ8" s="354">
        <f>B17</f>
        <v>432.2</v>
      </c>
      <c r="BR8" s="95" t="s">
        <v>129</v>
      </c>
      <c r="BS8" s="95" t="s">
        <v>54</v>
      </c>
      <c r="BT8" s="95">
        <v>75</v>
      </c>
      <c r="BU8" s="95" t="s">
        <v>63</v>
      </c>
      <c r="BV8" s="95" t="s">
        <v>409</v>
      </c>
      <c r="BW8" s="354">
        <f>H8</f>
        <v>1.3299999999999999E-13</v>
      </c>
      <c r="BX8" s="95" t="s">
        <v>64</v>
      </c>
      <c r="BY8" s="95" t="s">
        <v>131</v>
      </c>
      <c r="BZ8" s="354">
        <f>B9</f>
        <v>2.7599999999999999E-8</v>
      </c>
      <c r="CA8" s="95" t="s">
        <v>163</v>
      </c>
      <c r="CB8" s="95" t="s">
        <v>448</v>
      </c>
      <c r="CC8" s="354">
        <f>B17</f>
        <v>432.2</v>
      </c>
      <c r="CD8" s="95" t="s">
        <v>129</v>
      </c>
      <c r="CE8" s="95" t="s">
        <v>448</v>
      </c>
      <c r="CF8" s="354">
        <f>B17</f>
        <v>432.2</v>
      </c>
      <c r="CG8" s="95" t="s">
        <v>129</v>
      </c>
      <c r="CH8" s="95" t="s">
        <v>448</v>
      </c>
      <c r="CI8" s="354">
        <f>B17</f>
        <v>432.2</v>
      </c>
      <c r="CJ8" s="95" t="s">
        <v>129</v>
      </c>
      <c r="CK8" s="95" t="s">
        <v>107</v>
      </c>
      <c r="CL8" s="95">
        <v>26</v>
      </c>
      <c r="CM8" s="95" t="s">
        <v>276</v>
      </c>
      <c r="CN8" s="95" t="s">
        <v>67</v>
      </c>
      <c r="CO8" s="354">
        <f>B31</f>
        <v>5.0000000000000001E-3</v>
      </c>
      <c r="CT8" s="95" t="s">
        <v>131</v>
      </c>
      <c r="CU8" s="354">
        <f>B9</f>
        <v>2.7599999999999999E-8</v>
      </c>
      <c r="CV8" s="95" t="s">
        <v>163</v>
      </c>
      <c r="CW8" s="95" t="s">
        <v>54</v>
      </c>
      <c r="CX8" s="95">
        <v>350</v>
      </c>
      <c r="CY8" s="95" t="s">
        <v>63</v>
      </c>
      <c r="CZ8" s="95" t="s">
        <v>257</v>
      </c>
      <c r="DA8" s="359">
        <f>B15</f>
        <v>1.3299999999999999E-13</v>
      </c>
      <c r="DB8" s="95" t="s">
        <v>64</v>
      </c>
      <c r="DC8" s="95" t="s">
        <v>282</v>
      </c>
      <c r="DD8" s="360">
        <f>(DD9*DD15*DD16)+(DD10*DD14*DD17)</f>
        <v>699860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7856100</v>
      </c>
      <c r="DT8" s="95" t="s">
        <v>230</v>
      </c>
      <c r="DX8" s="95" t="s">
        <v>73</v>
      </c>
      <c r="DY8" s="95">
        <v>0.25</v>
      </c>
      <c r="EA8" s="95" t="s">
        <v>73</v>
      </c>
      <c r="EB8" s="95">
        <v>0.25</v>
      </c>
      <c r="ED8" s="95" t="s">
        <v>73</v>
      </c>
      <c r="EE8" s="95">
        <v>0.25</v>
      </c>
      <c r="EG8" s="95" t="s">
        <v>284</v>
      </c>
      <c r="EH8" s="360">
        <f>(EH13*EH11*EH9)+(EH14*EH12*EH10)</f>
        <v>1663698.6301369865</v>
      </c>
      <c r="EI8" s="95" t="s">
        <v>230</v>
      </c>
      <c r="EM8" s="95" t="s">
        <v>73</v>
      </c>
      <c r="EN8" s="95">
        <v>0.25</v>
      </c>
      <c r="EP8" s="95" t="s">
        <v>73</v>
      </c>
      <c r="EQ8" s="95">
        <v>0.25</v>
      </c>
      <c r="ES8" s="95" t="s">
        <v>73</v>
      </c>
      <c r="ET8" s="95">
        <v>0.25</v>
      </c>
      <c r="EV8" s="95" t="s">
        <v>286</v>
      </c>
      <c r="EW8" s="360">
        <f>(EW11*EW13*EW9)+(EW12*EW14*EW10)</f>
        <v>499013.69863013696</v>
      </c>
      <c r="EX8" s="95" t="s">
        <v>230</v>
      </c>
      <c r="FB8" s="95" t="s">
        <v>316</v>
      </c>
      <c r="FC8" s="95">
        <v>0.25</v>
      </c>
      <c r="FE8" s="95" t="s">
        <v>316</v>
      </c>
      <c r="FF8" s="95">
        <v>0.25</v>
      </c>
      <c r="FH8" s="95" t="s">
        <v>316</v>
      </c>
      <c r="FI8" s="95">
        <v>0.25</v>
      </c>
      <c r="FK8" s="95" t="s">
        <v>488</v>
      </c>
      <c r="FL8" s="361">
        <f>(FL13*FL9*FL11)+(FL14*FL10*FL12)</f>
        <v>1530027.397260274</v>
      </c>
      <c r="FM8" s="95" t="s">
        <v>230</v>
      </c>
      <c r="FT8" s="95" t="s">
        <v>311</v>
      </c>
      <c r="FU8" s="95">
        <v>0.25</v>
      </c>
      <c r="FW8" s="95" t="s">
        <v>311</v>
      </c>
      <c r="FX8" s="95">
        <v>0.25</v>
      </c>
      <c r="FZ8" s="95" t="s">
        <v>292</v>
      </c>
      <c r="GA8" s="361">
        <f>(GA11*GA9*GA13)+(GA14*GA10*GA12)</f>
        <v>1195945.2054794519</v>
      </c>
      <c r="GB8" s="95" t="s">
        <v>230</v>
      </c>
      <c r="GF8" s="95" t="s">
        <v>305</v>
      </c>
      <c r="GG8" s="95">
        <v>0.25</v>
      </c>
      <c r="GI8" s="95" t="s">
        <v>305</v>
      </c>
      <c r="GJ8" s="95">
        <v>0.25</v>
      </c>
      <c r="GL8" s="95" t="s">
        <v>305</v>
      </c>
      <c r="GM8" s="95">
        <v>0.25</v>
      </c>
      <c r="GO8" s="95" t="s">
        <v>293</v>
      </c>
      <c r="GP8" s="360">
        <f>(GP13*GP9*GP11)+(GP14*GP10*GP12)</f>
        <v>928986.30136986298</v>
      </c>
      <c r="GQ8" s="95" t="s">
        <v>230</v>
      </c>
      <c r="GU8" s="95" t="s">
        <v>310</v>
      </c>
      <c r="GV8" s="95">
        <v>0.25</v>
      </c>
      <c r="GX8" s="95" t="s">
        <v>310</v>
      </c>
      <c r="GY8" s="95">
        <v>0.25</v>
      </c>
      <c r="HA8" s="95" t="s">
        <v>310</v>
      </c>
      <c r="HB8" s="95">
        <v>0.25</v>
      </c>
      <c r="HD8" s="95" t="s">
        <v>448</v>
      </c>
      <c r="HE8" s="354">
        <f>B17</f>
        <v>432.2</v>
      </c>
      <c r="HF8" s="95" t="s">
        <v>129</v>
      </c>
    </row>
    <row r="9" spans="1:214" s="95" customFormat="1" x14ac:dyDescent="0.2">
      <c r="A9" s="95" t="s">
        <v>472</v>
      </c>
      <c r="B9" s="353">
        <v>2.7599999999999999E-8</v>
      </c>
      <c r="C9" s="95" t="s">
        <v>163</v>
      </c>
      <c r="D9" s="95" t="s">
        <v>68</v>
      </c>
      <c r="E9" s="95">
        <v>26</v>
      </c>
      <c r="F9" s="95" t="s">
        <v>62</v>
      </c>
      <c r="G9" s="95" t="s">
        <v>415</v>
      </c>
      <c r="H9" s="354">
        <f>B16</f>
        <v>1.34E-10</v>
      </c>
      <c r="I9" s="95" t="s">
        <v>64</v>
      </c>
      <c r="J9" s="95" t="s">
        <v>415</v>
      </c>
      <c r="K9" s="354">
        <f>B16</f>
        <v>1.34E-10</v>
      </c>
      <c r="L9" s="95" t="s">
        <v>64</v>
      </c>
      <c r="M9" s="95" t="s">
        <v>54</v>
      </c>
      <c r="N9" s="95">
        <v>250</v>
      </c>
      <c r="O9" s="95" t="s">
        <v>63</v>
      </c>
      <c r="P9" s="95" t="s">
        <v>54</v>
      </c>
      <c r="Q9" s="95">
        <v>250</v>
      </c>
      <c r="R9" s="95" t="s">
        <v>63</v>
      </c>
      <c r="S9" s="95" t="s">
        <v>54</v>
      </c>
      <c r="T9" s="95">
        <v>250</v>
      </c>
      <c r="U9" s="95" t="s">
        <v>63</v>
      </c>
      <c r="V9" s="95" t="s">
        <v>68</v>
      </c>
      <c r="W9" s="95">
        <v>25</v>
      </c>
      <c r="X9" s="95" t="s">
        <v>62</v>
      </c>
      <c r="Y9" s="95" t="s">
        <v>68</v>
      </c>
      <c r="Z9" s="95">
        <v>25</v>
      </c>
      <c r="AA9" s="95" t="s">
        <v>62</v>
      </c>
      <c r="AB9" s="95" t="s">
        <v>77</v>
      </c>
      <c r="AC9" s="354">
        <f>B8</f>
        <v>9.0999999999999996E-11</v>
      </c>
      <c r="AD9" s="354">
        <f>B8</f>
        <v>9.0999999999999996E-11</v>
      </c>
      <c r="AE9" s="354">
        <f>B8</f>
        <v>9.0999999999999996E-11</v>
      </c>
      <c r="AF9" s="354">
        <f>B8</f>
        <v>9.0999999999999996E-11</v>
      </c>
      <c r="AG9" s="354">
        <f>B8</f>
        <v>9.0999999999999996E-11</v>
      </c>
      <c r="AH9" s="95" t="s">
        <v>64</v>
      </c>
      <c r="AI9" s="95" t="s">
        <v>54</v>
      </c>
      <c r="AJ9" s="95">
        <v>100</v>
      </c>
      <c r="AK9" s="95" t="s">
        <v>63</v>
      </c>
      <c r="AL9" s="95" t="s">
        <v>54</v>
      </c>
      <c r="AM9" s="95">
        <v>100</v>
      </c>
      <c r="AN9" s="95" t="s">
        <v>63</v>
      </c>
      <c r="AO9" s="95" t="s">
        <v>54</v>
      </c>
      <c r="AP9" s="95">
        <v>100</v>
      </c>
      <c r="AQ9" s="95" t="s">
        <v>63</v>
      </c>
      <c r="AR9" s="95" t="s">
        <v>54</v>
      </c>
      <c r="AS9" s="95">
        <v>225</v>
      </c>
      <c r="AT9" s="95" t="s">
        <v>63</v>
      </c>
      <c r="AU9" s="95" t="s">
        <v>54</v>
      </c>
      <c r="AV9" s="95">
        <v>225</v>
      </c>
      <c r="AW9" s="95" t="s">
        <v>63</v>
      </c>
      <c r="AX9" s="95" t="s">
        <v>54</v>
      </c>
      <c r="AY9" s="95">
        <v>225</v>
      </c>
      <c r="AZ9" s="95" t="s">
        <v>63</v>
      </c>
      <c r="BA9" s="95" t="s">
        <v>54</v>
      </c>
      <c r="BB9" s="95">
        <v>250</v>
      </c>
      <c r="BC9" s="95" t="s">
        <v>63</v>
      </c>
      <c r="BD9" s="95" t="s">
        <v>54</v>
      </c>
      <c r="BE9" s="95">
        <v>250</v>
      </c>
      <c r="BF9" s="95" t="s">
        <v>63</v>
      </c>
      <c r="BG9" s="95" t="s">
        <v>54</v>
      </c>
      <c r="BH9" s="95">
        <v>250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1.34E-10</v>
      </c>
      <c r="BX9" s="95" t="s">
        <v>64</v>
      </c>
      <c r="BY9" s="95" t="s">
        <v>164</v>
      </c>
      <c r="BZ9" s="354">
        <f>B18</f>
        <v>1359344473.5814338</v>
      </c>
      <c r="CA9" s="95" t="s">
        <v>165</v>
      </c>
      <c r="CB9" s="95" t="s">
        <v>54</v>
      </c>
      <c r="CC9" s="95">
        <v>75</v>
      </c>
      <c r="CD9" s="95" t="s">
        <v>63</v>
      </c>
      <c r="CE9" s="95" t="s">
        <v>54</v>
      </c>
      <c r="CF9" s="95">
        <v>75</v>
      </c>
      <c r="CG9" s="95" t="s">
        <v>63</v>
      </c>
      <c r="CH9" s="95" t="s">
        <v>54</v>
      </c>
      <c r="CI9" s="95">
        <v>75</v>
      </c>
      <c r="CJ9" s="95" t="s">
        <v>63</v>
      </c>
      <c r="CK9" s="95" t="s">
        <v>330</v>
      </c>
      <c r="CL9" s="357">
        <v>1</v>
      </c>
      <c r="CM9" s="95" t="s">
        <v>413</v>
      </c>
      <c r="CN9" s="95" t="s">
        <v>340</v>
      </c>
      <c r="CO9" s="357">
        <v>0.25</v>
      </c>
      <c r="CT9" s="95" t="s">
        <v>415</v>
      </c>
      <c r="CU9" s="354">
        <f>B16</f>
        <v>1.34E-10</v>
      </c>
      <c r="CV9" s="95" t="s">
        <v>64</v>
      </c>
      <c r="CW9" s="95" t="s">
        <v>68</v>
      </c>
      <c r="CX9" s="95">
        <v>40</v>
      </c>
      <c r="CY9" s="95" t="s">
        <v>62</v>
      </c>
      <c r="CZ9" s="95" t="s">
        <v>415</v>
      </c>
      <c r="DA9" s="354">
        <f>B16</f>
        <v>1.34E-10</v>
      </c>
      <c r="DB9" s="95" t="s">
        <v>64</v>
      </c>
      <c r="DC9" s="95" t="s">
        <v>97</v>
      </c>
      <c r="DD9" s="354">
        <f>B40</f>
        <v>14.8</v>
      </c>
      <c r="DE9" s="95" t="s">
        <v>413</v>
      </c>
      <c r="DF9" s="95" t="s">
        <v>79</v>
      </c>
      <c r="DG9" s="95">
        <v>0.25</v>
      </c>
      <c r="DH9" s="95" t="s">
        <v>80</v>
      </c>
      <c r="DO9" s="95" t="s">
        <v>79</v>
      </c>
      <c r="DP9" s="95">
        <v>0.25</v>
      </c>
      <c r="DQ9" s="95" t="s">
        <v>80</v>
      </c>
      <c r="DR9" s="95" t="s">
        <v>278</v>
      </c>
      <c r="DS9" s="95">
        <f>B45</f>
        <v>256</v>
      </c>
      <c r="DT9" s="95" t="s">
        <v>413</v>
      </c>
      <c r="DX9" s="95" t="s">
        <v>347</v>
      </c>
      <c r="DY9" s="354">
        <f>B23</f>
        <v>1.9999999999999999E-6</v>
      </c>
      <c r="EA9" s="95" t="s">
        <v>347</v>
      </c>
      <c r="EB9" s="354">
        <f>B23</f>
        <v>1.9999999999999999E-6</v>
      </c>
      <c r="ED9" s="95" t="s">
        <v>347</v>
      </c>
      <c r="EE9" s="354">
        <f>B23</f>
        <v>1.9999999999999999E-6</v>
      </c>
      <c r="EG9" s="95" t="s">
        <v>98</v>
      </c>
      <c r="EH9" s="95">
        <f>4.7*1000/365</f>
        <v>12.876712328767123</v>
      </c>
      <c r="EI9" s="95" t="s">
        <v>413</v>
      </c>
      <c r="EM9" s="95" t="s">
        <v>348</v>
      </c>
      <c r="EN9" s="354">
        <f>B24</f>
        <v>5.0000000000000002E-5</v>
      </c>
      <c r="EP9" s="95" t="s">
        <v>348</v>
      </c>
      <c r="EQ9" s="354">
        <f>B24</f>
        <v>5.0000000000000002E-5</v>
      </c>
      <c r="ES9" s="95" t="s">
        <v>348</v>
      </c>
      <c r="ET9" s="354">
        <f>B24</f>
        <v>5.0000000000000002E-5</v>
      </c>
      <c r="EV9" s="95" t="s">
        <v>287</v>
      </c>
      <c r="EW9" s="95">
        <f>2.3*1000/365</f>
        <v>6.3013698630136989</v>
      </c>
      <c r="EX9" s="95" t="s">
        <v>413</v>
      </c>
      <c r="FB9" s="95" t="s">
        <v>349</v>
      </c>
      <c r="FC9" s="356">
        <f>B26</f>
        <v>4.0000000000000001E-3</v>
      </c>
      <c r="FE9" s="95" t="s">
        <v>349</v>
      </c>
      <c r="FF9" s="356">
        <f>B26</f>
        <v>4.0000000000000001E-3</v>
      </c>
      <c r="FH9" s="95" t="s">
        <v>349</v>
      </c>
      <c r="FI9" s="356">
        <f>B26</f>
        <v>4.0000000000000001E-3</v>
      </c>
      <c r="FK9" s="95" t="s">
        <v>254</v>
      </c>
      <c r="FL9" s="95">
        <f>6.4*1000/365</f>
        <v>17.534246575342465</v>
      </c>
      <c r="FM9" s="95" t="s">
        <v>413</v>
      </c>
      <c r="FT9" s="95" t="s">
        <v>350</v>
      </c>
      <c r="FU9" s="357">
        <v>1</v>
      </c>
      <c r="FW9" s="95" t="s">
        <v>350</v>
      </c>
      <c r="FX9" s="357">
        <v>1</v>
      </c>
      <c r="FZ9" s="95" t="s">
        <v>252</v>
      </c>
      <c r="GA9" s="362">
        <f>5*1000/365</f>
        <v>13.698630136986301</v>
      </c>
      <c r="GB9" s="95" t="s">
        <v>413</v>
      </c>
      <c r="GF9" s="95" t="s">
        <v>351</v>
      </c>
      <c r="GG9" s="356">
        <f>B25</f>
        <v>6.0000000000000001E-3</v>
      </c>
      <c r="GI9" s="95" t="s">
        <v>351</v>
      </c>
      <c r="GJ9" s="356">
        <f>B25</f>
        <v>6.0000000000000001E-3</v>
      </c>
      <c r="GL9" s="95" t="s">
        <v>351</v>
      </c>
      <c r="GM9" s="356">
        <f>B25</f>
        <v>6.0000000000000001E-3</v>
      </c>
      <c r="GO9" s="95" t="s">
        <v>295</v>
      </c>
      <c r="GP9" s="95">
        <f>4.5*1000/365</f>
        <v>12.328767123287671</v>
      </c>
      <c r="GQ9" s="95" t="s">
        <v>413</v>
      </c>
      <c r="GU9" s="95" t="s">
        <v>352</v>
      </c>
      <c r="GV9" s="356">
        <f>B27</f>
        <v>1.7000000000000001E-4</v>
      </c>
      <c r="GX9" s="95" t="s">
        <v>352</v>
      </c>
      <c r="GY9" s="356">
        <f>B27</f>
        <v>1.7000000000000001E-4</v>
      </c>
      <c r="HA9" s="95" t="s">
        <v>352</v>
      </c>
      <c r="HB9" s="356">
        <f>B27</f>
        <v>1.7000000000000001E-4</v>
      </c>
      <c r="HD9" s="95" t="s">
        <v>74</v>
      </c>
      <c r="HE9" s="95">
        <v>0.3</v>
      </c>
    </row>
    <row r="10" spans="1:214" s="95" customFormat="1" x14ac:dyDescent="0.2">
      <c r="A10" s="95" t="s">
        <v>473</v>
      </c>
      <c r="B10" s="353">
        <f>0.0000000196</f>
        <v>1.96E-8</v>
      </c>
      <c r="C10" s="95" t="s">
        <v>477</v>
      </c>
      <c r="D10" s="95" t="s">
        <v>75</v>
      </c>
      <c r="E10" s="354">
        <f>B5</f>
        <v>2.81E-8</v>
      </c>
      <c r="F10" s="95" t="s">
        <v>64</v>
      </c>
      <c r="G10" s="363" t="s">
        <v>142</v>
      </c>
      <c r="H10" s="364">
        <f>H5/(H6*H15)</f>
        <v>0.70339316864554613</v>
      </c>
      <c r="I10" s="365" t="s">
        <v>22</v>
      </c>
      <c r="J10" s="95" t="s">
        <v>164</v>
      </c>
      <c r="K10" s="354">
        <f>B18</f>
        <v>1359344473.5814338</v>
      </c>
      <c r="L10" s="95" t="s">
        <v>165</v>
      </c>
      <c r="M10" s="95" t="s">
        <v>68</v>
      </c>
      <c r="N10" s="95">
        <v>26</v>
      </c>
      <c r="O10" s="95" t="s">
        <v>62</v>
      </c>
      <c r="P10" s="95" t="s">
        <v>68</v>
      </c>
      <c r="Q10" s="95">
        <v>26</v>
      </c>
      <c r="R10" s="95" t="s">
        <v>62</v>
      </c>
      <c r="S10" s="95" t="s">
        <v>68</v>
      </c>
      <c r="T10" s="95">
        <v>26</v>
      </c>
      <c r="U10" s="95" t="s">
        <v>62</v>
      </c>
      <c r="V10" s="95" t="s">
        <v>75</v>
      </c>
      <c r="W10" s="354">
        <f>B5</f>
        <v>2.81E-8</v>
      </c>
      <c r="X10" s="95" t="s">
        <v>76</v>
      </c>
      <c r="Y10" s="95" t="s">
        <v>75</v>
      </c>
      <c r="Z10" s="354">
        <f>B5</f>
        <v>2.81E-8</v>
      </c>
      <c r="AA10" s="95" t="s">
        <v>76</v>
      </c>
      <c r="AI10" s="95" t="s">
        <v>68</v>
      </c>
      <c r="AJ10" s="95">
        <v>30</v>
      </c>
      <c r="AK10" s="95" t="s">
        <v>62</v>
      </c>
      <c r="AL10" s="95" t="s">
        <v>68</v>
      </c>
      <c r="AM10" s="95">
        <v>30</v>
      </c>
      <c r="AN10" s="95" t="s">
        <v>62</v>
      </c>
      <c r="AO10" s="95" t="s">
        <v>68</v>
      </c>
      <c r="AP10" s="95">
        <v>30</v>
      </c>
      <c r="AQ10" s="95" t="s">
        <v>62</v>
      </c>
      <c r="AR10" s="95" t="s">
        <v>68</v>
      </c>
      <c r="AS10" s="95">
        <v>25</v>
      </c>
      <c r="AT10" s="95" t="s">
        <v>62</v>
      </c>
      <c r="AU10" s="95" t="s">
        <v>68</v>
      </c>
      <c r="AV10" s="95">
        <v>25</v>
      </c>
      <c r="AW10" s="95" t="s">
        <v>62</v>
      </c>
      <c r="AX10" s="95" t="s">
        <v>68</v>
      </c>
      <c r="AY10" s="95">
        <v>25</v>
      </c>
      <c r="AZ10" s="95" t="s">
        <v>62</v>
      </c>
      <c r="BA10" s="95" t="s">
        <v>68</v>
      </c>
      <c r="BB10" s="95">
        <v>25</v>
      </c>
      <c r="BC10" s="95" t="s">
        <v>62</v>
      </c>
      <c r="BD10" s="95" t="s">
        <v>68</v>
      </c>
      <c r="BE10" s="95">
        <v>25</v>
      </c>
      <c r="BF10" s="95" t="s">
        <v>62</v>
      </c>
      <c r="BG10" s="95" t="s">
        <v>68</v>
      </c>
      <c r="BH10" s="95">
        <v>25</v>
      </c>
      <c r="BI10" s="95" t="s">
        <v>62</v>
      </c>
      <c r="BJ10" s="95" t="s">
        <v>411</v>
      </c>
      <c r="BK10" s="95">
        <v>50</v>
      </c>
      <c r="BL10" s="95" t="s">
        <v>426</v>
      </c>
      <c r="BM10" s="95" t="s">
        <v>411</v>
      </c>
      <c r="BN10" s="95">
        <v>50</v>
      </c>
      <c r="BO10" s="95" t="s">
        <v>426</v>
      </c>
      <c r="BP10" s="95" t="s">
        <v>411</v>
      </c>
      <c r="BQ10" s="95">
        <v>50</v>
      </c>
      <c r="BR10" s="95" t="s">
        <v>426</v>
      </c>
      <c r="BS10" s="95" t="s">
        <v>75</v>
      </c>
      <c r="BT10" s="354">
        <f>E10</f>
        <v>2.81E-8</v>
      </c>
      <c r="BU10" s="95" t="s">
        <v>64</v>
      </c>
      <c r="BV10" s="95" t="s">
        <v>142</v>
      </c>
      <c r="BW10" s="354">
        <f>BW5/(BW6*BW13)</f>
        <v>98.619329388560146</v>
      </c>
      <c r="BX10" s="95" t="s">
        <v>22</v>
      </c>
      <c r="BY10" s="95" t="s">
        <v>38</v>
      </c>
      <c r="BZ10" s="354">
        <f>(BZ33*BZ11)/(1-EXP(-BZ11*BZ33))</f>
        <v>1.0209893435208997</v>
      </c>
      <c r="CB10" s="95" t="s">
        <v>68</v>
      </c>
      <c r="CC10" s="95">
        <v>26</v>
      </c>
      <c r="CD10" s="95" t="s">
        <v>62</v>
      </c>
      <c r="CE10" s="95" t="s">
        <v>68</v>
      </c>
      <c r="CF10" s="95">
        <v>26</v>
      </c>
      <c r="CG10" s="95" t="s">
        <v>62</v>
      </c>
      <c r="CH10" s="95" t="s">
        <v>68</v>
      </c>
      <c r="CI10" s="95">
        <v>26</v>
      </c>
      <c r="CJ10" s="95" t="s">
        <v>62</v>
      </c>
      <c r="CN10" s="95" t="s">
        <v>338</v>
      </c>
      <c r="CO10" s="357">
        <v>1</v>
      </c>
      <c r="CP10" s="95" t="s">
        <v>479</v>
      </c>
      <c r="CT10" s="95" t="s">
        <v>164</v>
      </c>
      <c r="CU10" s="354">
        <f>B18</f>
        <v>1359344473.5814338</v>
      </c>
      <c r="CV10" s="95" t="s">
        <v>165</v>
      </c>
      <c r="CW10" s="95" t="s">
        <v>75</v>
      </c>
      <c r="CX10" s="354">
        <f>B5</f>
        <v>2.81E-8</v>
      </c>
      <c r="CY10" s="95" t="s">
        <v>64</v>
      </c>
      <c r="CZ10" s="95" t="s">
        <v>38</v>
      </c>
      <c r="DA10" s="354">
        <f>(DA39*DA11)/(1-EXP(-DA11*DA39))</f>
        <v>1.0324112592609469</v>
      </c>
      <c r="DC10" s="95" t="s">
        <v>118</v>
      </c>
      <c r="DD10" s="354">
        <f>B41</f>
        <v>56.2</v>
      </c>
      <c r="DE10" s="95" t="s">
        <v>413</v>
      </c>
      <c r="DF10" s="95" t="s">
        <v>66</v>
      </c>
      <c r="DG10" s="354">
        <f>B30</f>
        <v>1E-3</v>
      </c>
      <c r="DO10" s="95" t="s">
        <v>66</v>
      </c>
      <c r="DP10" s="354">
        <f>B30</f>
        <v>1E-3</v>
      </c>
      <c r="DR10" s="95" t="s">
        <v>279</v>
      </c>
      <c r="DS10" s="95">
        <f>B46</f>
        <v>615</v>
      </c>
      <c r="DT10" s="95" t="s">
        <v>413</v>
      </c>
      <c r="DX10" s="95" t="s">
        <v>89</v>
      </c>
      <c r="DY10" s="95">
        <v>16.899999999999999</v>
      </c>
      <c r="EA10" s="95" t="s">
        <v>89</v>
      </c>
      <c r="EB10" s="95">
        <v>16.899999999999999</v>
      </c>
      <c r="ED10" s="95" t="s">
        <v>89</v>
      </c>
      <c r="EE10" s="95">
        <v>16.899999999999999</v>
      </c>
      <c r="EG10" s="95" t="s">
        <v>119</v>
      </c>
      <c r="EH10" s="95">
        <f>50.2*1000/365</f>
        <v>137.53424657534248</v>
      </c>
      <c r="EI10" s="95" t="s">
        <v>413</v>
      </c>
      <c r="EM10" s="95" t="s">
        <v>90</v>
      </c>
      <c r="EN10" s="95">
        <v>11.77</v>
      </c>
      <c r="EP10" s="95" t="s">
        <v>90</v>
      </c>
      <c r="EQ10" s="95">
        <v>11.77</v>
      </c>
      <c r="ES10" s="95" t="s">
        <v>90</v>
      </c>
      <c r="ET10" s="95">
        <v>11.77</v>
      </c>
      <c r="EV10" s="95" t="s">
        <v>288</v>
      </c>
      <c r="EW10" s="95">
        <f>14.9*1000/365</f>
        <v>40.821917808219176</v>
      </c>
      <c r="EX10" s="95" t="s">
        <v>413</v>
      </c>
      <c r="FB10" s="95" t="s">
        <v>318</v>
      </c>
      <c r="FC10" s="95">
        <v>0.2</v>
      </c>
      <c r="FE10" s="95" t="s">
        <v>318</v>
      </c>
      <c r="FF10" s="95">
        <v>0.2</v>
      </c>
      <c r="FH10" s="95" t="s">
        <v>318</v>
      </c>
      <c r="FI10" s="95">
        <v>0.2</v>
      </c>
      <c r="FK10" s="95" t="s">
        <v>255</v>
      </c>
      <c r="FL10" s="95">
        <f>45.8*1000/365</f>
        <v>125.47945205479452</v>
      </c>
      <c r="FM10" s="95" t="s">
        <v>413</v>
      </c>
      <c r="FT10" s="95" t="s">
        <v>315</v>
      </c>
      <c r="FU10" s="357">
        <v>1</v>
      </c>
      <c r="FW10" s="95" t="s">
        <v>315</v>
      </c>
      <c r="FX10" s="357">
        <v>1</v>
      </c>
      <c r="FZ10" s="95" t="s">
        <v>253</v>
      </c>
      <c r="GA10" s="95">
        <f>35.8*1000/365</f>
        <v>98.082191780821915</v>
      </c>
      <c r="GB10" s="95" t="s">
        <v>413</v>
      </c>
      <c r="GF10" s="95" t="s">
        <v>301</v>
      </c>
      <c r="GG10" s="95">
        <v>0.2</v>
      </c>
      <c r="GI10" s="95" t="s">
        <v>301</v>
      </c>
      <c r="GJ10" s="95">
        <v>0.2</v>
      </c>
      <c r="GL10" s="95" t="s">
        <v>301</v>
      </c>
      <c r="GM10" s="95">
        <v>0.2</v>
      </c>
      <c r="GO10" s="95" t="s">
        <v>294</v>
      </c>
      <c r="GP10" s="95">
        <f>27.7*1000/365</f>
        <v>75.890410958904113</v>
      </c>
      <c r="GQ10" s="95" t="s">
        <v>413</v>
      </c>
      <c r="GU10" s="95" t="s">
        <v>306</v>
      </c>
      <c r="GV10" s="95">
        <v>4.7</v>
      </c>
      <c r="GX10" s="95" t="s">
        <v>306</v>
      </c>
      <c r="GY10" s="95">
        <v>4.7</v>
      </c>
      <c r="HA10" s="95" t="s">
        <v>306</v>
      </c>
      <c r="HB10" s="95">
        <v>4.7</v>
      </c>
      <c r="HD10" s="95" t="s">
        <v>81</v>
      </c>
      <c r="HE10" s="354">
        <v>1.5</v>
      </c>
    </row>
    <row r="11" spans="1:214" s="95" customFormat="1" x14ac:dyDescent="0.2">
      <c r="A11" s="95" t="s">
        <v>476</v>
      </c>
      <c r="B11" s="353">
        <v>8.6300000000000002E-12</v>
      </c>
      <c r="C11" s="95" t="s">
        <v>163</v>
      </c>
      <c r="D11" s="95" t="s">
        <v>82</v>
      </c>
      <c r="E11" s="360">
        <f>((E14/E15)*E24*E12*E16)+((E14/E15)*E25*E13*E17)</f>
        <v>47916.666666666672</v>
      </c>
      <c r="F11" s="95" t="s">
        <v>444</v>
      </c>
      <c r="G11" s="366" t="s">
        <v>134</v>
      </c>
      <c r="H11" s="354">
        <f>H5/(H7*H16*H28)</f>
        <v>6.1890762803651551E-4</v>
      </c>
      <c r="I11" s="367" t="s">
        <v>22</v>
      </c>
      <c r="J11" s="95" t="s">
        <v>38</v>
      </c>
      <c r="K11" s="354">
        <f>(K45*K12)/(1-EXP(-K12*K45))</f>
        <v>1.0209893435208997</v>
      </c>
      <c r="M11" s="95" t="s">
        <v>91</v>
      </c>
      <c r="N11" s="95">
        <v>0.4</v>
      </c>
      <c r="P11" s="95" t="s">
        <v>91</v>
      </c>
      <c r="Q11" s="95">
        <v>0.4</v>
      </c>
      <c r="S11" s="95" t="s">
        <v>91</v>
      </c>
      <c r="T11" s="95">
        <v>0.4</v>
      </c>
      <c r="V11" s="95" t="s">
        <v>84</v>
      </c>
      <c r="W11" s="95">
        <v>8</v>
      </c>
      <c r="X11" s="95" t="s">
        <v>85</v>
      </c>
      <c r="Y11" s="95" t="s">
        <v>84</v>
      </c>
      <c r="Z11" s="95">
        <v>8</v>
      </c>
      <c r="AA11" s="95" t="s">
        <v>85</v>
      </c>
      <c r="AB11" s="95" t="s">
        <v>68</v>
      </c>
      <c r="AC11" s="95">
        <v>25</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1437.5</v>
      </c>
      <c r="BU11" s="95" t="s">
        <v>444</v>
      </c>
      <c r="BV11" s="95" t="s">
        <v>134</v>
      </c>
      <c r="BW11" s="354"/>
      <c r="BX11" s="95" t="s">
        <v>22</v>
      </c>
      <c r="BY11" s="95" t="s">
        <v>52</v>
      </c>
      <c r="BZ11" s="354">
        <f>0.693/BZ12</f>
        <v>1.6034243405830633E-3</v>
      </c>
      <c r="CB11" s="95" t="s">
        <v>102</v>
      </c>
      <c r="CC11" s="95">
        <v>2.41E-4</v>
      </c>
      <c r="CE11" s="95" t="s">
        <v>102</v>
      </c>
      <c r="CF11" s="95">
        <v>1.17E-4</v>
      </c>
      <c r="CH11" s="95" t="s">
        <v>102</v>
      </c>
      <c r="CI11" s="95">
        <v>2.2599999999999999E-4</v>
      </c>
      <c r="CN11" s="95" t="s">
        <v>335</v>
      </c>
      <c r="CO11" s="357">
        <v>1</v>
      </c>
      <c r="CP11" s="95" t="s">
        <v>479</v>
      </c>
      <c r="CT11" s="95" t="s">
        <v>38</v>
      </c>
      <c r="CU11" s="354">
        <f>(CU45*CU12)/(1-EXP(-CU12*CU45))</f>
        <v>1.0324112592609469</v>
      </c>
      <c r="CW11" s="95" t="s">
        <v>82</v>
      </c>
      <c r="CX11" s="360">
        <f>((CX15/24)*CX24*CX12*CX16)+((CX14/24)*CX25*CX13*CX17)</f>
        <v>259000</v>
      </c>
      <c r="CY11" s="95" t="s">
        <v>444</v>
      </c>
      <c r="CZ11" s="95" t="s">
        <v>52</v>
      </c>
      <c r="DA11" s="354">
        <f>0.693/DA12</f>
        <v>1.6034243405830633E-3</v>
      </c>
      <c r="DC11" s="95" t="s">
        <v>283</v>
      </c>
      <c r="DD11" s="360">
        <f>(DD12*DD15*DD16)+(DD13*DD14*DD17)</f>
        <v>360990</v>
      </c>
      <c r="DE11" s="95" t="s">
        <v>230</v>
      </c>
      <c r="DF11" s="95" t="s">
        <v>99</v>
      </c>
      <c r="DG11" s="95">
        <f>DG19+DG20</f>
        <v>3.1394977168949772E-5</v>
      </c>
      <c r="DO11" s="95" t="s">
        <v>99</v>
      </c>
      <c r="DP11" s="95">
        <f>DP19+DP20</f>
        <v>2.6999999999999999E-5</v>
      </c>
      <c r="DR11" s="95" t="s">
        <v>70</v>
      </c>
      <c r="DS11" s="95">
        <v>350</v>
      </c>
      <c r="DT11" s="95" t="s">
        <v>55</v>
      </c>
      <c r="DX11" s="95" t="s">
        <v>100</v>
      </c>
      <c r="DY11" s="95">
        <v>0.41</v>
      </c>
      <c r="EA11" s="95" t="s">
        <v>100</v>
      </c>
      <c r="EB11" s="95">
        <v>0.41</v>
      </c>
      <c r="ED11" s="95" t="s">
        <v>100</v>
      </c>
      <c r="EE11" s="95">
        <v>0.41</v>
      </c>
      <c r="EG11" s="95" t="s">
        <v>70</v>
      </c>
      <c r="EH11" s="95">
        <v>350</v>
      </c>
      <c r="EI11" s="95" t="s">
        <v>55</v>
      </c>
      <c r="EM11" s="95" t="s">
        <v>101</v>
      </c>
      <c r="EN11" s="95">
        <v>0.39</v>
      </c>
      <c r="EP11" s="95" t="s">
        <v>101</v>
      </c>
      <c r="EQ11" s="95">
        <v>0.39</v>
      </c>
      <c r="ES11" s="95" t="s">
        <v>101</v>
      </c>
      <c r="ET11" s="95">
        <v>0.39</v>
      </c>
      <c r="EV11" s="95" t="s">
        <v>422</v>
      </c>
      <c r="EW11" s="95">
        <v>350</v>
      </c>
      <c r="EX11" s="95" t="s">
        <v>55</v>
      </c>
      <c r="FB11" s="95" t="s">
        <v>317</v>
      </c>
      <c r="FC11" s="95">
        <v>2.1999999999999999E-2</v>
      </c>
      <c r="FE11" s="95" t="s">
        <v>317</v>
      </c>
      <c r="FF11" s="95">
        <v>2.1999999999999999E-2</v>
      </c>
      <c r="FH11" s="95" t="s">
        <v>317</v>
      </c>
      <c r="FI11" s="95">
        <v>2.1999999999999999E-2</v>
      </c>
      <c r="FK11" s="95" t="s">
        <v>422</v>
      </c>
      <c r="FL11" s="95">
        <v>350</v>
      </c>
      <c r="FM11" s="95" t="s">
        <v>55</v>
      </c>
      <c r="FT11" s="95" t="s">
        <v>314</v>
      </c>
      <c r="FU11" s="357">
        <v>1</v>
      </c>
      <c r="FW11" s="95" t="s">
        <v>314</v>
      </c>
      <c r="FX11" s="357">
        <v>1</v>
      </c>
      <c r="FZ11" s="95" t="s">
        <v>422</v>
      </c>
      <c r="GA11" s="95">
        <v>350</v>
      </c>
      <c r="GB11" s="95" t="s">
        <v>55</v>
      </c>
      <c r="GF11" s="95" t="s">
        <v>302</v>
      </c>
      <c r="GG11" s="95">
        <v>2.1999999999999999E-2</v>
      </c>
      <c r="GI11" s="95" t="s">
        <v>302</v>
      </c>
      <c r="GJ11" s="95">
        <v>2.1999999999999999E-2</v>
      </c>
      <c r="GL11" s="95" t="s">
        <v>302</v>
      </c>
      <c r="GM11" s="95">
        <v>2.1999999999999999E-2</v>
      </c>
      <c r="GO11" s="95" t="s">
        <v>422</v>
      </c>
      <c r="GP11" s="95">
        <v>350</v>
      </c>
      <c r="GQ11" s="95" t="s">
        <v>55</v>
      </c>
      <c r="GU11" s="95" t="s">
        <v>307</v>
      </c>
      <c r="GV11" s="95">
        <v>0.37</v>
      </c>
      <c r="GX11" s="95" t="s">
        <v>307</v>
      </c>
      <c r="GY11" s="95">
        <v>0.37</v>
      </c>
      <c r="HA11" s="95" t="s">
        <v>307</v>
      </c>
      <c r="HB11" s="95">
        <v>0.37</v>
      </c>
      <c r="HD11" s="95" t="s">
        <v>92</v>
      </c>
      <c r="HE11" s="95">
        <v>26</v>
      </c>
    </row>
    <row r="12" spans="1:214" s="95" customFormat="1" x14ac:dyDescent="0.2">
      <c r="A12" s="95" t="s">
        <v>474</v>
      </c>
      <c r="B12" s="353">
        <v>2.5799999999999999E-8</v>
      </c>
      <c r="C12" s="95" t="s">
        <v>163</v>
      </c>
      <c r="D12" s="95" t="s">
        <v>93</v>
      </c>
      <c r="E12" s="95">
        <f>B33</f>
        <v>10</v>
      </c>
      <c r="F12" s="95" t="s">
        <v>83</v>
      </c>
      <c r="G12" s="366" t="s">
        <v>256</v>
      </c>
      <c r="H12" s="354">
        <f>H5/(H8*(1/H45)*H21)</f>
        <v>15106573.773884254</v>
      </c>
      <c r="I12" s="367" t="s">
        <v>22</v>
      </c>
      <c r="J12" s="95" t="s">
        <v>52</v>
      </c>
      <c r="K12" s="354">
        <f>0.693/K13</f>
        <v>1.6034243405830633E-3</v>
      </c>
      <c r="M12" s="95" t="s">
        <v>102</v>
      </c>
      <c r="N12" s="95">
        <v>1</v>
      </c>
      <c r="P12" s="95" t="s">
        <v>102</v>
      </c>
      <c r="Q12" s="95">
        <v>1</v>
      </c>
      <c r="S12" s="95" t="s">
        <v>102</v>
      </c>
      <c r="T12" s="95">
        <v>1</v>
      </c>
      <c r="W12" s="95">
        <v>24</v>
      </c>
      <c r="X12" s="95" t="s">
        <v>85</v>
      </c>
      <c r="Z12" s="95">
        <v>24</v>
      </c>
      <c r="AA12" s="95" t="s">
        <v>85</v>
      </c>
      <c r="AB12" s="95" t="s">
        <v>410</v>
      </c>
      <c r="AF12" s="95">
        <v>5</v>
      </c>
      <c r="AG12" s="95">
        <v>5</v>
      </c>
      <c r="AH12" s="95" t="s">
        <v>210</v>
      </c>
      <c r="AI12" s="95" t="s">
        <v>102</v>
      </c>
      <c r="AJ12" s="95">
        <v>1</v>
      </c>
      <c r="AL12" s="95" t="s">
        <v>102</v>
      </c>
      <c r="AM12" s="95">
        <v>1</v>
      </c>
      <c r="AO12" s="95" t="s">
        <v>102</v>
      </c>
      <c r="AP12" s="95">
        <v>1</v>
      </c>
      <c r="AR12" s="95" t="s">
        <v>102</v>
      </c>
      <c r="AS12" s="95">
        <v>1</v>
      </c>
      <c r="AU12" s="95" t="s">
        <v>102</v>
      </c>
      <c r="AV12" s="95">
        <v>1</v>
      </c>
      <c r="AX12" s="95" t="s">
        <v>102</v>
      </c>
      <c r="AY12" s="95">
        <v>1</v>
      </c>
      <c r="BA12" s="95" t="s">
        <v>102</v>
      </c>
      <c r="BB12" s="95">
        <v>1</v>
      </c>
      <c r="BD12" s="95" t="s">
        <v>102</v>
      </c>
      <c r="BE12" s="95">
        <v>1</v>
      </c>
      <c r="BG12" s="95" t="s">
        <v>102</v>
      </c>
      <c r="BH12" s="95">
        <v>1</v>
      </c>
      <c r="BJ12" s="95" t="s">
        <v>68</v>
      </c>
      <c r="BK12" s="95">
        <v>1</v>
      </c>
      <c r="BL12" s="95" t="s">
        <v>62</v>
      </c>
      <c r="BM12" s="95" t="s">
        <v>68</v>
      </c>
      <c r="BN12" s="95">
        <v>1</v>
      </c>
      <c r="BO12" s="95" t="s">
        <v>62</v>
      </c>
      <c r="BP12" s="95" t="s">
        <v>68</v>
      </c>
      <c r="BQ12" s="95">
        <v>1</v>
      </c>
      <c r="BR12" s="95" t="s">
        <v>62</v>
      </c>
      <c r="BS12" s="95" t="s">
        <v>93</v>
      </c>
      <c r="BT12" s="95">
        <f>B33</f>
        <v>10</v>
      </c>
      <c r="BU12" s="95" t="s">
        <v>83</v>
      </c>
      <c r="BV12" s="95" t="s">
        <v>256</v>
      </c>
      <c r="BW12" s="354">
        <f>BW5/(BW8*(1/BW32)*BW16)</f>
        <v>33776749.566223249</v>
      </c>
      <c r="BX12" s="95" t="s">
        <v>22</v>
      </c>
      <c r="BY12" s="95" t="s">
        <v>448</v>
      </c>
      <c r="BZ12" s="354">
        <f>B17</f>
        <v>432.2</v>
      </c>
      <c r="CA12" s="95" t="s">
        <v>129</v>
      </c>
      <c r="CB12" s="95" t="s">
        <v>113</v>
      </c>
      <c r="CC12" s="95">
        <v>0.753</v>
      </c>
      <c r="CE12" s="95" t="s">
        <v>113</v>
      </c>
      <c r="CF12" s="95">
        <v>0.74299999999999999</v>
      </c>
      <c r="CH12" s="95" t="s">
        <v>113</v>
      </c>
      <c r="CI12" s="95">
        <v>0.66200000000000003</v>
      </c>
      <c r="CN12" s="95" t="s">
        <v>336</v>
      </c>
      <c r="CO12" s="357">
        <v>1</v>
      </c>
      <c r="CP12" s="95" t="s">
        <v>80</v>
      </c>
      <c r="CT12" s="95" t="s">
        <v>52</v>
      </c>
      <c r="CU12" s="354">
        <f>0.693/CU13</f>
        <v>1.6034243405830633E-3</v>
      </c>
      <c r="CW12" s="95" t="s">
        <v>93</v>
      </c>
      <c r="CX12" s="95">
        <f>B33</f>
        <v>10</v>
      </c>
      <c r="CY12" s="95" t="s">
        <v>83</v>
      </c>
      <c r="CZ12" s="95" t="s">
        <v>448</v>
      </c>
      <c r="DA12" s="354">
        <f>B17</f>
        <v>432.2</v>
      </c>
      <c r="DB12" s="95" t="s">
        <v>129</v>
      </c>
      <c r="DC12" s="95" t="s">
        <v>147</v>
      </c>
      <c r="DD12" s="354">
        <f>B42</f>
        <v>10.4</v>
      </c>
      <c r="DE12" s="95" t="s">
        <v>413</v>
      </c>
      <c r="DF12" s="95" t="s">
        <v>109</v>
      </c>
      <c r="DG12" s="95">
        <v>10950</v>
      </c>
      <c r="DH12" s="95" t="s">
        <v>110</v>
      </c>
      <c r="DO12" s="95" t="s">
        <v>109</v>
      </c>
      <c r="DP12" s="95">
        <v>10950</v>
      </c>
      <c r="DQ12" s="95" t="s">
        <v>110</v>
      </c>
      <c r="DR12" s="95" t="s">
        <v>78</v>
      </c>
      <c r="DS12" s="95">
        <v>350</v>
      </c>
      <c r="DT12" s="95" t="s">
        <v>55</v>
      </c>
      <c r="DX12" s="95" t="s">
        <v>111</v>
      </c>
      <c r="DY12" s="95">
        <v>1</v>
      </c>
      <c r="EA12" s="95" t="s">
        <v>111</v>
      </c>
      <c r="EB12" s="95">
        <v>1</v>
      </c>
      <c r="ED12" s="95" t="s">
        <v>111</v>
      </c>
      <c r="EE12" s="95">
        <v>1</v>
      </c>
      <c r="EG12" s="95" t="s">
        <v>78</v>
      </c>
      <c r="EH12" s="95">
        <v>350</v>
      </c>
      <c r="EI12" s="95" t="s">
        <v>55</v>
      </c>
      <c r="EM12" s="95" t="s">
        <v>112</v>
      </c>
      <c r="EN12" s="95">
        <v>1</v>
      </c>
      <c r="EP12" s="95" t="s">
        <v>112</v>
      </c>
      <c r="EQ12" s="95">
        <v>1</v>
      </c>
      <c r="ES12" s="95" t="s">
        <v>112</v>
      </c>
      <c r="ET12" s="95">
        <v>1</v>
      </c>
      <c r="EV12" s="95" t="s">
        <v>423</v>
      </c>
      <c r="EW12" s="95">
        <v>350</v>
      </c>
      <c r="EX12" s="95" t="s">
        <v>55</v>
      </c>
      <c r="FB12" s="95" t="s">
        <v>319</v>
      </c>
      <c r="FC12" s="357">
        <v>1</v>
      </c>
      <c r="FE12" s="95" t="s">
        <v>319</v>
      </c>
      <c r="FF12" s="357">
        <v>1</v>
      </c>
      <c r="FH12" s="95" t="s">
        <v>319</v>
      </c>
      <c r="FI12" s="357">
        <v>1</v>
      </c>
      <c r="FK12" s="95" t="s">
        <v>423</v>
      </c>
      <c r="FL12" s="95">
        <v>350</v>
      </c>
      <c r="FM12" s="95" t="s">
        <v>55</v>
      </c>
      <c r="FT12" s="95" t="s">
        <v>313</v>
      </c>
      <c r="FU12" s="357">
        <v>1</v>
      </c>
      <c r="FW12" s="95" t="s">
        <v>313</v>
      </c>
      <c r="FX12" s="357">
        <v>1</v>
      </c>
      <c r="FZ12" s="95" t="s">
        <v>423</v>
      </c>
      <c r="GA12" s="95">
        <v>350</v>
      </c>
      <c r="GB12" s="95" t="s">
        <v>55</v>
      </c>
      <c r="GF12" s="95" t="s">
        <v>303</v>
      </c>
      <c r="GG12" s="95">
        <v>1</v>
      </c>
      <c r="GI12" s="95" t="s">
        <v>303</v>
      </c>
      <c r="GJ12" s="95">
        <v>1</v>
      </c>
      <c r="GL12" s="95" t="s">
        <v>303</v>
      </c>
      <c r="GM12" s="95">
        <v>1</v>
      </c>
      <c r="GO12" s="95" t="s">
        <v>423</v>
      </c>
      <c r="GP12" s="95">
        <v>350</v>
      </c>
      <c r="GQ12" s="95" t="s">
        <v>55</v>
      </c>
      <c r="GU12" s="95" t="s">
        <v>308</v>
      </c>
      <c r="GV12" s="95">
        <v>1</v>
      </c>
      <c r="GX12" s="95" t="s">
        <v>308</v>
      </c>
      <c r="GY12" s="95">
        <v>1</v>
      </c>
      <c r="HA12" s="95" t="s">
        <v>308</v>
      </c>
      <c r="HB12" s="95">
        <v>1</v>
      </c>
      <c r="HE12" s="354"/>
    </row>
    <row r="13" spans="1:214" s="95" customFormat="1" x14ac:dyDescent="0.2">
      <c r="A13" s="95" t="s">
        <v>475</v>
      </c>
      <c r="B13" s="353">
        <v>2.7599999999999999E-8</v>
      </c>
      <c r="C13" s="95" t="s">
        <v>163</v>
      </c>
      <c r="D13" s="95" t="s">
        <v>103</v>
      </c>
      <c r="E13" s="95">
        <f>B34</f>
        <v>20</v>
      </c>
      <c r="F13" s="95" t="s">
        <v>83</v>
      </c>
      <c r="G13" s="368" t="s">
        <v>407</v>
      </c>
      <c r="H13" s="369">
        <f>H14/((1/H42)*(H50+H51+H52))</f>
        <v>5.0706018937057449</v>
      </c>
      <c r="I13" s="370" t="s">
        <v>22</v>
      </c>
      <c r="J13" s="95" t="s">
        <v>448</v>
      </c>
      <c r="K13" s="354">
        <f>B17</f>
        <v>432.2</v>
      </c>
      <c r="L13" s="95" t="s">
        <v>129</v>
      </c>
      <c r="M13" s="95" t="s">
        <v>113</v>
      </c>
      <c r="N13" s="95">
        <v>1</v>
      </c>
      <c r="P13" s="95" t="s">
        <v>113</v>
      </c>
      <c r="Q13" s="95">
        <f>N13</f>
        <v>1</v>
      </c>
      <c r="S13" s="95" t="s">
        <v>113</v>
      </c>
      <c r="T13" s="95">
        <f>N13</f>
        <v>1</v>
      </c>
      <c r="V13" s="95" t="s">
        <v>104</v>
      </c>
      <c r="W13" s="95">
        <f>B35</f>
        <v>60</v>
      </c>
      <c r="X13" s="95" t="s">
        <v>83</v>
      </c>
      <c r="Y13" s="95" t="s">
        <v>104</v>
      </c>
      <c r="Z13" s="95">
        <f>B35</f>
        <v>60</v>
      </c>
      <c r="AA13" s="95" t="s">
        <v>83</v>
      </c>
      <c r="AB13" s="95" t="s">
        <v>411</v>
      </c>
      <c r="AF13" s="95">
        <v>26</v>
      </c>
      <c r="AG13" s="95">
        <v>26</v>
      </c>
      <c r="AH13" s="95" t="s">
        <v>412</v>
      </c>
      <c r="AI13" s="95" t="s">
        <v>113</v>
      </c>
      <c r="AJ13" s="95">
        <f>N13</f>
        <v>1</v>
      </c>
      <c r="AL13" s="95" t="s">
        <v>113</v>
      </c>
      <c r="AM13" s="95">
        <f>Q13</f>
        <v>1</v>
      </c>
      <c r="AO13" s="95" t="s">
        <v>113</v>
      </c>
      <c r="AP13" s="95">
        <f>T13</f>
        <v>1</v>
      </c>
      <c r="AR13" s="95" t="s">
        <v>113</v>
      </c>
      <c r="AS13" s="95">
        <f>AJ13</f>
        <v>1</v>
      </c>
      <c r="AU13" s="95" t="s">
        <v>113</v>
      </c>
      <c r="AV13" s="95">
        <f>AM13</f>
        <v>1</v>
      </c>
      <c r="AX13" s="95" t="s">
        <v>113</v>
      </c>
      <c r="AY13" s="95">
        <f>AP13</f>
        <v>1</v>
      </c>
      <c r="BA13" s="95" t="s">
        <v>113</v>
      </c>
      <c r="BB13" s="95">
        <v>1</v>
      </c>
      <c r="BD13" s="95" t="s">
        <v>113</v>
      </c>
      <c r="BE13" s="95">
        <f>AV13</f>
        <v>1</v>
      </c>
      <c r="BG13" s="95" t="s">
        <v>113</v>
      </c>
      <c r="BH13" s="95">
        <f>AY13</f>
        <v>1</v>
      </c>
      <c r="BJ13" s="95" t="s">
        <v>102</v>
      </c>
      <c r="BK13" s="95">
        <v>2.41E-4</v>
      </c>
      <c r="BM13" s="95" t="s">
        <v>102</v>
      </c>
      <c r="BN13" s="95">
        <v>1.17E-4</v>
      </c>
      <c r="BP13" s="95" t="s">
        <v>102</v>
      </c>
      <c r="BQ13" s="95">
        <v>2.2599999999999999E-4</v>
      </c>
      <c r="BS13" s="95" t="s">
        <v>103</v>
      </c>
      <c r="BT13" s="95">
        <f>B34</f>
        <v>20</v>
      </c>
      <c r="BU13" s="95" t="s">
        <v>83</v>
      </c>
      <c r="BV13" s="95" t="s">
        <v>86</v>
      </c>
      <c r="BW13" s="371">
        <f>((BW18*BW21*BW23*BW26*BW14)+(BW19*BW22*BW24*BW27*BW15))</f>
        <v>97.5</v>
      </c>
      <c r="BX13" s="95" t="s">
        <v>196</v>
      </c>
      <c r="BY13" s="95" t="s">
        <v>142</v>
      </c>
      <c r="BZ13" s="354">
        <f>(BZ5/(BZ6*BZ16*(1/BZ36)))*BZ10</f>
        <v>19.604250067605598</v>
      </c>
      <c r="CA13" s="95" t="s">
        <v>23</v>
      </c>
      <c r="CB13" s="95" t="s">
        <v>182</v>
      </c>
      <c r="CC13" s="95">
        <v>1</v>
      </c>
      <c r="CD13" s="95" t="s">
        <v>127</v>
      </c>
      <c r="CE13" s="95" t="s">
        <v>182</v>
      </c>
      <c r="CF13" s="95">
        <v>1</v>
      </c>
      <c r="CG13" s="95" t="s">
        <v>127</v>
      </c>
      <c r="CH13" s="95" t="s">
        <v>182</v>
      </c>
      <c r="CI13" s="95">
        <v>1</v>
      </c>
      <c r="CJ13" s="95" t="s">
        <v>127</v>
      </c>
      <c r="CN13" s="95" t="s">
        <v>337</v>
      </c>
      <c r="CO13" s="357">
        <v>1</v>
      </c>
      <c r="CP13" s="95" t="s">
        <v>80</v>
      </c>
      <c r="CT13" s="95" t="s">
        <v>448</v>
      </c>
      <c r="CU13" s="354">
        <f>B17</f>
        <v>432.2</v>
      </c>
      <c r="CV13" s="95" t="s">
        <v>129</v>
      </c>
      <c r="CW13" s="95" t="s">
        <v>103</v>
      </c>
      <c r="CX13" s="95">
        <f>B34</f>
        <v>20</v>
      </c>
      <c r="CY13" s="95" t="s">
        <v>83</v>
      </c>
      <c r="CZ13" s="95" t="s">
        <v>142</v>
      </c>
      <c r="DA13" s="354">
        <f>DA5/(DA6*DA24)</f>
        <v>0.30633951240552487</v>
      </c>
      <c r="DB13" s="95" t="s">
        <v>25</v>
      </c>
      <c r="DC13" s="95" t="s">
        <v>152</v>
      </c>
      <c r="DD13" s="354">
        <f>B43</f>
        <v>28.5</v>
      </c>
      <c r="DE13" s="95" t="s">
        <v>413</v>
      </c>
      <c r="DF13" s="95" t="s">
        <v>120</v>
      </c>
      <c r="DG13" s="95">
        <v>240</v>
      </c>
      <c r="DH13" s="95" t="s">
        <v>121</v>
      </c>
      <c r="DO13" s="95" t="s">
        <v>120</v>
      </c>
      <c r="DP13" s="95">
        <v>240</v>
      </c>
      <c r="DQ13" s="95" t="s">
        <v>121</v>
      </c>
      <c r="DR13" s="95" t="s">
        <v>246</v>
      </c>
      <c r="DS13" s="95">
        <v>6</v>
      </c>
      <c r="DT13" s="95" t="s">
        <v>129</v>
      </c>
      <c r="DX13" s="95" t="s">
        <v>122</v>
      </c>
      <c r="DY13" s="95">
        <v>1</v>
      </c>
      <c r="EA13" s="95" t="s">
        <v>122</v>
      </c>
      <c r="EB13" s="95">
        <v>1</v>
      </c>
      <c r="ED13" s="95" t="s">
        <v>122</v>
      </c>
      <c r="EE13" s="95">
        <v>1</v>
      </c>
      <c r="EG13" s="95" t="s">
        <v>246</v>
      </c>
      <c r="EH13" s="95">
        <v>6</v>
      </c>
      <c r="EI13" s="95" t="s">
        <v>129</v>
      </c>
      <c r="EM13" s="95" t="s">
        <v>123</v>
      </c>
      <c r="EN13" s="95">
        <v>1</v>
      </c>
      <c r="EP13" s="95" t="s">
        <v>123</v>
      </c>
      <c r="EQ13" s="95">
        <v>1</v>
      </c>
      <c r="ES13" s="95" t="s">
        <v>123</v>
      </c>
      <c r="ET13" s="95">
        <v>1</v>
      </c>
      <c r="EV13" s="95" t="s">
        <v>246</v>
      </c>
      <c r="EW13" s="95">
        <v>6</v>
      </c>
      <c r="EX13" s="95" t="s">
        <v>129</v>
      </c>
      <c r="FB13" s="95" t="s">
        <v>320</v>
      </c>
      <c r="FC13" s="357">
        <v>1</v>
      </c>
      <c r="FE13" s="95" t="s">
        <v>320</v>
      </c>
      <c r="FF13" s="357">
        <v>1</v>
      </c>
      <c r="FH13" s="95" t="s">
        <v>320</v>
      </c>
      <c r="FI13" s="357">
        <v>1</v>
      </c>
      <c r="FK13" s="95" t="s">
        <v>246</v>
      </c>
      <c r="FL13" s="95">
        <v>6</v>
      </c>
      <c r="FM13" s="95" t="s">
        <v>129</v>
      </c>
      <c r="FT13" s="95" t="s">
        <v>312</v>
      </c>
      <c r="FU13" s="357">
        <v>1</v>
      </c>
      <c r="FW13" s="95" t="s">
        <v>312</v>
      </c>
      <c r="FX13" s="357">
        <v>1</v>
      </c>
      <c r="FZ13" s="95" t="s">
        <v>246</v>
      </c>
      <c r="GA13" s="95">
        <v>6</v>
      </c>
      <c r="GB13" s="95" t="s">
        <v>129</v>
      </c>
      <c r="GF13" s="95" t="s">
        <v>304</v>
      </c>
      <c r="GG13" s="95">
        <v>1</v>
      </c>
      <c r="GI13" s="95" t="s">
        <v>304</v>
      </c>
      <c r="GJ13" s="95">
        <v>1</v>
      </c>
      <c r="GL13" s="95" t="s">
        <v>304</v>
      </c>
      <c r="GM13" s="95">
        <v>1</v>
      </c>
      <c r="GO13" s="95" t="s">
        <v>246</v>
      </c>
      <c r="GP13" s="95">
        <v>6</v>
      </c>
      <c r="GQ13" s="95" t="s">
        <v>129</v>
      </c>
      <c r="GU13" s="95" t="s">
        <v>309</v>
      </c>
      <c r="GV13" s="95">
        <v>1</v>
      </c>
      <c r="GX13" s="95" t="s">
        <v>309</v>
      </c>
      <c r="GY13" s="95">
        <v>1</v>
      </c>
      <c r="HA13" s="95" t="s">
        <v>309</v>
      </c>
      <c r="HB13" s="95">
        <v>1</v>
      </c>
      <c r="HD13" s="95" t="s">
        <v>428</v>
      </c>
      <c r="HE13" s="354">
        <v>10</v>
      </c>
    </row>
    <row r="14" spans="1:214" s="95" customFormat="1" x14ac:dyDescent="0.2">
      <c r="A14" s="95" t="s">
        <v>115</v>
      </c>
      <c r="B14" s="353">
        <v>5.84E-11</v>
      </c>
      <c r="C14" s="95" t="s">
        <v>163</v>
      </c>
      <c r="D14" s="95" t="s">
        <v>114</v>
      </c>
      <c r="E14" s="95">
        <v>10</v>
      </c>
      <c r="F14" s="95" t="s">
        <v>85</v>
      </c>
      <c r="G14" s="95" t="s">
        <v>406</v>
      </c>
      <c r="H14" s="354">
        <f>H5/(H9*(H22+H25)*H43)</f>
        <v>6.4710050441484313E-2</v>
      </c>
      <c r="I14" s="95" t="s">
        <v>23</v>
      </c>
      <c r="J14" s="363" t="s">
        <v>142</v>
      </c>
      <c r="K14" s="364">
        <f>(K5/(K6*K19*(1/K48)))*K11</f>
        <v>5.8812750202816799</v>
      </c>
      <c r="L14" s="365" t="s">
        <v>23</v>
      </c>
      <c r="M14" s="95" t="s">
        <v>124</v>
      </c>
      <c r="N14" s="95">
        <v>1.752</v>
      </c>
      <c r="O14" s="95" t="s">
        <v>127</v>
      </c>
      <c r="P14" s="95" t="s">
        <v>124</v>
      </c>
      <c r="Q14" s="95">
        <v>1.752</v>
      </c>
      <c r="R14" s="95" t="s">
        <v>127</v>
      </c>
      <c r="S14" s="95" t="s">
        <v>124</v>
      </c>
      <c r="T14" s="95">
        <v>1.752</v>
      </c>
      <c r="U14" s="95" t="s">
        <v>127</v>
      </c>
      <c r="V14" s="95" t="s">
        <v>115</v>
      </c>
      <c r="W14" s="354">
        <f>B14</f>
        <v>5.84E-11</v>
      </c>
      <c r="X14" s="95" t="s">
        <v>116</v>
      </c>
      <c r="Y14" s="95" t="s">
        <v>115</v>
      </c>
      <c r="Z14" s="354">
        <f>B14</f>
        <v>5.84E-11</v>
      </c>
      <c r="AA14" s="95" t="s">
        <v>116</v>
      </c>
      <c r="AB14" s="95" t="s">
        <v>126</v>
      </c>
      <c r="AF14" s="95">
        <v>8</v>
      </c>
      <c r="AG14" s="95">
        <v>8</v>
      </c>
      <c r="AH14" s="95" t="s">
        <v>85</v>
      </c>
      <c r="AI14" s="95" t="s">
        <v>124</v>
      </c>
      <c r="AJ14" s="95">
        <v>5</v>
      </c>
      <c r="AK14" s="95" t="s">
        <v>125</v>
      </c>
      <c r="AL14" s="95" t="s">
        <v>124</v>
      </c>
      <c r="AM14" s="95">
        <v>5</v>
      </c>
      <c r="AN14" s="95" t="s">
        <v>125</v>
      </c>
      <c r="AO14" s="95" t="s">
        <v>124</v>
      </c>
      <c r="AP14" s="95">
        <v>5</v>
      </c>
      <c r="AQ14" s="95" t="s">
        <v>125</v>
      </c>
      <c r="AR14" s="95" t="s">
        <v>124</v>
      </c>
      <c r="AS14" s="95">
        <f>8/24</f>
        <v>0.33333333333333331</v>
      </c>
      <c r="AT14" s="95" t="s">
        <v>125</v>
      </c>
      <c r="AU14" s="95" t="s">
        <v>124</v>
      </c>
      <c r="AV14" s="95">
        <f>8/24</f>
        <v>0.33333333333333331</v>
      </c>
      <c r="AW14" s="95" t="s">
        <v>125</v>
      </c>
      <c r="AX14" s="95" t="s">
        <v>126</v>
      </c>
      <c r="AY14" s="95">
        <f>8/24</f>
        <v>0.33333333333333331</v>
      </c>
      <c r="AZ14" s="95" t="s">
        <v>127</v>
      </c>
      <c r="BA14" s="95" t="s">
        <v>124</v>
      </c>
      <c r="BB14" s="95">
        <f>8/24</f>
        <v>0.33333333333333331</v>
      </c>
      <c r="BC14" s="95" t="s">
        <v>125</v>
      </c>
      <c r="BD14" s="95" t="s">
        <v>124</v>
      </c>
      <c r="BE14" s="95">
        <f>8/24</f>
        <v>0.33333333333333331</v>
      </c>
      <c r="BF14" s="95" t="s">
        <v>125</v>
      </c>
      <c r="BG14" s="95" t="s">
        <v>126</v>
      </c>
      <c r="BH14" s="95">
        <f>8/24</f>
        <v>0.33333333333333331</v>
      </c>
      <c r="BI14" s="95" t="s">
        <v>127</v>
      </c>
      <c r="BJ14" s="95" t="s">
        <v>113</v>
      </c>
      <c r="BK14" s="95">
        <v>0.753</v>
      </c>
      <c r="BM14" s="95" t="s">
        <v>113</v>
      </c>
      <c r="BN14" s="95">
        <v>0.74299999999999999</v>
      </c>
      <c r="BP14" s="95" t="s">
        <v>113</v>
      </c>
      <c r="BQ14" s="95">
        <v>0.66200000000000003</v>
      </c>
      <c r="BS14" s="95" t="s">
        <v>436</v>
      </c>
      <c r="BT14" s="95">
        <v>1</v>
      </c>
      <c r="BU14" s="95" t="s">
        <v>85</v>
      </c>
      <c r="BV14" s="95" t="s">
        <v>105</v>
      </c>
      <c r="BW14" s="95">
        <v>0.05</v>
      </c>
      <c r="BX14" s="95" t="s">
        <v>95</v>
      </c>
      <c r="BY14" s="95" t="s">
        <v>134</v>
      </c>
      <c r="BZ14" s="354">
        <f>(BZ5/(BZ7*BZ17*(1/BZ9)*BZ35))*BZ10</f>
        <v>34358.687215241735</v>
      </c>
      <c r="CA14" s="95" t="s">
        <v>23</v>
      </c>
      <c r="CB14" s="95" t="s">
        <v>131</v>
      </c>
      <c r="CC14" s="354">
        <f>B9</f>
        <v>2.7599999999999999E-8</v>
      </c>
      <c r="CD14" s="95" t="s">
        <v>132</v>
      </c>
      <c r="CE14" s="95" t="s">
        <v>131</v>
      </c>
      <c r="CF14" s="354">
        <f>B11</f>
        <v>8.6300000000000002E-12</v>
      </c>
      <c r="CG14" s="95" t="s">
        <v>132</v>
      </c>
      <c r="CH14" s="95" t="s">
        <v>131</v>
      </c>
      <c r="CI14" s="354">
        <f>B13</f>
        <v>2.7599999999999999E-8</v>
      </c>
      <c r="CJ14" s="95" t="s">
        <v>132</v>
      </c>
      <c r="CT14" s="95" t="s">
        <v>142</v>
      </c>
      <c r="CU14" s="354">
        <f>(CU5/(CU6*CU25*(1/CU48)))*CU11</f>
        <v>2.9550655730627899</v>
      </c>
      <c r="CV14" s="95" t="s">
        <v>23</v>
      </c>
      <c r="CW14" s="95" t="s">
        <v>181</v>
      </c>
      <c r="CX14" s="95">
        <v>24</v>
      </c>
      <c r="CY14" s="95" t="s">
        <v>85</v>
      </c>
      <c r="CZ14" s="95" t="s">
        <v>134</v>
      </c>
      <c r="DA14" s="354">
        <f>DA5/(DA7*DA25*DA47)</f>
        <v>2.7480454526717871E-4</v>
      </c>
      <c r="DB14" s="95" t="s">
        <v>25</v>
      </c>
      <c r="DC14" s="95" t="s">
        <v>270</v>
      </c>
      <c r="DD14" s="95">
        <v>350</v>
      </c>
      <c r="DE14" s="95" t="s">
        <v>55</v>
      </c>
      <c r="DF14" s="95" t="s">
        <v>130</v>
      </c>
      <c r="DG14" s="95">
        <v>0.26</v>
      </c>
      <c r="DO14" s="95" t="s">
        <v>130</v>
      </c>
      <c r="DP14" s="95">
        <v>0.26</v>
      </c>
      <c r="DR14" s="95" t="s">
        <v>247</v>
      </c>
      <c r="DS14" s="95">
        <v>34</v>
      </c>
      <c r="DT14" s="95" t="s">
        <v>129</v>
      </c>
      <c r="ED14" s="95" t="s">
        <v>130</v>
      </c>
      <c r="EE14" s="95">
        <v>0.25</v>
      </c>
      <c r="EG14" s="95" t="s">
        <v>247</v>
      </c>
      <c r="EH14" s="95">
        <v>34</v>
      </c>
      <c r="EI14" s="95" t="s">
        <v>129</v>
      </c>
      <c r="ES14" s="95" t="s">
        <v>130</v>
      </c>
      <c r="ET14" s="95">
        <v>0.25</v>
      </c>
      <c r="EV14" s="95" t="s">
        <v>247</v>
      </c>
      <c r="EW14" s="95">
        <v>34</v>
      </c>
      <c r="EX14" s="95" t="s">
        <v>129</v>
      </c>
      <c r="FH14" s="95" t="s">
        <v>130</v>
      </c>
      <c r="FI14" s="95">
        <v>0.25</v>
      </c>
      <c r="FK14" s="95" t="s">
        <v>247</v>
      </c>
      <c r="FL14" s="95">
        <v>34</v>
      </c>
      <c r="FM14" s="95" t="s">
        <v>129</v>
      </c>
      <c r="FT14" s="95" t="s">
        <v>203</v>
      </c>
      <c r="FU14" s="354">
        <f>B22</f>
        <v>30</v>
      </c>
      <c r="FW14" s="95" t="s">
        <v>130</v>
      </c>
      <c r="FX14" s="95">
        <v>0.25</v>
      </c>
      <c r="FZ14" s="95" t="s">
        <v>247</v>
      </c>
      <c r="GA14" s="95">
        <v>34</v>
      </c>
      <c r="GB14" s="95" t="s">
        <v>129</v>
      </c>
      <c r="GL14" s="95" t="s">
        <v>305</v>
      </c>
      <c r="GM14" s="95">
        <v>0.25</v>
      </c>
      <c r="GO14" s="95" t="s">
        <v>247</v>
      </c>
      <c r="GP14" s="95">
        <v>34</v>
      </c>
      <c r="GQ14" s="95" t="s">
        <v>129</v>
      </c>
      <c r="HA14" s="95" t="s">
        <v>130</v>
      </c>
      <c r="HB14" s="95">
        <v>0.25</v>
      </c>
      <c r="HD14" s="95" t="s">
        <v>128</v>
      </c>
      <c r="HE14" s="95">
        <v>8.1999999999999993</v>
      </c>
    </row>
    <row r="15" spans="1:214" s="95" customFormat="1" ht="13.5" thickBot="1" x14ac:dyDescent="0.25">
      <c r="A15" s="95" t="s">
        <v>409</v>
      </c>
      <c r="B15" s="353">
        <v>1.3299999999999999E-13</v>
      </c>
      <c r="C15" s="95" t="s">
        <v>64</v>
      </c>
      <c r="E15" s="95">
        <v>24</v>
      </c>
      <c r="F15" s="95" t="s">
        <v>85</v>
      </c>
      <c r="G15" s="95" t="s">
        <v>86</v>
      </c>
      <c r="H15" s="372">
        <f>H32*H29*H17+H33*H30*H18</f>
        <v>13670</v>
      </c>
      <c r="I15" s="95" t="s">
        <v>196</v>
      </c>
      <c r="J15" s="366" t="s">
        <v>134</v>
      </c>
      <c r="K15" s="354">
        <f>(K5/(K7*K20*(1/K10)*K47))*K11</f>
        <v>1030.7606164572521</v>
      </c>
      <c r="L15" s="367" t="s">
        <v>23</v>
      </c>
      <c r="M15" s="95" t="s">
        <v>131</v>
      </c>
      <c r="N15" s="354">
        <f>B9</f>
        <v>2.7599999999999999E-8</v>
      </c>
      <c r="O15" s="95" t="s">
        <v>132</v>
      </c>
      <c r="P15" s="95" t="s">
        <v>131</v>
      </c>
      <c r="Q15" s="354">
        <f>B11</f>
        <v>8.6300000000000002E-12</v>
      </c>
      <c r="R15" s="95" t="s">
        <v>132</v>
      </c>
      <c r="S15" s="95" t="s">
        <v>131</v>
      </c>
      <c r="T15" s="354">
        <f>B13</f>
        <v>2.7599999999999999E-8</v>
      </c>
      <c r="U15" s="95" t="s">
        <v>132</v>
      </c>
      <c r="V15" s="95" t="s">
        <v>414</v>
      </c>
      <c r="W15" s="95">
        <v>1</v>
      </c>
      <c r="Y15" s="95" t="s">
        <v>414</v>
      </c>
      <c r="Z15" s="95">
        <v>1</v>
      </c>
      <c r="AB15" s="95" t="s">
        <v>136</v>
      </c>
      <c r="AC15" s="95">
        <v>25</v>
      </c>
      <c r="AD15" s="95">
        <v>25</v>
      </c>
      <c r="AE15" s="95">
        <v>25</v>
      </c>
      <c r="AF15" s="95">
        <v>1</v>
      </c>
      <c r="AG15" s="95">
        <v>1</v>
      </c>
      <c r="AI15" s="95" t="s">
        <v>131</v>
      </c>
      <c r="AJ15" s="354">
        <f>B9</f>
        <v>2.7599999999999999E-8</v>
      </c>
      <c r="AK15" s="95" t="s">
        <v>132</v>
      </c>
      <c r="AL15" s="95" t="s">
        <v>131</v>
      </c>
      <c r="AM15" s="354">
        <f>B11</f>
        <v>8.6300000000000002E-12</v>
      </c>
      <c r="AN15" s="95" t="s">
        <v>132</v>
      </c>
      <c r="AO15" s="95" t="s">
        <v>131</v>
      </c>
      <c r="AP15" s="354">
        <f>B13</f>
        <v>2.7599999999999999E-8</v>
      </c>
      <c r="AQ15" s="95" t="s">
        <v>132</v>
      </c>
      <c r="AR15" s="95" t="s">
        <v>131</v>
      </c>
      <c r="AS15" s="354">
        <f>B9</f>
        <v>2.7599999999999999E-8</v>
      </c>
      <c r="AT15" s="95" t="s">
        <v>132</v>
      </c>
      <c r="AU15" s="95" t="s">
        <v>131</v>
      </c>
      <c r="AV15" s="354">
        <f>B11</f>
        <v>8.6300000000000002E-12</v>
      </c>
      <c r="AW15" s="95" t="s">
        <v>132</v>
      </c>
      <c r="AX15" s="95" t="s">
        <v>131</v>
      </c>
      <c r="AY15" s="354">
        <f>B13</f>
        <v>2.7599999999999999E-8</v>
      </c>
      <c r="AZ15" s="95" t="s">
        <v>132</v>
      </c>
      <c r="BA15" s="95" t="s">
        <v>131</v>
      </c>
      <c r="BB15" s="354">
        <f>B9</f>
        <v>2.7599999999999999E-8</v>
      </c>
      <c r="BC15" s="95" t="s">
        <v>132</v>
      </c>
      <c r="BD15" s="95" t="s">
        <v>131</v>
      </c>
      <c r="BE15" s="354">
        <f>B11</f>
        <v>8.6300000000000002E-12</v>
      </c>
      <c r="BF15" s="95" t="s">
        <v>132</v>
      </c>
      <c r="BG15" s="95" t="s">
        <v>131</v>
      </c>
      <c r="BH15" s="354">
        <f>B13</f>
        <v>2.7599999999999999E-8</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915734.55644479999</v>
      </c>
      <c r="CA15" s="95" t="s">
        <v>23</v>
      </c>
      <c r="CT15" s="95" t="s">
        <v>134</v>
      </c>
      <c r="CU15" s="354">
        <f>(CU5/(CU7*CU26*(1/CU10)*CU47))*CU11</f>
        <v>192.83069837997459</v>
      </c>
      <c r="CV15" s="95" t="s">
        <v>23</v>
      </c>
      <c r="CW15" s="95" t="s">
        <v>179</v>
      </c>
      <c r="CX15" s="95">
        <v>24</v>
      </c>
      <c r="CY15" s="95" t="s">
        <v>85</v>
      </c>
      <c r="CZ15" s="95" t="s">
        <v>256</v>
      </c>
      <c r="DA15" s="354">
        <f>DA5/(DA8*DA26*(DA48/DA49))</f>
        <v>6873073.3229818791</v>
      </c>
      <c r="DB15" s="95" t="s">
        <v>25</v>
      </c>
      <c r="DC15" s="95" t="s">
        <v>269</v>
      </c>
      <c r="DD15" s="95">
        <v>350</v>
      </c>
      <c r="DE15" s="95" t="s">
        <v>55</v>
      </c>
      <c r="DF15" s="95" t="s">
        <v>137</v>
      </c>
      <c r="DG15" s="95">
        <v>0.42</v>
      </c>
      <c r="DH15" s="95" t="s">
        <v>80</v>
      </c>
      <c r="DO15" s="95" t="s">
        <v>137</v>
      </c>
      <c r="DP15" s="95">
        <v>0.42</v>
      </c>
      <c r="DQ15" s="95" t="s">
        <v>80</v>
      </c>
      <c r="DR15" s="95" t="s">
        <v>248</v>
      </c>
      <c r="DS15" s="95">
        <v>40</v>
      </c>
      <c r="DT15" s="95" t="s">
        <v>129</v>
      </c>
      <c r="ED15" s="95" t="s">
        <v>58</v>
      </c>
      <c r="EE15" s="95">
        <v>92</v>
      </c>
      <c r="EF15" s="95" t="s">
        <v>59</v>
      </c>
      <c r="EG15" s="95" t="s">
        <v>248</v>
      </c>
      <c r="EH15" s="95">
        <v>40</v>
      </c>
      <c r="EI15" s="95" t="s">
        <v>129</v>
      </c>
      <c r="ES15" s="95" t="s">
        <v>60</v>
      </c>
      <c r="ET15" s="95">
        <v>53</v>
      </c>
      <c r="EU15" s="95" t="s">
        <v>59</v>
      </c>
      <c r="EV15" s="95" t="s">
        <v>248</v>
      </c>
      <c r="EW15" s="95">
        <v>40</v>
      </c>
      <c r="EX15" s="95" t="s">
        <v>129</v>
      </c>
      <c r="FH15" s="95" t="s">
        <v>297</v>
      </c>
      <c r="FI15" s="95">
        <v>0.4</v>
      </c>
      <c r="FJ15" s="95" t="s">
        <v>59</v>
      </c>
      <c r="FK15" s="95" t="s">
        <v>248</v>
      </c>
      <c r="FL15" s="95">
        <v>40</v>
      </c>
      <c r="FM15" s="95" t="s">
        <v>129</v>
      </c>
      <c r="FT15" s="95" t="s">
        <v>322</v>
      </c>
      <c r="FU15" s="354">
        <v>8.1999999999999993</v>
      </c>
      <c r="FW15" s="95" t="s">
        <v>300</v>
      </c>
      <c r="FX15" s="357">
        <v>1</v>
      </c>
      <c r="FY15" s="95" t="s">
        <v>59</v>
      </c>
      <c r="FZ15" s="95" t="s">
        <v>248</v>
      </c>
      <c r="GA15" s="95">
        <v>40</v>
      </c>
      <c r="GB15" s="95" t="s">
        <v>129</v>
      </c>
      <c r="GL15" s="95" t="s">
        <v>298</v>
      </c>
      <c r="GM15" s="95">
        <v>0.4</v>
      </c>
      <c r="GN15" s="95" t="s">
        <v>59</v>
      </c>
      <c r="GO15" s="95" t="s">
        <v>248</v>
      </c>
      <c r="GP15" s="95">
        <v>40</v>
      </c>
      <c r="GQ15" s="95" t="s">
        <v>129</v>
      </c>
      <c r="HA15" s="95" t="s">
        <v>299</v>
      </c>
      <c r="HB15" s="95">
        <v>11.4</v>
      </c>
      <c r="HC15" s="95" t="s">
        <v>59</v>
      </c>
    </row>
    <row r="16" spans="1:214" s="95" customFormat="1" ht="13.5" thickTop="1" x14ac:dyDescent="0.2">
      <c r="A16" s="95" t="s">
        <v>415</v>
      </c>
      <c r="B16" s="353">
        <v>1.34E-10</v>
      </c>
      <c r="C16" s="95" t="s">
        <v>64</v>
      </c>
      <c r="D16" s="95" t="s">
        <v>133</v>
      </c>
      <c r="E16" s="95">
        <v>6</v>
      </c>
      <c r="F16" s="95" t="s">
        <v>62</v>
      </c>
      <c r="G16" s="95" t="s">
        <v>82</v>
      </c>
      <c r="H16" s="373">
        <f>H29*H19*H32+H30*H20*H33</f>
        <v>115000</v>
      </c>
      <c r="I16" s="95" t="s">
        <v>444</v>
      </c>
      <c r="J16" s="366" t="s">
        <v>197</v>
      </c>
      <c r="K16" s="354">
        <f>(K5*K45*K12)/(K8*K44*((K39*K43*(1/K37))+(K40*K42*(1/K37)))*K32*(1/K46)*K33)</f>
        <v>0.10196531041240128</v>
      </c>
      <c r="L16" s="367" t="s">
        <v>23</v>
      </c>
      <c r="M16" s="95" t="s">
        <v>151</v>
      </c>
      <c r="N16" s="95">
        <v>16.416</v>
      </c>
      <c r="O16" s="95" t="s">
        <v>127</v>
      </c>
      <c r="P16" s="95" t="s">
        <v>151</v>
      </c>
      <c r="Q16" s="95">
        <v>16.416</v>
      </c>
      <c r="R16" s="95" t="s">
        <v>127</v>
      </c>
      <c r="S16" s="95" t="s">
        <v>151</v>
      </c>
      <c r="T16" s="95">
        <v>16.416</v>
      </c>
      <c r="U16" s="95" t="s">
        <v>127</v>
      </c>
      <c r="V16" s="374" t="s">
        <v>134</v>
      </c>
      <c r="W16" s="375">
        <f>(W5)/((W11/W12)*W8*W9*W10*W13)</f>
        <v>3.1633056544088571E-4</v>
      </c>
      <c r="X16" s="376" t="s">
        <v>37</v>
      </c>
      <c r="Y16" s="376" t="s">
        <v>134</v>
      </c>
      <c r="Z16" s="375">
        <f>(Z5)/((Z11/Z12)*Z8*Z9*Z10*Z13)</f>
        <v>2.8469750889679719E-4</v>
      </c>
      <c r="AA16" s="377" t="s">
        <v>37</v>
      </c>
      <c r="AB16" s="95" t="s">
        <v>141</v>
      </c>
      <c r="AC16" s="95">
        <v>100</v>
      </c>
      <c r="AD16" s="95">
        <v>50</v>
      </c>
      <c r="AE16" s="95">
        <v>100</v>
      </c>
      <c r="AF16" s="95">
        <v>330</v>
      </c>
      <c r="AG16" s="95">
        <v>330</v>
      </c>
      <c r="AI16" s="95" t="s">
        <v>151</v>
      </c>
      <c r="AJ16" s="95">
        <f>8/24</f>
        <v>0.33333333333333331</v>
      </c>
      <c r="AK16" s="95" t="s">
        <v>125</v>
      </c>
      <c r="AL16" s="95" t="s">
        <v>151</v>
      </c>
      <c r="AM16" s="95">
        <f>8/24</f>
        <v>0.33333333333333331</v>
      </c>
      <c r="AN16" s="95" t="s">
        <v>125</v>
      </c>
      <c r="AO16" s="95" t="s">
        <v>151</v>
      </c>
      <c r="AP16" s="95">
        <f>8/24</f>
        <v>0.33333333333333331</v>
      </c>
      <c r="AQ16" s="95" t="s">
        <v>125</v>
      </c>
      <c r="AR16" s="95" t="s">
        <v>151</v>
      </c>
      <c r="AS16" s="95">
        <v>0</v>
      </c>
      <c r="AT16" s="95" t="s">
        <v>125</v>
      </c>
      <c r="AU16" s="95" t="s">
        <v>151</v>
      </c>
      <c r="AV16" s="95">
        <v>0</v>
      </c>
      <c r="AW16" s="95" t="s">
        <v>125</v>
      </c>
      <c r="AX16" s="95" t="s">
        <v>151</v>
      </c>
      <c r="AY16" s="95">
        <v>0</v>
      </c>
      <c r="AZ16" s="95" t="s">
        <v>125</v>
      </c>
      <c r="BA16" s="95" t="s">
        <v>151</v>
      </c>
      <c r="BB16" s="95">
        <v>0</v>
      </c>
      <c r="BC16" s="95" t="s">
        <v>125</v>
      </c>
      <c r="BD16" s="95" t="s">
        <v>151</v>
      </c>
      <c r="BE16" s="95">
        <v>0</v>
      </c>
      <c r="BF16" s="95" t="s">
        <v>125</v>
      </c>
      <c r="BG16" s="95" t="s">
        <v>151</v>
      </c>
      <c r="BH16" s="95">
        <v>0</v>
      </c>
      <c r="BI16" s="95" t="s">
        <v>125</v>
      </c>
      <c r="BJ16" s="95" t="s">
        <v>131</v>
      </c>
      <c r="BK16" s="354">
        <f>B9</f>
        <v>2.7599999999999999E-8</v>
      </c>
      <c r="BL16" s="95" t="s">
        <v>132</v>
      </c>
      <c r="BM16" s="95" t="s">
        <v>131</v>
      </c>
      <c r="BN16" s="354">
        <f>B11</f>
        <v>8.6300000000000002E-12</v>
      </c>
      <c r="BO16" s="95" t="s">
        <v>132</v>
      </c>
      <c r="BP16" s="95" t="s">
        <v>131</v>
      </c>
      <c r="BQ16" s="354">
        <f>B13</f>
        <v>2.7599999999999999E-8</v>
      </c>
      <c r="BR16" s="95" t="s">
        <v>132</v>
      </c>
      <c r="BS16" s="95" t="s">
        <v>182</v>
      </c>
      <c r="BT16" s="95">
        <v>1</v>
      </c>
      <c r="BU16" s="95" t="s">
        <v>85</v>
      </c>
      <c r="BV16" s="95" t="s">
        <v>263</v>
      </c>
      <c r="BW16" s="360">
        <f>((BW18*BW21*BW23*BW26)+(BW19*BW22*BW24*BW27))</f>
        <v>1950</v>
      </c>
      <c r="BX16" s="95" t="s">
        <v>445</v>
      </c>
      <c r="BY16" s="95" t="s">
        <v>87</v>
      </c>
      <c r="BZ16" s="360">
        <f>(BZ18*BZ22*BZ27+BZ19*BZ23*BZ26)</f>
        <v>240000</v>
      </c>
      <c r="CA16" s="95" t="s">
        <v>443</v>
      </c>
      <c r="CB16" s="378" t="s">
        <v>8</v>
      </c>
      <c r="CC16" s="42" t="s">
        <v>431</v>
      </c>
      <c r="CD16" s="43" t="s">
        <v>0</v>
      </c>
      <c r="CE16" s="41" t="s">
        <v>8</v>
      </c>
      <c r="CF16" s="42" t="s">
        <v>200</v>
      </c>
      <c r="CG16" s="43" t="s">
        <v>0</v>
      </c>
      <c r="CK16" s="379" t="s">
        <v>8</v>
      </c>
      <c r="CL16" s="380" t="s">
        <v>332</v>
      </c>
      <c r="CM16" s="381" t="s">
        <v>0</v>
      </c>
      <c r="CN16" s="42" t="s">
        <v>8</v>
      </c>
      <c r="CO16" s="42" t="s">
        <v>332</v>
      </c>
      <c r="CP16" s="43" t="s">
        <v>0</v>
      </c>
      <c r="CQ16" s="41" t="s">
        <v>8</v>
      </c>
      <c r="CR16" s="42" t="s">
        <v>332</v>
      </c>
      <c r="CS16" s="43" t="s">
        <v>0</v>
      </c>
      <c r="CT16" s="95" t="s">
        <v>197</v>
      </c>
      <c r="CU16" s="382">
        <f>(CU5*CU45*CU12)/((1-EXP(-CU12*CU45))*CU8*CU32*(1/365)*CU33*((CU39*(1/24)*CU43)+(CU40*(1/24)*CU42))*CU44)</f>
        <v>1.4473630201496384</v>
      </c>
      <c r="CV16" s="95" t="s">
        <v>23</v>
      </c>
      <c r="CW16" s="95" t="s">
        <v>133</v>
      </c>
      <c r="CX16" s="95">
        <v>6</v>
      </c>
      <c r="CY16" s="95" t="s">
        <v>62</v>
      </c>
      <c r="CZ16" s="95" t="s">
        <v>277</v>
      </c>
      <c r="DA16" s="354">
        <f>DG3</f>
        <v>0.5512251151356129</v>
      </c>
      <c r="DB16" s="95" t="s">
        <v>25</v>
      </c>
      <c r="DC16" s="95" t="s">
        <v>246</v>
      </c>
      <c r="DD16" s="95">
        <v>6</v>
      </c>
      <c r="DE16" s="95" t="s">
        <v>129</v>
      </c>
      <c r="DF16" s="95" t="s">
        <v>143</v>
      </c>
      <c r="DG16" s="95">
        <f>DG20+(0.693/DG22)</f>
        <v>4.9504394977168943E-2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3.5" thickBot="1" x14ac:dyDescent="0.25">
      <c r="A17" s="95" t="s">
        <v>448</v>
      </c>
      <c r="B17" s="353">
        <v>432.2</v>
      </c>
      <c r="C17" s="95" t="s">
        <v>454</v>
      </c>
      <c r="D17" s="95" t="s">
        <v>138</v>
      </c>
      <c r="E17" s="95">
        <v>20</v>
      </c>
      <c r="F17" s="95" t="s">
        <v>62</v>
      </c>
      <c r="G17" s="95" t="s">
        <v>105</v>
      </c>
      <c r="H17" s="95">
        <f>B38</f>
        <v>0.78</v>
      </c>
      <c r="J17" s="368" t="s">
        <v>407</v>
      </c>
      <c r="K17" s="369">
        <f>K18/(K49+K50)</f>
        <v>0.24793122774515061</v>
      </c>
      <c r="L17" s="370" t="s">
        <v>23</v>
      </c>
      <c r="V17" s="383" t="s">
        <v>139</v>
      </c>
      <c r="W17" s="384">
        <f>(W5)/((W11/W12)*W8*W9*W14*(1/365))</f>
        <v>3333.333333333333</v>
      </c>
      <c r="X17" s="385" t="s">
        <v>37</v>
      </c>
      <c r="Y17" s="385" t="s">
        <v>139</v>
      </c>
      <c r="Z17" s="384">
        <f>(Z5)/((Z11/Z12)*Z8*Z9*Z14*(1/365))</f>
        <v>3000</v>
      </c>
      <c r="AA17" s="386" t="s">
        <v>37</v>
      </c>
      <c r="BS17" s="95" t="s">
        <v>133</v>
      </c>
      <c r="BT17" s="95">
        <v>6</v>
      </c>
      <c r="BU17" s="95" t="s">
        <v>62</v>
      </c>
      <c r="BV17" s="95" t="s">
        <v>145</v>
      </c>
      <c r="BW17" s="95">
        <v>0.5</v>
      </c>
      <c r="BX17" s="95" t="s">
        <v>146</v>
      </c>
      <c r="BY17" s="95" t="s">
        <v>82</v>
      </c>
      <c r="BZ17" s="360">
        <f>(BZ27*BZ24*BZ20*(BZ29/24))+(BZ26*BZ23*BZ21*(BZ30/24))</f>
        <v>1437.5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f>DJ3</f>
        <v>2.6952602950190408E-2</v>
      </c>
      <c r="CV17" s="95" t="s">
        <v>23</v>
      </c>
      <c r="CW17" s="95" t="s">
        <v>138</v>
      </c>
      <c r="CX17" s="95">
        <v>34</v>
      </c>
      <c r="CY17" s="95" t="s">
        <v>62</v>
      </c>
      <c r="CZ17" s="95" t="s">
        <v>262</v>
      </c>
      <c r="DA17" s="354">
        <f>DD3</f>
        <v>7.0346293699996964E-3</v>
      </c>
      <c r="DB17" s="95" t="s">
        <v>23</v>
      </c>
      <c r="DC17" s="95" t="s">
        <v>247</v>
      </c>
      <c r="DD17" s="95">
        <v>34</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164</v>
      </c>
      <c r="B18" s="353">
        <f>PEF!D3</f>
        <v>1359344473.5814338</v>
      </c>
      <c r="D18" s="95" t="s">
        <v>115</v>
      </c>
      <c r="E18" s="354">
        <f>B14</f>
        <v>5.84E-11</v>
      </c>
      <c r="F18" s="95" t="s">
        <v>116</v>
      </c>
      <c r="G18" s="95" t="s">
        <v>135</v>
      </c>
      <c r="H18" s="95">
        <f>B39</f>
        <v>2.5</v>
      </c>
      <c r="J18" s="95" t="s">
        <v>406</v>
      </c>
      <c r="K18" s="354">
        <f>K5/(K9*(K25+K28)*K38)</f>
        <v>6.4710050441484313E-2</v>
      </c>
      <c r="L18" s="95" t="s">
        <v>23</v>
      </c>
      <c r="M18" s="21" t="s">
        <v>13</v>
      </c>
      <c r="N18" s="22" t="s">
        <v>158</v>
      </c>
      <c r="O18" s="22" t="s">
        <v>0</v>
      </c>
      <c r="P18" s="23" t="s">
        <v>13</v>
      </c>
      <c r="Q18" s="22" t="s">
        <v>200</v>
      </c>
      <c r="R18" s="24" t="s">
        <v>0</v>
      </c>
      <c r="V18" s="374" t="s">
        <v>134</v>
      </c>
      <c r="W18" s="375">
        <f>(W5*W6*W9)/((W11/W12)*(1-EXP(-W6*W9))*W10*W13*W8*W9)</f>
        <v>3.2271307404945214E-4</v>
      </c>
      <c r="X18" s="376" t="s">
        <v>38</v>
      </c>
      <c r="Y18" s="376" t="s">
        <v>134</v>
      </c>
      <c r="Z18" s="375">
        <f>(Z5*Z6*Z9)/((Z11/Z12)*(1-EXP(-Z6*Z9))*Z10*Z13*Z8*Z9)</f>
        <v>2.90441766644507E-4</v>
      </c>
      <c r="AA18" s="377" t="s">
        <v>38</v>
      </c>
      <c r="AI18" s="33" t="s">
        <v>13</v>
      </c>
      <c r="AJ18" s="34" t="s">
        <v>158</v>
      </c>
      <c r="AK18" s="34" t="s">
        <v>0</v>
      </c>
      <c r="AL18" s="35" t="s">
        <v>13</v>
      </c>
      <c r="AM18" s="34" t="s">
        <v>200</v>
      </c>
      <c r="AN18" s="36" t="s">
        <v>0</v>
      </c>
      <c r="AR18" s="37" t="s">
        <v>13</v>
      </c>
      <c r="AS18" s="38" t="s">
        <v>158</v>
      </c>
      <c r="AT18" s="38" t="s">
        <v>0</v>
      </c>
      <c r="AU18" s="39" t="s">
        <v>13</v>
      </c>
      <c r="AV18" s="38" t="s">
        <v>200</v>
      </c>
      <c r="AW18" s="40" t="s">
        <v>0</v>
      </c>
      <c r="BA18" s="37" t="s">
        <v>13</v>
      </c>
      <c r="BB18" s="38" t="s">
        <v>158</v>
      </c>
      <c r="BC18" s="38" t="s">
        <v>0</v>
      </c>
      <c r="BD18" s="39" t="s">
        <v>13</v>
      </c>
      <c r="BE18" s="38" t="s">
        <v>200</v>
      </c>
      <c r="BF18" s="40" t="s">
        <v>0</v>
      </c>
      <c r="BJ18" s="37" t="s">
        <v>13</v>
      </c>
      <c r="BK18" s="38" t="s">
        <v>158</v>
      </c>
      <c r="BL18" s="38" t="s">
        <v>0</v>
      </c>
      <c r="BM18" s="39" t="s">
        <v>13</v>
      </c>
      <c r="BN18" s="38" t="s">
        <v>200</v>
      </c>
      <c r="BO18" s="40" t="s">
        <v>0</v>
      </c>
      <c r="BS18" s="95" t="s">
        <v>138</v>
      </c>
      <c r="BT18" s="95">
        <v>20</v>
      </c>
      <c r="BU18" s="95" t="s">
        <v>62</v>
      </c>
      <c r="BV18" s="95" t="s">
        <v>440</v>
      </c>
      <c r="BW18" s="362">
        <v>75</v>
      </c>
      <c r="BX18" s="95" t="s">
        <v>55</v>
      </c>
      <c r="BY18" s="95" t="s">
        <v>117</v>
      </c>
      <c r="BZ18" s="95">
        <f>B36</f>
        <v>200</v>
      </c>
      <c r="CA18" s="95" t="s">
        <v>96</v>
      </c>
      <c r="CB18" s="387" t="s">
        <v>39</v>
      </c>
      <c r="CC18" s="195">
        <f>(CC20*CC21*CC22)/((1-EXP(-CC22*CC21))*CC25*CC29*(CC24/365)*CC27*(CC28/24)*CC26)</f>
        <v>18424107.48595684</v>
      </c>
      <c r="CD18" s="129"/>
      <c r="CE18" s="126" t="s">
        <v>39</v>
      </c>
      <c r="CF18" s="195">
        <f>(CF20*CF21*CF22)/((1-EXP(-CF22*CF21))*CF25*CF29*(CF24/365)*CF27*(CF28/24)*CF26)</f>
        <v>1852113.6343829231</v>
      </c>
      <c r="CG18" s="129"/>
      <c r="CK18" s="388" t="s">
        <v>17</v>
      </c>
      <c r="CL18" s="195">
        <f>CL20/(CL21*CL22*CL23*CL24)</f>
        <v>3.8270187523918859</v>
      </c>
      <c r="CM18" s="389"/>
      <c r="CN18" s="127" t="s">
        <v>17</v>
      </c>
      <c r="CO18" s="195">
        <f>CL18/(CO20*((CO25*CO27*CO28*(CO21+CO22))+(CO26*CO27)))</f>
        <v>60988.346651663524</v>
      </c>
      <c r="CP18" s="129"/>
      <c r="CQ18" s="126" t="s">
        <v>17</v>
      </c>
      <c r="CR18" s="195">
        <f>CL18/(CR20*CR21*(1/CR22))</f>
        <v>76540375.047837719</v>
      </c>
      <c r="CS18" s="129"/>
      <c r="CT18" s="95" t="s">
        <v>406</v>
      </c>
      <c r="CU18" s="354">
        <f>DD3</f>
        <v>7.0346293699996964E-3</v>
      </c>
      <c r="CV18" s="95" t="s">
        <v>23</v>
      </c>
      <c r="CW18" s="95" t="s">
        <v>115</v>
      </c>
      <c r="CX18" s="354">
        <f>B14</f>
        <v>5.84E-11</v>
      </c>
      <c r="CY18" s="95" t="s">
        <v>116</v>
      </c>
      <c r="CZ18" s="95" t="s">
        <v>323</v>
      </c>
      <c r="DA18" s="354">
        <f>EZ3</f>
        <v>9346.7957238076651</v>
      </c>
      <c r="DC18" s="95" t="s">
        <v>248</v>
      </c>
      <c r="DD18" s="95">
        <v>40</v>
      </c>
      <c r="DE18" s="95" t="s">
        <v>129</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201</v>
      </c>
      <c r="B19" s="353">
        <f>PEF!G3</f>
        <v>773681.6396651821</v>
      </c>
      <c r="D19" s="95" t="s">
        <v>414</v>
      </c>
      <c r="E19" s="95">
        <v>1</v>
      </c>
      <c r="G19" s="95" t="s">
        <v>240</v>
      </c>
      <c r="H19" s="95">
        <f>B33</f>
        <v>10</v>
      </c>
      <c r="J19" s="95" t="s">
        <v>87</v>
      </c>
      <c r="K19" s="390">
        <f>K21*K31*K35+K22*K32*K34</f>
        <v>800000</v>
      </c>
      <c r="L19" s="95" t="s">
        <v>443</v>
      </c>
      <c r="M19" s="103" t="s">
        <v>33</v>
      </c>
      <c r="N19" s="104" t="s">
        <v>34</v>
      </c>
      <c r="O19" s="105" t="s">
        <v>162</v>
      </c>
      <c r="P19" s="106" t="s">
        <v>33</v>
      </c>
      <c r="Q19" s="104" t="s">
        <v>34</v>
      </c>
      <c r="R19" s="107" t="s">
        <v>23</v>
      </c>
      <c r="V19" s="383" t="s">
        <v>139</v>
      </c>
      <c r="W19" s="384">
        <f>(W5*W6*W9)/((W11/W12)*(1-EXP(-W6*W9))*W14*W8*W9*(1/365))</f>
        <v>3400.5890177961019</v>
      </c>
      <c r="X19" s="385" t="s">
        <v>38</v>
      </c>
      <c r="Y19" s="385" t="s">
        <v>139</v>
      </c>
      <c r="Z19" s="384">
        <f>(Z5*Z6*Z9)/((Z11/Z12)*(1-EXP(-Z6*Z9))*Z14*Z8*Z9*(1/365))</f>
        <v>3060.5301160164918</v>
      </c>
      <c r="AA19" s="386" t="s">
        <v>38</v>
      </c>
      <c r="AB19" s="95" t="s">
        <v>102</v>
      </c>
      <c r="AC19" s="95">
        <v>1</v>
      </c>
      <c r="AD19" s="95">
        <v>1</v>
      </c>
      <c r="AE19" s="95">
        <v>1</v>
      </c>
      <c r="AF19" s="95">
        <v>1</v>
      </c>
      <c r="AG19" s="95">
        <v>1</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5.84E-11</v>
      </c>
      <c r="BU19" s="95" t="s">
        <v>116</v>
      </c>
      <c r="BV19" s="95" t="s">
        <v>441</v>
      </c>
      <c r="BW19" s="95">
        <v>75</v>
      </c>
      <c r="BX19" s="95" t="s">
        <v>55</v>
      </c>
      <c r="BY19" s="95" t="s">
        <v>140</v>
      </c>
      <c r="BZ19" s="95">
        <f>B37</f>
        <v>100</v>
      </c>
      <c r="CA19" s="95" t="s">
        <v>96</v>
      </c>
      <c r="CB19" s="391"/>
      <c r="CC19" s="285"/>
      <c r="CD19" s="287"/>
      <c r="CE19" s="284"/>
      <c r="CF19" s="285"/>
      <c r="CG19" s="287"/>
      <c r="CK19" s="392"/>
      <c r="CL19" s="393"/>
      <c r="CM19" s="394"/>
      <c r="CN19" s="395"/>
      <c r="CO19" s="285"/>
      <c r="CP19" s="287"/>
      <c r="CQ19" s="284"/>
      <c r="CR19" s="285"/>
      <c r="CS19" s="287"/>
      <c r="CT19" s="95" t="s">
        <v>323</v>
      </c>
      <c r="CU19" s="382">
        <f>FC3</f>
        <v>51.215319034562548</v>
      </c>
      <c r="CV19" s="95" t="s">
        <v>23</v>
      </c>
      <c r="CW19" s="95" t="s">
        <v>414</v>
      </c>
      <c r="CX19" s="95">
        <v>1</v>
      </c>
      <c r="CZ19" s="95" t="s">
        <v>417</v>
      </c>
      <c r="DA19" s="354">
        <f>GS3</f>
        <v>4145.0723840112933</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202</v>
      </c>
      <c r="B20" s="353">
        <f>PEF!J3</f>
        <v>36055860.959050171</v>
      </c>
      <c r="D20" s="363" t="s">
        <v>134</v>
      </c>
      <c r="E20" s="364">
        <f>(E5*E9*E6)/((E14/E15)*E10*E11)</f>
        <v>7.430878206582686E-5</v>
      </c>
      <c r="F20" s="365" t="s">
        <v>37</v>
      </c>
      <c r="G20" s="95" t="s">
        <v>241</v>
      </c>
      <c r="H20" s="95">
        <f>B34</f>
        <v>20</v>
      </c>
      <c r="J20" s="95" t="s">
        <v>82</v>
      </c>
      <c r="K20" s="390">
        <f>(K35*K31*K23*(K36/24))+(K34*K32*K24*(K37/24))</f>
        <v>47916.666666666672</v>
      </c>
      <c r="L20" s="95" t="s">
        <v>149</v>
      </c>
      <c r="M20" s="103" t="s">
        <v>39</v>
      </c>
      <c r="N20" s="185">
        <f>(N22*N23*N24)/((1-EXP(-N24*N23))*N27*N32*(N26/365)*N30*(((N31/24)*N29)+((N33/24)*N28)))</f>
        <v>8.439487752862938</v>
      </c>
      <c r="O20" s="105"/>
      <c r="P20" s="106" t="s">
        <v>39</v>
      </c>
      <c r="Q20" s="185">
        <f>(Q22*Q23*Q24)/((1-EXP(-Q24*Q23))*Q27*Q32*(Q26/365)*Q30*(((Q31/24)*Q29)+((Q33/24)*Q28)))</f>
        <v>6.4113937967485883</v>
      </c>
      <c r="R20" s="107"/>
      <c r="AB20" s="95" t="s">
        <v>449</v>
      </c>
      <c r="AC20" s="95">
        <f>B35</f>
        <v>60</v>
      </c>
      <c r="AD20" s="95">
        <f>B35</f>
        <v>60</v>
      </c>
      <c r="AE20" s="95">
        <f>B35</f>
        <v>60</v>
      </c>
      <c r="AF20" s="95">
        <f>B35</f>
        <v>60</v>
      </c>
      <c r="AG20" s="95">
        <f>B35</f>
        <v>60</v>
      </c>
      <c r="AH20" s="95" t="s">
        <v>83</v>
      </c>
      <c r="AI20" s="116" t="s">
        <v>39</v>
      </c>
      <c r="AJ20" s="193">
        <f>(AJ22*AJ23*AJ24)/((1-EXP(-AJ24*AJ23))*AJ27*AJ32*(AJ26/365)*AJ30*((AJ31*AJ29)+(AJ33*AJ28)))</f>
        <v>1.2336486133337967</v>
      </c>
      <c r="AK20" s="118"/>
      <c r="AL20" s="119" t="s">
        <v>39</v>
      </c>
      <c r="AM20" s="193">
        <f>(AM22*AM23*AM24)/((1-EXP(-AM24*AM23))*AM27*AM32*(AM26/365)*AM30*((AM31*AM29)+(AM33*AM28)))</f>
        <v>0.93719041943187664</v>
      </c>
      <c r="AN20" s="120"/>
      <c r="AR20" s="121" t="s">
        <v>39</v>
      </c>
      <c r="AS20" s="194">
        <f>(AS22*AS23*AS24)/((1-EXP(-AS24*AS23))*AS27*AS32*(AS26/365)*AS30*((AS31*AS29)+(AS33*AS28)))</f>
        <v>10.132367277514916</v>
      </c>
      <c r="AT20" s="123"/>
      <c r="AU20" s="124" t="s">
        <v>39</v>
      </c>
      <c r="AV20" s="194">
        <f>(AV22*AV23*AV24)/((1-EXP(-AV24*AV23))*AV27*AV32*(AV26/365)*AV30*((AV31*AV29)+(AV33*AV28)))</f>
        <v>7.6974573116004805</v>
      </c>
      <c r="AW20" s="125"/>
      <c r="BA20" s="121" t="s">
        <v>39</v>
      </c>
      <c r="BB20" s="194">
        <f>(BB22*BB23*BB24)/((1-EXP(-BB24*BB23))*BB27*BB32*(BB26/365)*BB30*((BB31*BB29)+(BB33*BB28)))</f>
        <v>9.1191305497634261</v>
      </c>
      <c r="BC20" s="123"/>
      <c r="BD20" s="124" t="s">
        <v>39</v>
      </c>
      <c r="BE20" s="194">
        <f>(BE22*BE23*BE24)/((1-EXP(-BE24*BE23))*BE27*BE32*(BE26/365)*BE30*((BE31*BE29)+(BE33*BE28)))</f>
        <v>6.9277115804404312</v>
      </c>
      <c r="BF20" s="125"/>
      <c r="BJ20" s="121" t="s">
        <v>39</v>
      </c>
      <c r="BK20" s="194">
        <f>(BK22*BK23*BK24)/((1-EXP(-BK24*BK23))*BK29*BK34*(BK26/365)*BK32*BK33*BK31)</f>
        <v>17608323.066198256</v>
      </c>
      <c r="BL20" s="123"/>
      <c r="BM20" s="124" t="s">
        <v>39</v>
      </c>
      <c r="BN20" s="194">
        <f>(BN22*BN23*BN24)/((1-EXP(-BN24*BN23))*BN29*BN34*(BN26/365)*BN32*BN33*BN31)</f>
        <v>1770105.5670882834</v>
      </c>
      <c r="BO20" s="125"/>
      <c r="BS20" s="95" t="s">
        <v>414</v>
      </c>
      <c r="BT20" s="95">
        <v>1</v>
      </c>
      <c r="BV20" s="95" t="s">
        <v>108</v>
      </c>
      <c r="BW20" s="95">
        <v>26</v>
      </c>
      <c r="BX20" s="95" t="s">
        <v>129</v>
      </c>
      <c r="BY20" s="95" t="s">
        <v>240</v>
      </c>
      <c r="BZ20" s="95">
        <f>B33</f>
        <v>10</v>
      </c>
      <c r="CA20" s="95" t="s">
        <v>83</v>
      </c>
      <c r="CB20" s="95" t="s">
        <v>46</v>
      </c>
      <c r="CC20" s="354">
        <v>9.9999999999999995E-7</v>
      </c>
      <c r="CE20" s="95" t="s">
        <v>46</v>
      </c>
      <c r="CF20" s="354">
        <v>9.9999999999999995E-7</v>
      </c>
      <c r="CK20" s="95" t="s">
        <v>46</v>
      </c>
      <c r="CL20" s="354">
        <v>9.9999999999999995E-7</v>
      </c>
      <c r="CM20" s="355"/>
      <c r="CN20" s="95" t="s">
        <v>433</v>
      </c>
      <c r="CO20" s="354">
        <f>B28</f>
        <v>5.0000000000000002E-5</v>
      </c>
      <c r="CQ20" s="95" t="s">
        <v>433</v>
      </c>
      <c r="CR20" s="354">
        <f>CO20</f>
        <v>5.0000000000000002E-5</v>
      </c>
      <c r="CT20" s="95" t="s">
        <v>417</v>
      </c>
      <c r="CU20" s="382">
        <f>GV3</f>
        <v>30.126761350161775</v>
      </c>
      <c r="CV20" s="95" t="s">
        <v>23</v>
      </c>
      <c r="CW20" s="95" t="s">
        <v>134</v>
      </c>
      <c r="CX20" s="354">
        <f>(CX5)/((CX14/CX15)*CX10*CX11)</f>
        <v>1.3740227263358935E-4</v>
      </c>
      <c r="CY20" s="95" t="s">
        <v>37</v>
      </c>
      <c r="CZ20" s="95" t="s">
        <v>326</v>
      </c>
      <c r="DA20" s="354">
        <f>EK3</f>
        <v>1.6926792434280273</v>
      </c>
      <c r="DD20" s="354">
        <v>1000</v>
      </c>
      <c r="DE20" s="95" t="s">
        <v>195</v>
      </c>
      <c r="DF20" s="95" t="s">
        <v>154</v>
      </c>
      <c r="DG20" s="354">
        <f>0.693/DG23</f>
        <v>4.3949771689497717E-6</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448</v>
      </c>
      <c r="B21" s="353">
        <v>157680</v>
      </c>
      <c r="C21" s="95" t="s">
        <v>416</v>
      </c>
      <c r="D21" s="368" t="s">
        <v>139</v>
      </c>
      <c r="E21" s="369">
        <f>(E5)/((E14/E15)*E8*E9*E18*(1/365)*E19)</f>
        <v>2307.6923076923076</v>
      </c>
      <c r="F21" s="370" t="s">
        <v>37</v>
      </c>
      <c r="G21" s="95" t="s">
        <v>263</v>
      </c>
      <c r="H21" s="396">
        <f>(H29*H32*H38*H34)+(H30*H33*H39*H35)</f>
        <v>4360</v>
      </c>
      <c r="I21" s="95" t="s">
        <v>445</v>
      </c>
      <c r="J21" s="95" t="s">
        <v>117</v>
      </c>
      <c r="K21" s="95">
        <f>B36</f>
        <v>200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2.4756305121460619E-2</v>
      </c>
      <c r="BU21" s="95" t="s">
        <v>37</v>
      </c>
      <c r="BV21" s="95" t="s">
        <v>439</v>
      </c>
      <c r="BW21" s="95">
        <v>6</v>
      </c>
      <c r="BY21" s="95" t="s">
        <v>241</v>
      </c>
      <c r="BZ21" s="95">
        <f>B34</f>
        <v>20</v>
      </c>
      <c r="CA21" s="95" t="s">
        <v>83</v>
      </c>
      <c r="CB21" s="95" t="s">
        <v>61</v>
      </c>
      <c r="CC21" s="95">
        <v>26</v>
      </c>
      <c r="CD21" s="95" t="s">
        <v>62</v>
      </c>
      <c r="CE21" s="95" t="s">
        <v>61</v>
      </c>
      <c r="CF21" s="95">
        <v>26</v>
      </c>
      <c r="CG21" s="95" t="s">
        <v>62</v>
      </c>
      <c r="CK21" s="95" t="s">
        <v>415</v>
      </c>
      <c r="CL21" s="354">
        <f>E33</f>
        <v>1.34E-10</v>
      </c>
      <c r="CM21" s="95" t="s">
        <v>23</v>
      </c>
      <c r="CN21" s="95" t="s">
        <v>50</v>
      </c>
      <c r="CO21" s="95">
        <f>CO23</f>
        <v>5.0000000000000001E-3</v>
      </c>
      <c r="CQ21" s="95" t="s">
        <v>346</v>
      </c>
      <c r="CR21" s="357">
        <v>1</v>
      </c>
      <c r="CS21" s="95" t="s">
        <v>59</v>
      </c>
      <c r="CT21" s="95" t="s">
        <v>326</v>
      </c>
      <c r="CU21" s="382">
        <f>EN3</f>
        <v>26.45318233201688</v>
      </c>
      <c r="CV21" s="95" t="s">
        <v>23</v>
      </c>
      <c r="CW21" s="95" t="s">
        <v>139</v>
      </c>
      <c r="CX21" s="354">
        <f>(CX5)/((CX14/CX15)*CX8*CX9*CX18*(1/365)*CX19)</f>
        <v>446.42857142857139</v>
      </c>
      <c r="CY21" s="95" t="s">
        <v>37</v>
      </c>
      <c r="CZ21" s="95" t="s">
        <v>418</v>
      </c>
      <c r="DA21" s="354">
        <f>DV3</f>
        <v>5.1626225696427657</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0</v>
      </c>
      <c r="HF21" s="94" t="s">
        <v>159</v>
      </c>
    </row>
    <row r="22" spans="1:214" s="95" customFormat="1" ht="13.5" thickTop="1" x14ac:dyDescent="0.2">
      <c r="A22" s="95" t="s">
        <v>203</v>
      </c>
      <c r="B22" s="397">
        <v>30</v>
      </c>
      <c r="C22" s="95" t="s">
        <v>48</v>
      </c>
      <c r="D22" s="363" t="s">
        <v>134</v>
      </c>
      <c r="E22" s="364">
        <f>(E5*E9*E6)/((1-EXP(-E6*E9))*E10*E11)</f>
        <v>7.5827771141889473E-4</v>
      </c>
      <c r="F22" s="365" t="s">
        <v>38</v>
      </c>
      <c r="G22" s="95" t="s">
        <v>403</v>
      </c>
      <c r="H22" s="360">
        <f>(H29*H32*H23)+(H30*H33*H24)</f>
        <v>303200</v>
      </c>
      <c r="I22" s="95" t="s">
        <v>230</v>
      </c>
      <c r="J22" s="95" t="s">
        <v>140</v>
      </c>
      <c r="K22" s="95">
        <f>B37</f>
        <v>100</v>
      </c>
      <c r="L22" s="95" t="s">
        <v>96</v>
      </c>
      <c r="M22" s="95" t="s">
        <v>46</v>
      </c>
      <c r="N22" s="354">
        <v>9.9999999999999995E-7</v>
      </c>
      <c r="P22" s="95" t="s">
        <v>46</v>
      </c>
      <c r="Q22" s="354">
        <v>9.9999999999999995E-7</v>
      </c>
      <c r="V22" s="25" t="s">
        <v>1</v>
      </c>
      <c r="W22" s="26" t="s">
        <v>5</v>
      </c>
      <c r="X22" s="26" t="s">
        <v>0</v>
      </c>
      <c r="Y22" s="27" t="s">
        <v>1</v>
      </c>
      <c r="Z22" s="26" t="s">
        <v>239</v>
      </c>
      <c r="AA22" s="28" t="s">
        <v>0</v>
      </c>
      <c r="AB22" s="95" t="s">
        <v>113</v>
      </c>
      <c r="AC22" s="95">
        <v>1</v>
      </c>
      <c r="AD22" s="95">
        <v>1</v>
      </c>
      <c r="AE22" s="95">
        <v>1</v>
      </c>
      <c r="AF22" s="95">
        <v>1</v>
      </c>
      <c r="AG22" s="95">
        <v>1</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(BT5)/((BT14/24)*(BT8/365)*BT9*BT19*BT20)</f>
        <v>76923.076923076922</v>
      </c>
      <c r="BU22" s="95" t="s">
        <v>37</v>
      </c>
      <c r="BV22" s="95" t="s">
        <v>438</v>
      </c>
      <c r="BW22" s="95">
        <f>BW20-BW21</f>
        <v>20</v>
      </c>
      <c r="BY22" s="95" t="s">
        <v>238</v>
      </c>
      <c r="BZ22" s="95">
        <v>75</v>
      </c>
      <c r="CA22" s="95" t="s">
        <v>55</v>
      </c>
      <c r="CB22" s="95" t="s">
        <v>52</v>
      </c>
      <c r="CC22" s="354">
        <f>0.693/CC23</f>
        <v>1.6034243405830633E-3</v>
      </c>
      <c r="CE22" s="95" t="s">
        <v>52</v>
      </c>
      <c r="CF22" s="354">
        <f>0.693/CF23</f>
        <v>1.6034243405830633E-3</v>
      </c>
      <c r="CK22" s="95" t="s">
        <v>238</v>
      </c>
      <c r="CL22" s="95">
        <v>75</v>
      </c>
      <c r="CM22" s="95" t="s">
        <v>268</v>
      </c>
      <c r="CN22" s="95" t="s">
        <v>57</v>
      </c>
      <c r="CO22" s="95">
        <f>CO24</f>
        <v>0.25</v>
      </c>
      <c r="CR22" s="95">
        <v>1000</v>
      </c>
      <c r="CS22" s="95" t="s">
        <v>230</v>
      </c>
      <c r="CT22" s="95" t="s">
        <v>418</v>
      </c>
      <c r="CU22" s="382">
        <f>DY3</f>
        <v>100.63804987967677</v>
      </c>
      <c r="CV22" s="95" t="s">
        <v>23</v>
      </c>
      <c r="CW22" s="95" t="s">
        <v>134</v>
      </c>
      <c r="CX22" s="354">
        <f>(CX5*CX9*CX6)/((CX14/CX15)*(1-EXP(-CX6*CX9))*CX10*CX11)</f>
        <v>1.4185565331495991E-4</v>
      </c>
      <c r="CY22" s="95" t="s">
        <v>38</v>
      </c>
      <c r="CZ22" s="95" t="s">
        <v>324</v>
      </c>
      <c r="DA22" s="354">
        <f>GD3</f>
        <v>2032.2856583393952</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458</v>
      </c>
      <c r="B23" s="353">
        <v>1.9999999999999999E-6</v>
      </c>
      <c r="D23" s="368" t="s">
        <v>139</v>
      </c>
      <c r="E23" s="369">
        <f>(E5*E9*E6)/((E14/E15)*E8*E9*(1-EXP(-E6*E9))*E18*(1/365)*E19)</f>
        <v>2356.1292542789988</v>
      </c>
      <c r="F23" s="370" t="s">
        <v>38</v>
      </c>
      <c r="G23" s="95" t="s">
        <v>404</v>
      </c>
      <c r="H23" s="354">
        <f>B40</f>
        <v>14.8</v>
      </c>
      <c r="I23" s="95" t="s">
        <v>413</v>
      </c>
      <c r="J23" s="95" t="s">
        <v>240</v>
      </c>
      <c r="K23" s="95">
        <f>B33</f>
        <v>10</v>
      </c>
      <c r="L23" s="95" t="s">
        <v>83</v>
      </c>
      <c r="M23" s="95" t="s">
        <v>61</v>
      </c>
      <c r="N23" s="95">
        <v>26</v>
      </c>
      <c r="O23" s="95" t="s">
        <v>62</v>
      </c>
      <c r="P23" s="95" t="s">
        <v>61</v>
      </c>
      <c r="Q23" s="95">
        <v>26</v>
      </c>
      <c r="R23" s="95" t="s">
        <v>62</v>
      </c>
      <c r="V23" s="108" t="s">
        <v>19</v>
      </c>
      <c r="W23" s="109" t="s">
        <v>17</v>
      </c>
      <c r="X23" s="109" t="s">
        <v>20</v>
      </c>
      <c r="Y23" s="110" t="s">
        <v>19</v>
      </c>
      <c r="Z23" s="109" t="s">
        <v>17</v>
      </c>
      <c r="AA23" s="111" t="s">
        <v>20</v>
      </c>
      <c r="AB23" s="95" t="s">
        <v>131</v>
      </c>
      <c r="AC23" s="354">
        <f>B9</f>
        <v>2.7599999999999999E-8</v>
      </c>
      <c r="AD23" s="354">
        <f>B9</f>
        <v>2.7599999999999999E-8</v>
      </c>
      <c r="AE23" s="354">
        <f>B9</f>
        <v>2.7599999999999999E-8</v>
      </c>
      <c r="AF23" s="354">
        <f>B9</f>
        <v>2.7599999999999999E-8</v>
      </c>
      <c r="AG23" s="354">
        <f>B9</f>
        <v>2.7599999999999999E-8</v>
      </c>
      <c r="AH23" s="95" t="s">
        <v>163</v>
      </c>
      <c r="AI23" s="95" t="s">
        <v>61</v>
      </c>
      <c r="AJ23" s="95">
        <v>25</v>
      </c>
      <c r="AK23" s="95" t="s">
        <v>62</v>
      </c>
      <c r="AL23" s="95" t="s">
        <v>61</v>
      </c>
      <c r="AM23" s="95">
        <v>25</v>
      </c>
      <c r="AN23" s="95" t="s">
        <v>62</v>
      </c>
      <c r="AR23" s="95" t="s">
        <v>61</v>
      </c>
      <c r="AS23" s="95">
        <v>25</v>
      </c>
      <c r="AT23" s="95" t="s">
        <v>62</v>
      </c>
      <c r="AU23" s="95" t="s">
        <v>61</v>
      </c>
      <c r="AV23" s="95">
        <v>25</v>
      </c>
      <c r="AW23" s="95" t="s">
        <v>62</v>
      </c>
      <c r="BA23" s="95" t="s">
        <v>61</v>
      </c>
      <c r="BB23" s="95">
        <v>25</v>
      </c>
      <c r="BC23" s="95" t="s">
        <v>62</v>
      </c>
      <c r="BD23" s="95" t="s">
        <v>61</v>
      </c>
      <c r="BE23" s="95">
        <v>25</v>
      </c>
      <c r="BF23" s="95" t="s">
        <v>62</v>
      </c>
      <c r="BJ23" s="95" t="s">
        <v>61</v>
      </c>
      <c r="BK23" s="95">
        <v>1</v>
      </c>
      <c r="BL23" s="95" t="s">
        <v>62</v>
      </c>
      <c r="BM23" s="95" t="s">
        <v>61</v>
      </c>
      <c r="BN23" s="95">
        <v>1</v>
      </c>
      <c r="BO23" s="95" t="s">
        <v>62</v>
      </c>
      <c r="BS23" s="95" t="s">
        <v>134</v>
      </c>
      <c r="BT23" s="354">
        <f>(BT5*BT28*BT6)/((1-EXP(-BT6*BT28))*BT10*BT11)</f>
        <v>2.5275923713963162E-2</v>
      </c>
      <c r="BU23" s="95" t="s">
        <v>38</v>
      </c>
      <c r="BV23" s="95" t="s">
        <v>436</v>
      </c>
      <c r="BW23" s="95">
        <v>1</v>
      </c>
      <c r="BX23" s="95" t="s">
        <v>180</v>
      </c>
      <c r="BY23" s="95" t="s">
        <v>78</v>
      </c>
      <c r="BZ23" s="95">
        <v>75</v>
      </c>
      <c r="CA23" s="95" t="s">
        <v>55</v>
      </c>
      <c r="CB23" s="95" t="s">
        <v>448</v>
      </c>
      <c r="CC23" s="354">
        <f>B17</f>
        <v>432.2</v>
      </c>
      <c r="CD23" s="95" t="s">
        <v>129</v>
      </c>
      <c r="CE23" s="95" t="s">
        <v>448</v>
      </c>
      <c r="CF23" s="354">
        <f>B17</f>
        <v>432.2</v>
      </c>
      <c r="CG23" s="95" t="s">
        <v>129</v>
      </c>
      <c r="CK23" s="95" t="s">
        <v>107</v>
      </c>
      <c r="CL23" s="95">
        <v>26</v>
      </c>
      <c r="CM23" s="95" t="s">
        <v>276</v>
      </c>
      <c r="CN23" s="95" t="s">
        <v>67</v>
      </c>
      <c r="CO23" s="354">
        <f>B31</f>
        <v>5.0000000000000001E-3</v>
      </c>
      <c r="CT23" s="95" t="s">
        <v>324</v>
      </c>
      <c r="CU23" s="382">
        <f>GG3</f>
        <v>14.24655335983876</v>
      </c>
      <c r="CV23" s="95" t="s">
        <v>23</v>
      </c>
      <c r="CW23" s="95" t="s">
        <v>139</v>
      </c>
      <c r="CX23" s="354">
        <f>(CX5*CX9*CX6)/((CX14/CX15)*CX8*CX9*(1-EXP(-CX6*CX9))*CX18*(1/365)*CX19)</f>
        <v>460.89788359863689</v>
      </c>
      <c r="CY23" s="95" t="s">
        <v>38</v>
      </c>
      <c r="CZ23" s="95" t="s">
        <v>325</v>
      </c>
      <c r="DA23" s="354">
        <f>FO3</f>
        <v>0.16258285266715164</v>
      </c>
      <c r="DF23" s="95" t="s">
        <v>46</v>
      </c>
      <c r="DG23" s="354">
        <f>B21</f>
        <v>157680</v>
      </c>
      <c r="DH23" s="95" t="s">
        <v>416</v>
      </c>
      <c r="DO23" s="95" t="s">
        <v>49</v>
      </c>
      <c r="DP23" s="95">
        <f>DP25</f>
        <v>1E-3</v>
      </c>
      <c r="ED23" s="95" t="s">
        <v>49</v>
      </c>
      <c r="EE23" s="95">
        <f>EE25</f>
        <v>5.0000000000000001E-3</v>
      </c>
      <c r="ES23" s="95" t="s">
        <v>49</v>
      </c>
      <c r="ET23" s="95">
        <f>ET25</f>
        <v>5.0000000000000001E-3</v>
      </c>
      <c r="FH23" s="95" t="s">
        <v>49</v>
      </c>
      <c r="FI23" s="95">
        <v>0.2</v>
      </c>
      <c r="FW23" s="95" t="s">
        <v>49</v>
      </c>
      <c r="FX23" s="95">
        <f>FX25</f>
        <v>5.0000000000000001E-3</v>
      </c>
      <c r="GL23" s="95" t="s">
        <v>49</v>
      </c>
      <c r="GM23" s="95">
        <f>GM25</f>
        <v>5.0000000000000001E-3</v>
      </c>
      <c r="HA23" s="95" t="s">
        <v>49</v>
      </c>
      <c r="HB23" s="95">
        <f>HB25</f>
        <v>5.0000000000000001E-3</v>
      </c>
      <c r="HD23" s="247">
        <f>(HE25*HE33*HE38*HE32*10^-3*HE31*HE27)/(HE30*HE41*(1-EXP(-HE27*HE31)))</f>
        <v>0.42864511621485496</v>
      </c>
      <c r="HE23" s="248"/>
      <c r="HF23" s="180" t="s">
        <v>40</v>
      </c>
    </row>
    <row r="24" spans="1:214" s="95" customFormat="1" ht="13.5" thickBot="1" x14ac:dyDescent="0.25">
      <c r="A24" s="95" t="s">
        <v>455</v>
      </c>
      <c r="B24" s="353">
        <v>5.0000000000000002E-5</v>
      </c>
      <c r="D24" s="95" t="s">
        <v>244</v>
      </c>
      <c r="E24" s="95">
        <v>250</v>
      </c>
      <c r="F24" s="95" t="s">
        <v>55</v>
      </c>
      <c r="G24" s="95" t="s">
        <v>405</v>
      </c>
      <c r="H24" s="354">
        <f>B41</f>
        <v>56.2</v>
      </c>
      <c r="I24" s="95" t="s">
        <v>413</v>
      </c>
      <c r="J24" s="95" t="s">
        <v>241</v>
      </c>
      <c r="K24" s="95">
        <f>B34</f>
        <v>20</v>
      </c>
      <c r="L24" s="95" t="s">
        <v>83</v>
      </c>
      <c r="M24" s="95" t="s">
        <v>52</v>
      </c>
      <c r="N24" s="354">
        <f>0.693/N25</f>
        <v>1.6034243405830633E-3</v>
      </c>
      <c r="P24" s="95" t="s">
        <v>52</v>
      </c>
      <c r="Q24" s="354">
        <f>0.693/Q25</f>
        <v>1.6034243405830633E-3</v>
      </c>
      <c r="V24" s="108" t="s">
        <v>38</v>
      </c>
      <c r="W24" s="186">
        <f>1/((1/W39)+(1/W40))</f>
        <v>2.904417390818271E-4</v>
      </c>
      <c r="X24" s="187"/>
      <c r="Y24" s="188" t="s">
        <v>38</v>
      </c>
      <c r="Z24" s="186">
        <f>1/((1/Z37)+(1/Z38))</f>
        <v>7.1231447077757925E-3</v>
      </c>
      <c r="AA24" s="189"/>
      <c r="AB24" s="95" t="s">
        <v>75</v>
      </c>
      <c r="AC24" s="354">
        <f>B5</f>
        <v>2.81E-8</v>
      </c>
      <c r="AD24" s="354">
        <f>B5</f>
        <v>2.81E-8</v>
      </c>
      <c r="AE24" s="354">
        <f>B5</f>
        <v>2.81E-8</v>
      </c>
      <c r="AF24" s="354">
        <f>B5</f>
        <v>2.81E-8</v>
      </c>
      <c r="AG24" s="354">
        <f>B5</f>
        <v>2.81E-8</v>
      </c>
      <c r="AH24" s="95" t="s">
        <v>64</v>
      </c>
      <c r="AI24" s="95" t="s">
        <v>52</v>
      </c>
      <c r="AJ24" s="354">
        <f>0.693/AJ25</f>
        <v>1.6034243405830633E-3</v>
      </c>
      <c r="AL24" s="95" t="s">
        <v>52</v>
      </c>
      <c r="AM24" s="354">
        <f>0.693/AM25</f>
        <v>1.6034243405830633E-3</v>
      </c>
      <c r="AR24" s="95" t="s">
        <v>52</v>
      </c>
      <c r="AS24" s="354">
        <f>0.693/AS25</f>
        <v>1.6034243405830633E-3</v>
      </c>
      <c r="AU24" s="95" t="s">
        <v>52</v>
      </c>
      <c r="AV24" s="354">
        <f>0.693/AV25</f>
        <v>1.6034243405830633E-3</v>
      </c>
      <c r="BA24" s="95" t="s">
        <v>52</v>
      </c>
      <c r="BB24" s="354">
        <f>0.693/BB25</f>
        <v>1.6034243405830633E-3</v>
      </c>
      <c r="BD24" s="95" t="s">
        <v>52</v>
      </c>
      <c r="BE24" s="354">
        <f>0.693/BE25</f>
        <v>1.6034243405830633E-3</v>
      </c>
      <c r="BJ24" s="95" t="s">
        <v>52</v>
      </c>
      <c r="BK24" s="354">
        <f>0.693/BK25</f>
        <v>1.6034243405830633E-3</v>
      </c>
      <c r="BM24" s="95" t="s">
        <v>52</v>
      </c>
      <c r="BN24" s="354">
        <f>0.693/BN25</f>
        <v>1.6034243405830633E-3</v>
      </c>
      <c r="BS24" s="95" t="s">
        <v>139</v>
      </c>
      <c r="BT24" s="354">
        <f>(BT5*BT28*BT6)/((BT14/24)*(BT8/365)*BT9*(1-EXP(-BT6*BT28))*BT19*BT20)</f>
        <v>78537.641809299967</v>
      </c>
      <c r="BU24" s="95" t="s">
        <v>38</v>
      </c>
      <c r="BV24" s="95" t="s">
        <v>435</v>
      </c>
      <c r="BW24" s="95">
        <v>1</v>
      </c>
      <c r="BX24" s="95" t="s">
        <v>180</v>
      </c>
      <c r="BY24" s="95" t="s">
        <v>70</v>
      </c>
      <c r="BZ24" s="95">
        <v>75</v>
      </c>
      <c r="CA24" s="95" t="s">
        <v>55</v>
      </c>
      <c r="CB24" s="95" t="s">
        <v>54</v>
      </c>
      <c r="CC24" s="95">
        <v>75</v>
      </c>
      <c r="CD24" s="95" t="s">
        <v>63</v>
      </c>
      <c r="CE24" s="95" t="s">
        <v>54</v>
      </c>
      <c r="CF24" s="95">
        <v>75</v>
      </c>
      <c r="CG24" s="95" t="s">
        <v>63</v>
      </c>
      <c r="CK24" s="95" t="s">
        <v>334</v>
      </c>
      <c r="CL24" s="357">
        <v>1</v>
      </c>
      <c r="CM24" s="95" t="s">
        <v>413</v>
      </c>
      <c r="CN24" s="95" t="s">
        <v>341</v>
      </c>
      <c r="CO24" s="357">
        <v>0.25</v>
      </c>
      <c r="CT24" s="95" t="s">
        <v>325</v>
      </c>
      <c r="CU24" s="354">
        <f>FR3</f>
        <v>1.3331793918706434E-3</v>
      </c>
      <c r="CV24" s="95" t="s">
        <v>23</v>
      </c>
      <c r="CW24" s="95" t="s">
        <v>244</v>
      </c>
      <c r="CX24" s="95">
        <v>350</v>
      </c>
      <c r="CY24" s="95" t="s">
        <v>55</v>
      </c>
      <c r="CZ24" s="95" t="s">
        <v>86</v>
      </c>
      <c r="DA24" s="360">
        <f>(DA35*DA37*DA27)+(DA36*DA38*DA28)</f>
        <v>31388</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1.7651753553877068E-2</v>
      </c>
      <c r="HE24" s="351"/>
      <c r="HF24" s="352" t="s">
        <v>45</v>
      </c>
    </row>
    <row r="25" spans="1:214" s="95" customFormat="1" ht="14.25" thickTop="1" thickBot="1" x14ac:dyDescent="0.25">
      <c r="A25" s="95" t="s">
        <v>456</v>
      </c>
      <c r="B25" s="353">
        <v>6.0000000000000001E-3</v>
      </c>
      <c r="D25" s="95" t="s">
        <v>245</v>
      </c>
      <c r="E25" s="95">
        <v>250</v>
      </c>
      <c r="F25" s="95" t="s">
        <v>55</v>
      </c>
      <c r="G25" s="95" t="s">
        <v>402</v>
      </c>
      <c r="H25" s="360">
        <f>(H29*H32*H26)+(H30*H33*H27)</f>
        <v>158100</v>
      </c>
      <c r="I25" s="95" t="s">
        <v>230</v>
      </c>
      <c r="J25" s="95" t="s">
        <v>403</v>
      </c>
      <c r="K25" s="360">
        <f>(K31*K35*K26)+(K32*K34*K27)</f>
        <v>303200</v>
      </c>
      <c r="L25" s="95" t="s">
        <v>230</v>
      </c>
      <c r="M25" s="95" t="s">
        <v>448</v>
      </c>
      <c r="N25" s="354">
        <f>B17</f>
        <v>432.2</v>
      </c>
      <c r="O25" s="95" t="s">
        <v>129</v>
      </c>
      <c r="P25" s="95" t="s">
        <v>448</v>
      </c>
      <c r="Q25" s="354">
        <f>B17</f>
        <v>432.2</v>
      </c>
      <c r="R25" s="95" t="s">
        <v>129</v>
      </c>
      <c r="V25" s="263" t="s">
        <v>37</v>
      </c>
      <c r="W25" s="264">
        <f>1/((1/W37)+(1/W38))</f>
        <v>2.8469748187924255E-4</v>
      </c>
      <c r="X25" s="265"/>
      <c r="Y25" s="266" t="s">
        <v>37</v>
      </c>
      <c r="Z25" s="398">
        <f>1/((1/Z39)+(1/Z40))</f>
        <v>7.117437046981063E-3</v>
      </c>
      <c r="AA25" s="267"/>
      <c r="AC25" s="354"/>
      <c r="AD25" s="354"/>
      <c r="AE25" s="354"/>
      <c r="AI25" s="95" t="s">
        <v>448</v>
      </c>
      <c r="AJ25" s="354">
        <f>B17</f>
        <v>432.2</v>
      </c>
      <c r="AK25" s="95" t="s">
        <v>129</v>
      </c>
      <c r="AL25" s="95" t="s">
        <v>448</v>
      </c>
      <c r="AM25" s="354">
        <f>B17</f>
        <v>432.2</v>
      </c>
      <c r="AN25" s="95" t="s">
        <v>129</v>
      </c>
      <c r="AR25" s="95" t="s">
        <v>448</v>
      </c>
      <c r="AS25" s="354">
        <f>B17</f>
        <v>432.2</v>
      </c>
      <c r="AT25" s="95" t="s">
        <v>129</v>
      </c>
      <c r="AU25" s="95" t="s">
        <v>448</v>
      </c>
      <c r="AV25" s="354">
        <f>B17</f>
        <v>432.2</v>
      </c>
      <c r="AW25" s="95" t="s">
        <v>129</v>
      </c>
      <c r="BA25" s="95" t="s">
        <v>448</v>
      </c>
      <c r="BB25" s="354">
        <f>B17</f>
        <v>432.2</v>
      </c>
      <c r="BC25" s="95" t="s">
        <v>129</v>
      </c>
      <c r="BD25" s="95" t="s">
        <v>448</v>
      </c>
      <c r="BE25" s="354">
        <f>B17</f>
        <v>432.2</v>
      </c>
      <c r="BF25" s="95" t="s">
        <v>129</v>
      </c>
      <c r="BJ25" s="95" t="s">
        <v>448</v>
      </c>
      <c r="BK25" s="354">
        <f>B17</f>
        <v>432.2</v>
      </c>
      <c r="BL25" s="95" t="s">
        <v>129</v>
      </c>
      <c r="BM25" s="95" t="s">
        <v>448</v>
      </c>
      <c r="BN25" s="354">
        <f>B17</f>
        <v>432.2</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1</v>
      </c>
      <c r="CP25" s="95" t="s">
        <v>479</v>
      </c>
      <c r="CT25" s="95" t="s">
        <v>87</v>
      </c>
      <c r="CU25" s="399">
        <f>(CU27*CU31*CU35+CU28*CU32*CU34)</f>
        <v>1610000</v>
      </c>
      <c r="CV25" s="95" t="s">
        <v>443</v>
      </c>
      <c r="CW25" s="95" t="s">
        <v>245</v>
      </c>
      <c r="CX25" s="95">
        <v>350</v>
      </c>
      <c r="CY25" s="95" t="s">
        <v>55</v>
      </c>
      <c r="CZ25" s="95" t="s">
        <v>82</v>
      </c>
      <c r="DA25" s="360">
        <f>(DA35*DA37*DA29*(DA40/24))+(DA36*DA38*DA30*(DA41/24))</f>
        <v>259000</v>
      </c>
      <c r="DB25" s="95" t="s">
        <v>444</v>
      </c>
      <c r="DO25" s="95" t="s">
        <v>66</v>
      </c>
      <c r="DP25" s="354">
        <f>B30</f>
        <v>1E-3</v>
      </c>
      <c r="ED25" s="95" t="s">
        <v>67</v>
      </c>
      <c r="EE25" s="354">
        <f>B31</f>
        <v>5.0000000000000001E-3</v>
      </c>
      <c r="ES25" s="95" t="s">
        <v>67</v>
      </c>
      <c r="ET25" s="354">
        <f>B31</f>
        <v>5.0000000000000001E-3</v>
      </c>
      <c r="FH25" s="95" t="s">
        <v>67</v>
      </c>
      <c r="FI25" s="354">
        <f>B31</f>
        <v>5.0000000000000001E-3</v>
      </c>
      <c r="FW25" s="95" t="s">
        <v>67</v>
      </c>
      <c r="FX25" s="354">
        <f>B31</f>
        <v>5.0000000000000001E-3</v>
      </c>
      <c r="GL25" s="95" t="s">
        <v>67</v>
      </c>
      <c r="GM25" s="354">
        <f>B31</f>
        <v>5.0000000000000001E-3</v>
      </c>
      <c r="HA25" s="95" t="s">
        <v>67</v>
      </c>
      <c r="HB25" s="354">
        <f>B31</f>
        <v>5.0000000000000001E-3</v>
      </c>
      <c r="HD25" s="355" t="s">
        <v>51</v>
      </c>
      <c r="HE25" s="354">
        <v>15</v>
      </c>
      <c r="HF25" s="95" t="s">
        <v>25</v>
      </c>
    </row>
    <row r="26" spans="1:214" s="95" customFormat="1" ht="14.25" thickTop="1" thickBot="1" x14ac:dyDescent="0.25">
      <c r="A26" s="95" t="s">
        <v>349</v>
      </c>
      <c r="B26" s="353">
        <v>4.0000000000000001E-3</v>
      </c>
      <c r="G26" s="95" t="s">
        <v>400</v>
      </c>
      <c r="H26" s="354">
        <f>B42</f>
        <v>10.4</v>
      </c>
      <c r="I26" s="95" t="s">
        <v>413</v>
      </c>
      <c r="J26" s="95" t="s">
        <v>404</v>
      </c>
      <c r="K26" s="354">
        <f>B40</f>
        <v>14.8</v>
      </c>
      <c r="L26" s="95" t="s">
        <v>413</v>
      </c>
      <c r="M26" s="95" t="s">
        <v>54</v>
      </c>
      <c r="N26" s="95">
        <v>250</v>
      </c>
      <c r="O26" s="95" t="s">
        <v>63</v>
      </c>
      <c r="P26" s="95" t="s">
        <v>54</v>
      </c>
      <c r="Q26" s="95">
        <v>250</v>
      </c>
      <c r="R26" s="95" t="s">
        <v>63</v>
      </c>
      <c r="V26" s="95" t="s">
        <v>46</v>
      </c>
      <c r="W26" s="354">
        <v>9.9999999999999995E-7</v>
      </c>
      <c r="Y26" s="95" t="s">
        <v>46</v>
      </c>
      <c r="Z26" s="354">
        <v>9.9999999999999995E-7</v>
      </c>
      <c r="AC26" s="354"/>
      <c r="AD26" s="354"/>
      <c r="AE26" s="354"/>
      <c r="AI26" s="95" t="s">
        <v>54</v>
      </c>
      <c r="AJ26" s="95">
        <v>100</v>
      </c>
      <c r="AK26" s="95" t="s">
        <v>63</v>
      </c>
      <c r="AL26" s="95" t="s">
        <v>54</v>
      </c>
      <c r="AM26" s="95">
        <v>100</v>
      </c>
      <c r="AN26" s="95" t="s">
        <v>63</v>
      </c>
      <c r="AR26" s="95" t="s">
        <v>54</v>
      </c>
      <c r="AS26" s="95">
        <v>225</v>
      </c>
      <c r="AT26" s="95" t="s">
        <v>63</v>
      </c>
      <c r="AU26" s="95" t="s">
        <v>54</v>
      </c>
      <c r="AV26" s="95">
        <v>225</v>
      </c>
      <c r="AW26" s="95" t="s">
        <v>63</v>
      </c>
      <c r="BA26" s="95" t="s">
        <v>54</v>
      </c>
      <c r="BB26" s="95">
        <v>250</v>
      </c>
      <c r="BC26" s="95" t="s">
        <v>63</v>
      </c>
      <c r="BD26" s="95" t="s">
        <v>54</v>
      </c>
      <c r="BE26" s="95">
        <v>250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95">
        <v>1.5699999999999999E-5</v>
      </c>
      <c r="CE26" s="95" t="s">
        <v>102</v>
      </c>
      <c r="CF26" s="95">
        <v>1.35E-4</v>
      </c>
      <c r="CN26" s="95" t="s">
        <v>342</v>
      </c>
      <c r="CO26" s="357">
        <v>1</v>
      </c>
      <c r="CP26" s="95" t="s">
        <v>479</v>
      </c>
      <c r="CT26" s="95" t="s">
        <v>82</v>
      </c>
      <c r="CU26" s="399">
        <f>((CU35*CU31*CU29*CU36/24))+(CU34*CU32*CU30*(CU37/24))</f>
        <v>259000</v>
      </c>
      <c r="CV26" s="95" t="s">
        <v>444</v>
      </c>
      <c r="CZ26" s="95" t="s">
        <v>263</v>
      </c>
      <c r="DA26" s="360">
        <f>(DA35*DA37*DA42*DA44)+(DA36*DA38*DA43*DA45)</f>
        <v>9583</v>
      </c>
      <c r="DB26" s="95" t="s">
        <v>445</v>
      </c>
      <c r="DF26" s="95" t="s">
        <v>67</v>
      </c>
      <c r="DG26" s="354">
        <f>B31</f>
        <v>5.0000000000000001E-3</v>
      </c>
      <c r="DO26" s="95" t="s">
        <v>73</v>
      </c>
      <c r="DP26" s="95">
        <v>0.26</v>
      </c>
      <c r="ED26" s="95" t="s">
        <v>73</v>
      </c>
      <c r="EE26" s="95">
        <v>0.25</v>
      </c>
      <c r="ES26" s="95" t="s">
        <v>73</v>
      </c>
      <c r="ET26" s="95">
        <v>0.25</v>
      </c>
      <c r="FH26" s="95" t="s">
        <v>316</v>
      </c>
      <c r="FI26" s="95">
        <v>0.25</v>
      </c>
      <c r="FL26" s="354"/>
      <c r="FW26" s="95" t="s">
        <v>311</v>
      </c>
      <c r="FX26" s="95">
        <v>0.25</v>
      </c>
      <c r="GL26" s="95" t="s">
        <v>305</v>
      </c>
      <c r="GM26" s="95">
        <v>0.25</v>
      </c>
      <c r="HA26" s="95" t="s">
        <v>310</v>
      </c>
      <c r="HB26" s="95">
        <v>0.25</v>
      </c>
      <c r="HD26" s="95" t="s">
        <v>17</v>
      </c>
      <c r="HE26" s="354">
        <f>H3</f>
        <v>0.61770516749673854</v>
      </c>
      <c r="HF26" s="95" t="s">
        <v>25</v>
      </c>
    </row>
    <row r="27" spans="1:214" s="95" customFormat="1" ht="12.75" customHeight="1" thickTop="1" x14ac:dyDescent="0.2">
      <c r="A27" s="95" t="s">
        <v>457</v>
      </c>
      <c r="B27" s="400">
        <v>1.7000000000000001E-4</v>
      </c>
      <c r="D27" s="401" t="s">
        <v>3</v>
      </c>
      <c r="E27" s="19"/>
      <c r="F27" s="20" t="s">
        <v>0</v>
      </c>
      <c r="G27" s="95" t="s">
        <v>401</v>
      </c>
      <c r="H27" s="354">
        <f>B43</f>
        <v>28.5</v>
      </c>
      <c r="I27" s="95" t="s">
        <v>413</v>
      </c>
      <c r="J27" s="95" t="s">
        <v>405</v>
      </c>
      <c r="K27" s="354">
        <f>B41</f>
        <v>56.2</v>
      </c>
      <c r="L27" s="95" t="s">
        <v>413</v>
      </c>
      <c r="M27" s="95" t="s">
        <v>68</v>
      </c>
      <c r="N27" s="95">
        <v>26</v>
      </c>
      <c r="O27" s="95" t="s">
        <v>62</v>
      </c>
      <c r="P27" s="95" t="s">
        <v>68</v>
      </c>
      <c r="Q27" s="95">
        <v>26</v>
      </c>
      <c r="R27" s="95" t="s">
        <v>62</v>
      </c>
      <c r="V27" s="95" t="s">
        <v>52</v>
      </c>
      <c r="W27" s="354">
        <f>0.693/W28</f>
        <v>1.6034243405830633E-3</v>
      </c>
      <c r="Y27" s="95" t="s">
        <v>52</v>
      </c>
      <c r="Z27" s="354">
        <f>0.693/Z28</f>
        <v>1.6034243405830633E-3</v>
      </c>
      <c r="AB27" s="95" t="s">
        <v>68</v>
      </c>
      <c r="AC27" s="95">
        <v>25</v>
      </c>
      <c r="AD27" s="95">
        <v>25</v>
      </c>
      <c r="AE27" s="95">
        <v>25</v>
      </c>
      <c r="AF27" s="95">
        <v>1</v>
      </c>
      <c r="AG27" s="95">
        <v>1</v>
      </c>
      <c r="AH27" s="95" t="s">
        <v>129</v>
      </c>
      <c r="AI27" s="95" t="s">
        <v>68</v>
      </c>
      <c r="AJ27" s="95">
        <v>30</v>
      </c>
      <c r="AK27" s="95" t="s">
        <v>62</v>
      </c>
      <c r="AL27" s="95" t="s">
        <v>68</v>
      </c>
      <c r="AM27" s="95">
        <v>30</v>
      </c>
      <c r="AN27" s="95" t="s">
        <v>62</v>
      </c>
      <c r="AR27" s="95" t="s">
        <v>68</v>
      </c>
      <c r="AS27" s="95">
        <v>25</v>
      </c>
      <c r="AT27" s="95" t="s">
        <v>62</v>
      </c>
      <c r="AU27" s="95" t="s">
        <v>68</v>
      </c>
      <c r="AV27" s="95">
        <v>25</v>
      </c>
      <c r="AW27" s="95" t="s">
        <v>62</v>
      </c>
      <c r="BA27" s="95" t="s">
        <v>68</v>
      </c>
      <c r="BB27" s="95">
        <v>25</v>
      </c>
      <c r="BC27" s="95" t="s">
        <v>62</v>
      </c>
      <c r="BD27" s="95" t="s">
        <v>68</v>
      </c>
      <c r="BE27" s="95">
        <v>25</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95">
        <v>0.80900000000000005</v>
      </c>
      <c r="CE27" s="95" t="s">
        <v>113</v>
      </c>
      <c r="CF27" s="95">
        <v>0.71099999999999997</v>
      </c>
      <c r="CN27" s="95" t="s">
        <v>343</v>
      </c>
      <c r="CO27" s="357">
        <v>1</v>
      </c>
      <c r="CP27" s="95" t="s">
        <v>80</v>
      </c>
      <c r="CT27" s="95" t="s">
        <v>117</v>
      </c>
      <c r="CU27" s="95">
        <f>B36</f>
        <v>200</v>
      </c>
      <c r="CV27" s="95" t="s">
        <v>96</v>
      </c>
      <c r="CZ27" s="95" t="s">
        <v>105</v>
      </c>
      <c r="DA27" s="95">
        <f>B38</f>
        <v>0.78</v>
      </c>
      <c r="DB27" s="95" t="s">
        <v>59</v>
      </c>
      <c r="EB27" s="354"/>
      <c r="ED27" s="95" t="s">
        <v>347</v>
      </c>
      <c r="EE27" s="354">
        <f>B23</f>
        <v>1.9999999999999999E-6</v>
      </c>
      <c r="EQ27" s="354"/>
      <c r="ES27" s="95" t="s">
        <v>348</v>
      </c>
      <c r="ET27" s="354">
        <f>B24</f>
        <v>5.0000000000000002E-5</v>
      </c>
      <c r="FH27" s="95" t="s">
        <v>349</v>
      </c>
      <c r="FI27" s="356">
        <f>B26</f>
        <v>4.0000000000000001E-3</v>
      </c>
      <c r="FW27" s="95" t="s">
        <v>350</v>
      </c>
      <c r="FX27" s="357">
        <v>1</v>
      </c>
      <c r="GL27" s="95" t="s">
        <v>351</v>
      </c>
      <c r="GM27" s="356">
        <f>B25</f>
        <v>6.0000000000000001E-3</v>
      </c>
      <c r="HA27" s="95" t="s">
        <v>352</v>
      </c>
      <c r="HB27" s="356">
        <f>B27</f>
        <v>1.7000000000000001E-4</v>
      </c>
      <c r="HD27" s="95" t="s">
        <v>52</v>
      </c>
      <c r="HE27" s="354">
        <f>0.693/HE28</f>
        <v>1.6034243405830633E-3</v>
      </c>
    </row>
    <row r="28" spans="1:214" s="95" customFormat="1" ht="14.25" x14ac:dyDescent="0.2">
      <c r="A28" s="95" t="s">
        <v>433</v>
      </c>
      <c r="B28" s="397">
        <v>5.0000000000000002E-5</v>
      </c>
      <c r="D28" s="402" t="s">
        <v>166</v>
      </c>
      <c r="E28" s="101" t="s">
        <v>17</v>
      </c>
      <c r="F28" s="102" t="s">
        <v>23</v>
      </c>
      <c r="G28" s="95" t="s">
        <v>145</v>
      </c>
      <c r="H28" s="95">
        <v>0.5</v>
      </c>
      <c r="I28" s="95" t="s">
        <v>146</v>
      </c>
      <c r="J28" s="95" t="s">
        <v>402</v>
      </c>
      <c r="K28" s="360">
        <f>(K31*K35*K29)+(K32*K34*K30)</f>
        <v>158100</v>
      </c>
      <c r="L28" s="95" t="s">
        <v>230</v>
      </c>
      <c r="M28" s="95" t="s">
        <v>91</v>
      </c>
      <c r="N28" s="95">
        <v>0.4</v>
      </c>
      <c r="P28" s="95" t="s">
        <v>91</v>
      </c>
      <c r="Q28" s="95">
        <v>0.4</v>
      </c>
      <c r="V28" s="95" t="s">
        <v>448</v>
      </c>
      <c r="W28" s="354">
        <f>B17</f>
        <v>432.2</v>
      </c>
      <c r="X28" s="95" t="s">
        <v>129</v>
      </c>
      <c r="Y28" s="95" t="s">
        <v>448</v>
      </c>
      <c r="Z28" s="354">
        <f>B17</f>
        <v>432.2</v>
      </c>
      <c r="AA28" s="95" t="s">
        <v>129</v>
      </c>
      <c r="AB28" s="95" t="s">
        <v>171</v>
      </c>
      <c r="AC28" s="354">
        <f t="shared" ref="AC28:AF29" si="0">8/24</f>
        <v>0.33333333333333331</v>
      </c>
      <c r="AD28" s="354">
        <f t="shared" si="0"/>
        <v>0.33333333333333331</v>
      </c>
      <c r="AE28" s="354">
        <f t="shared" si="0"/>
        <v>0.33333333333333331</v>
      </c>
      <c r="AF28" s="354">
        <f t="shared" si="0"/>
        <v>0.33333333333333331</v>
      </c>
      <c r="AG28" s="354">
        <f>8/24</f>
        <v>0.33333333333333331</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1</v>
      </c>
      <c r="CA28" s="95" t="s">
        <v>85</v>
      </c>
      <c r="CB28" s="95" t="s">
        <v>182</v>
      </c>
      <c r="CC28" s="95">
        <v>1</v>
      </c>
      <c r="CD28" s="95" t="s">
        <v>127</v>
      </c>
      <c r="CE28" s="95" t="s">
        <v>182</v>
      </c>
      <c r="CF28" s="95">
        <v>1</v>
      </c>
      <c r="CG28" s="95" t="s">
        <v>127</v>
      </c>
      <c r="CN28" s="95" t="s">
        <v>344</v>
      </c>
      <c r="CO28" s="357">
        <v>1</v>
      </c>
      <c r="CP28" s="95" t="s">
        <v>80</v>
      </c>
      <c r="CT28" s="95" t="s">
        <v>140</v>
      </c>
      <c r="CU28" s="95">
        <f>B37</f>
        <v>100</v>
      </c>
      <c r="CV28" s="95" t="s">
        <v>96</v>
      </c>
      <c r="CZ28" s="95" t="s">
        <v>135</v>
      </c>
      <c r="DA28" s="95">
        <f>B39</f>
        <v>2.5</v>
      </c>
      <c r="DB28" s="95" t="s">
        <v>59</v>
      </c>
      <c r="FW28" s="95" t="s">
        <v>203</v>
      </c>
      <c r="FX28" s="354">
        <v>30</v>
      </c>
      <c r="HD28" s="95" t="s">
        <v>448</v>
      </c>
      <c r="HE28" s="354">
        <f>B17</f>
        <v>432.2</v>
      </c>
      <c r="HF28" s="95" t="s">
        <v>129</v>
      </c>
    </row>
    <row r="29" spans="1:214" s="95" customFormat="1" ht="15" x14ac:dyDescent="0.2">
      <c r="A29" s="95" t="s">
        <v>432</v>
      </c>
      <c r="B29" s="397">
        <v>6.0000000000000001E-3</v>
      </c>
      <c r="D29" s="402" t="s">
        <v>166</v>
      </c>
      <c r="E29" s="403">
        <f>E36</f>
        <v>1.5186582350761452E-2</v>
      </c>
      <c r="F29" s="184"/>
      <c r="G29" s="95" t="s">
        <v>70</v>
      </c>
      <c r="H29" s="95">
        <v>250</v>
      </c>
      <c r="I29" s="95" t="s">
        <v>55</v>
      </c>
      <c r="J29" s="95" t="s">
        <v>400</v>
      </c>
      <c r="K29" s="354">
        <f>B42</f>
        <v>10.4</v>
      </c>
      <c r="L29" s="95" t="s">
        <v>413</v>
      </c>
      <c r="M29" s="95" t="s">
        <v>102</v>
      </c>
      <c r="N29" s="95">
        <v>1</v>
      </c>
      <c r="P29" s="95" t="s">
        <v>102</v>
      </c>
      <c r="Q29" s="95">
        <v>1</v>
      </c>
      <c r="V29" s="95" t="s">
        <v>54</v>
      </c>
      <c r="W29" s="95">
        <v>250</v>
      </c>
      <c r="X29" s="95" t="s">
        <v>63</v>
      </c>
      <c r="Y29" s="95" t="s">
        <v>54</v>
      </c>
      <c r="Z29" s="95">
        <f>Z41*Z42</f>
        <v>250</v>
      </c>
      <c r="AA29" s="95" t="s">
        <v>63</v>
      </c>
      <c r="AB29" s="95" t="s">
        <v>174</v>
      </c>
      <c r="AC29" s="354">
        <f t="shared" si="0"/>
        <v>0.33333333333333331</v>
      </c>
      <c r="AD29" s="354">
        <f t="shared" si="0"/>
        <v>0.33333333333333331</v>
      </c>
      <c r="AE29" s="354">
        <f t="shared" si="0"/>
        <v>0.33333333333333331</v>
      </c>
      <c r="AF29" s="354">
        <f t="shared" si="0"/>
        <v>0.33333333333333331</v>
      </c>
      <c r="AG29" s="354">
        <f>8/24</f>
        <v>0.33333333333333331</v>
      </c>
      <c r="AI29" s="95" t="s">
        <v>102</v>
      </c>
      <c r="AJ29" s="95">
        <v>1</v>
      </c>
      <c r="AL29" s="95" t="s">
        <v>102</v>
      </c>
      <c r="AM29" s="95">
        <v>1</v>
      </c>
      <c r="AR29" s="95" t="s">
        <v>102</v>
      </c>
      <c r="AS29" s="95">
        <v>1</v>
      </c>
      <c r="AU29" s="95" t="s">
        <v>91</v>
      </c>
      <c r="AV29" s="95">
        <v>1</v>
      </c>
      <c r="BA29" s="95" t="s">
        <v>102</v>
      </c>
      <c r="BB29" s="95">
        <v>1</v>
      </c>
      <c r="BD29" s="95" t="s">
        <v>102</v>
      </c>
      <c r="BE29" s="95">
        <v>1</v>
      </c>
      <c r="BJ29" s="95" t="s">
        <v>68</v>
      </c>
      <c r="BK29" s="95">
        <v>1</v>
      </c>
      <c r="BL29" s="95" t="s">
        <v>62</v>
      </c>
      <c r="BM29" s="95" t="s">
        <v>68</v>
      </c>
      <c r="BN29" s="95">
        <v>1</v>
      </c>
      <c r="BO29" s="95" t="s">
        <v>62</v>
      </c>
      <c r="BT29" s="404"/>
      <c r="BU29" s="355"/>
      <c r="BW29" s="95">
        <v>1000</v>
      </c>
      <c r="BX29" s="95" t="s">
        <v>173</v>
      </c>
      <c r="BY29" s="95" t="s">
        <v>259</v>
      </c>
      <c r="BZ29" s="95">
        <v>1</v>
      </c>
      <c r="CA29" s="95" t="s">
        <v>85</v>
      </c>
      <c r="CB29" s="95" t="s">
        <v>131</v>
      </c>
      <c r="CC29" s="354">
        <f>B10</f>
        <v>1.96E-8</v>
      </c>
      <c r="CD29" s="95" t="s">
        <v>132</v>
      </c>
      <c r="CE29" s="95" t="s">
        <v>131</v>
      </c>
      <c r="CF29" s="354">
        <f>B12</f>
        <v>2.5799999999999999E-8</v>
      </c>
      <c r="CG29" s="95" t="s">
        <v>132</v>
      </c>
      <c r="CT29" s="95" t="s">
        <v>240</v>
      </c>
      <c r="CU29" s="95">
        <f>B33</f>
        <v>10</v>
      </c>
      <c r="CV29" s="95" t="s">
        <v>83</v>
      </c>
      <c r="CZ29" s="95" t="s">
        <v>240</v>
      </c>
      <c r="DA29" s="95">
        <f>B33</f>
        <v>10</v>
      </c>
      <c r="DB29" s="95" t="s">
        <v>264</v>
      </c>
      <c r="FW29" s="95" t="s">
        <v>322</v>
      </c>
      <c r="FX29" s="354">
        <v>8.1999999999999993</v>
      </c>
      <c r="HD29" s="95" t="s">
        <v>172</v>
      </c>
      <c r="HE29" s="95">
        <v>0.3</v>
      </c>
    </row>
    <row r="30" spans="1:214" s="95" customFormat="1" ht="15.75" thickBot="1" x14ac:dyDescent="0.25">
      <c r="A30" s="95" t="s">
        <v>66</v>
      </c>
      <c r="B30" s="353">
        <v>1E-3</v>
      </c>
      <c r="D30" s="405"/>
      <c r="E30" s="256" t="s">
        <v>34</v>
      </c>
      <c r="F30" s="257"/>
      <c r="G30" s="95" t="s">
        <v>78</v>
      </c>
      <c r="H30" s="95">
        <v>250</v>
      </c>
      <c r="I30" s="95" t="s">
        <v>55</v>
      </c>
      <c r="J30" s="95" t="s">
        <v>401</v>
      </c>
      <c r="K30" s="354">
        <f>B43</f>
        <v>28.5</v>
      </c>
      <c r="L30" s="95" t="s">
        <v>413</v>
      </c>
      <c r="M30" s="95" t="s">
        <v>113</v>
      </c>
      <c r="N30" s="95">
        <v>1</v>
      </c>
      <c r="P30" s="95" t="s">
        <v>113</v>
      </c>
      <c r="Q30" s="95">
        <v>1</v>
      </c>
      <c r="V30" s="95" t="s">
        <v>68</v>
      </c>
      <c r="W30" s="95">
        <v>25</v>
      </c>
      <c r="X30" s="95" t="s">
        <v>62</v>
      </c>
      <c r="Y30" s="95" t="s">
        <v>68</v>
      </c>
      <c r="Z30" s="95">
        <v>1</v>
      </c>
      <c r="AA30" s="95" t="s">
        <v>62</v>
      </c>
      <c r="AB30" s="95" t="s">
        <v>177</v>
      </c>
      <c r="AC30" s="95">
        <v>0.4</v>
      </c>
      <c r="AD30" s="95">
        <v>0.4</v>
      </c>
      <c r="AE30" s="95">
        <v>0.4</v>
      </c>
      <c r="AF30" s="95">
        <v>0.4</v>
      </c>
      <c r="AG30" s="95">
        <v>0.4</v>
      </c>
      <c r="AI30" s="95" t="s">
        <v>113</v>
      </c>
      <c r="AJ30" s="95">
        <f>N30</f>
        <v>1</v>
      </c>
      <c r="AL30" s="95" t="s">
        <v>113</v>
      </c>
      <c r="AM30" s="95">
        <f>Q30</f>
        <v>1</v>
      </c>
      <c r="AR30" s="95" t="s">
        <v>113</v>
      </c>
      <c r="AS30" s="95">
        <f>AJ30</f>
        <v>1</v>
      </c>
      <c r="AU30" s="95" t="s">
        <v>113</v>
      </c>
      <c r="AV30" s="95">
        <f>AM30</f>
        <v>1</v>
      </c>
      <c r="BA30" s="95" t="s">
        <v>113</v>
      </c>
      <c r="BB30" s="95">
        <f>AS30</f>
        <v>1</v>
      </c>
      <c r="BD30" s="95" t="s">
        <v>113</v>
      </c>
      <c r="BE30" s="95">
        <f>AV30</f>
        <v>1</v>
      </c>
      <c r="BT30" s="354"/>
      <c r="BW30" s="95">
        <v>1000</v>
      </c>
      <c r="BX30" s="95" t="s">
        <v>408</v>
      </c>
      <c r="BY30" s="95" t="s">
        <v>260</v>
      </c>
      <c r="BZ30" s="95">
        <v>1</v>
      </c>
      <c r="CA30" s="95" t="s">
        <v>85</v>
      </c>
      <c r="CT30" s="95" t="s">
        <v>241</v>
      </c>
      <c r="CU30" s="95">
        <f>B34</f>
        <v>20</v>
      </c>
      <c r="CV30" s="95" t="s">
        <v>83</v>
      </c>
      <c r="CZ30" s="95" t="s">
        <v>241</v>
      </c>
      <c r="DA30" s="95">
        <f>B34</f>
        <v>20</v>
      </c>
      <c r="DB30" s="95" t="s">
        <v>264</v>
      </c>
      <c r="FX30" s="95">
        <v>1000</v>
      </c>
      <c r="FY30" s="95" t="s">
        <v>230</v>
      </c>
      <c r="HD30" s="95" t="s">
        <v>175</v>
      </c>
      <c r="HE30" s="354">
        <v>1.5</v>
      </c>
    </row>
    <row r="31" spans="1:214" s="95" customFormat="1" ht="13.5" thickTop="1" x14ac:dyDescent="0.2">
      <c r="A31" s="95" t="s">
        <v>67</v>
      </c>
      <c r="B31" s="353">
        <v>5.0000000000000001E-3</v>
      </c>
      <c r="D31" s="95" t="s">
        <v>46</v>
      </c>
      <c r="E31" s="354">
        <v>9.9999999999999995E-7</v>
      </c>
      <c r="G31" s="95" t="s">
        <v>108</v>
      </c>
      <c r="H31" s="95">
        <v>26</v>
      </c>
      <c r="I31" s="95" t="s">
        <v>129</v>
      </c>
      <c r="J31" s="95" t="s">
        <v>70</v>
      </c>
      <c r="K31" s="95">
        <v>250</v>
      </c>
      <c r="L31" s="95" t="s">
        <v>55</v>
      </c>
      <c r="M31" s="95" t="s">
        <v>124</v>
      </c>
      <c r="N31" s="95">
        <v>1.752</v>
      </c>
      <c r="O31" s="95" t="s">
        <v>127</v>
      </c>
      <c r="P31" s="95" t="s">
        <v>124</v>
      </c>
      <c r="Q31" s="95">
        <v>1.752</v>
      </c>
      <c r="R31" s="95" t="s">
        <v>127</v>
      </c>
      <c r="V31" s="95" t="s">
        <v>75</v>
      </c>
      <c r="W31" s="354">
        <f>B5</f>
        <v>2.81E-8</v>
      </c>
      <c r="X31" s="95" t="s">
        <v>76</v>
      </c>
      <c r="Y31" s="95" t="s">
        <v>75</v>
      </c>
      <c r="Z31" s="354">
        <f>B5</f>
        <v>2.81E-8</v>
      </c>
      <c r="AA31" s="95" t="s">
        <v>76</v>
      </c>
      <c r="AB31" s="95" t="s">
        <v>160</v>
      </c>
      <c r="AC31" s="95">
        <v>25</v>
      </c>
      <c r="AD31" s="95">
        <v>25</v>
      </c>
      <c r="AE31" s="95">
        <v>25</v>
      </c>
      <c r="AF31" s="95">
        <v>1</v>
      </c>
      <c r="AG31" s="95">
        <v>1</v>
      </c>
      <c r="AH31" s="95" t="s">
        <v>94</v>
      </c>
      <c r="AI31" s="95" t="s">
        <v>124</v>
      </c>
      <c r="AJ31" s="95">
        <v>5</v>
      </c>
      <c r="AK31" s="95" t="s">
        <v>125</v>
      </c>
      <c r="AL31" s="95" t="s">
        <v>124</v>
      </c>
      <c r="AM31" s="95">
        <v>5</v>
      </c>
      <c r="AN31" s="95" t="s">
        <v>125</v>
      </c>
      <c r="AR31" s="95" t="s">
        <v>126</v>
      </c>
      <c r="AS31" s="95">
        <f>8/24</f>
        <v>0.33333333333333331</v>
      </c>
      <c r="AT31" s="95" t="s">
        <v>127</v>
      </c>
      <c r="AU31" s="95" t="s">
        <v>124</v>
      </c>
      <c r="AV31" s="95">
        <f>8/24</f>
        <v>0.33333333333333331</v>
      </c>
      <c r="AW31" s="95" t="s">
        <v>125</v>
      </c>
      <c r="BA31" s="95" t="s">
        <v>126</v>
      </c>
      <c r="BB31" s="95">
        <f>8/24</f>
        <v>0.33333333333333331</v>
      </c>
      <c r="BC31" s="95" t="s">
        <v>127</v>
      </c>
      <c r="BD31" s="95" t="s">
        <v>124</v>
      </c>
      <c r="BE31" s="95">
        <f>8/24</f>
        <v>0.33333333333333331</v>
      </c>
      <c r="BF31" s="95" t="s">
        <v>125</v>
      </c>
      <c r="BJ31" s="95" t="s">
        <v>102</v>
      </c>
      <c r="BK31" s="95">
        <v>1.5699999999999999E-5</v>
      </c>
      <c r="BM31" s="95" t="s">
        <v>102</v>
      </c>
      <c r="BN31" s="95">
        <v>1.35E-4</v>
      </c>
      <c r="BW31" s="95">
        <v>365</v>
      </c>
      <c r="BX31" s="95" t="s">
        <v>55</v>
      </c>
      <c r="BY31" s="95" t="s">
        <v>243</v>
      </c>
      <c r="BZ31" s="354">
        <v>2.41E-4</v>
      </c>
      <c r="CT31" s="95" t="s">
        <v>70</v>
      </c>
      <c r="CU31" s="95">
        <v>350</v>
      </c>
      <c r="CV31" s="95" t="s">
        <v>55</v>
      </c>
      <c r="CZ31" s="95" t="s">
        <v>265</v>
      </c>
      <c r="DA31" s="354">
        <f>B40</f>
        <v>14.8</v>
      </c>
      <c r="DB31" s="95" t="s">
        <v>413</v>
      </c>
      <c r="HD31" s="95" t="s">
        <v>61</v>
      </c>
      <c r="HE31" s="95">
        <v>26</v>
      </c>
    </row>
    <row r="32" spans="1:214" s="95" customFormat="1" x14ac:dyDescent="0.2">
      <c r="D32" s="95" t="s">
        <v>54</v>
      </c>
      <c r="E32" s="95">
        <v>350</v>
      </c>
      <c r="F32" s="95" t="s">
        <v>55</v>
      </c>
      <c r="G32" s="95" t="s">
        <v>88</v>
      </c>
      <c r="H32" s="95">
        <v>6</v>
      </c>
      <c r="J32" s="95" t="s">
        <v>78</v>
      </c>
      <c r="K32" s="95">
        <v>250</v>
      </c>
      <c r="L32" s="95" t="s">
        <v>55</v>
      </c>
      <c r="M32" s="95" t="s">
        <v>131</v>
      </c>
      <c r="N32" s="354">
        <f>B10</f>
        <v>1.96E-8</v>
      </c>
      <c r="O32" s="95" t="s">
        <v>478</v>
      </c>
      <c r="P32" s="95" t="s">
        <v>131</v>
      </c>
      <c r="Q32" s="354">
        <f>B12</f>
        <v>2.5799999999999999E-8</v>
      </c>
      <c r="R32" s="95" t="s">
        <v>132</v>
      </c>
      <c r="V32" s="95" t="s">
        <v>84</v>
      </c>
      <c r="W32" s="95">
        <v>8</v>
      </c>
      <c r="X32" s="95" t="s">
        <v>85</v>
      </c>
      <c r="Y32" s="95" t="s">
        <v>84</v>
      </c>
      <c r="Z32" s="95">
        <v>8</v>
      </c>
      <c r="AA32" s="95" t="s">
        <v>85</v>
      </c>
      <c r="AB32" s="95" t="s">
        <v>52</v>
      </c>
      <c r="AC32" s="354">
        <f>0.693/AC33</f>
        <v>1.6034243405830633E-3</v>
      </c>
      <c r="AD32" s="354">
        <f>0.693/AD33</f>
        <v>1.6034243405830633E-3</v>
      </c>
      <c r="AE32" s="354">
        <f>0.693/AE33</f>
        <v>1.6034243405830633E-3</v>
      </c>
      <c r="AF32" s="354">
        <f>0.693/AF33</f>
        <v>1.6034243405830633E-3</v>
      </c>
      <c r="AG32" s="354">
        <f>0.693/AG33</f>
        <v>1.6034243405830633E-3</v>
      </c>
      <c r="AI32" s="95" t="s">
        <v>131</v>
      </c>
      <c r="AJ32" s="354">
        <f>B10</f>
        <v>1.96E-8</v>
      </c>
      <c r="AK32" s="95" t="s">
        <v>132</v>
      </c>
      <c r="AL32" s="95" t="s">
        <v>131</v>
      </c>
      <c r="AM32" s="354">
        <f>B12</f>
        <v>2.5799999999999999E-8</v>
      </c>
      <c r="AN32" s="95" t="s">
        <v>132</v>
      </c>
      <c r="AR32" s="95" t="s">
        <v>131</v>
      </c>
      <c r="AS32" s="354">
        <f>B10</f>
        <v>1.96E-8</v>
      </c>
      <c r="AT32" s="95" t="s">
        <v>132</v>
      </c>
      <c r="AU32" s="95" t="s">
        <v>131</v>
      </c>
      <c r="AV32" s="354">
        <f>B12</f>
        <v>2.5799999999999999E-8</v>
      </c>
      <c r="AW32" s="95" t="s">
        <v>132</v>
      </c>
      <c r="BA32" s="95" t="s">
        <v>131</v>
      </c>
      <c r="BB32" s="354">
        <f>B10</f>
        <v>1.96E-8</v>
      </c>
      <c r="BC32" s="95" t="s">
        <v>132</v>
      </c>
      <c r="BD32" s="95" t="s">
        <v>131</v>
      </c>
      <c r="BE32" s="354">
        <f>B12</f>
        <v>2.5799999999999999E-8</v>
      </c>
      <c r="BF32" s="95" t="s">
        <v>132</v>
      </c>
      <c r="BJ32" s="95" t="s">
        <v>113</v>
      </c>
      <c r="BK32" s="95">
        <v>0.80900000000000005</v>
      </c>
      <c r="BM32" s="95" t="s">
        <v>113</v>
      </c>
      <c r="BN32" s="95">
        <v>0.71099999999999997</v>
      </c>
      <c r="BT32" s="354"/>
      <c r="BW32" s="95">
        <v>8760</v>
      </c>
      <c r="BX32" s="95" t="s">
        <v>258</v>
      </c>
      <c r="BY32" s="95" t="s">
        <v>113</v>
      </c>
      <c r="BZ32" s="95">
        <v>0.753</v>
      </c>
      <c r="CT32" s="95" t="s">
        <v>78</v>
      </c>
      <c r="CU32" s="95">
        <v>350</v>
      </c>
      <c r="CV32" s="95" t="s">
        <v>55</v>
      </c>
      <c r="CZ32" s="95" t="s">
        <v>178</v>
      </c>
      <c r="DA32" s="354">
        <f>B41</f>
        <v>56.2</v>
      </c>
      <c r="DB32" s="95" t="s">
        <v>413</v>
      </c>
      <c r="DY32" s="406"/>
      <c r="HD32" s="95" t="s">
        <v>68</v>
      </c>
      <c r="HE32" s="354">
        <v>70</v>
      </c>
    </row>
    <row r="33" spans="1:214" s="95" customFormat="1" ht="13.15" customHeight="1" x14ac:dyDescent="0.2">
      <c r="A33" s="95" t="s">
        <v>93</v>
      </c>
      <c r="B33" s="397">
        <v>10</v>
      </c>
      <c r="C33" s="95" t="s">
        <v>83</v>
      </c>
      <c r="D33" s="95" t="s">
        <v>415</v>
      </c>
      <c r="E33" s="354">
        <f>B16</f>
        <v>1.34E-10</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B17</f>
        <v>432.2</v>
      </c>
      <c r="AD33" s="354">
        <f>B17</f>
        <v>432.2</v>
      </c>
      <c r="AE33" s="354">
        <f>B17</f>
        <v>432.2</v>
      </c>
      <c r="AF33" s="354">
        <f>B17</f>
        <v>432.2</v>
      </c>
      <c r="AG33" s="354">
        <f>B17</f>
        <v>432.2</v>
      </c>
      <c r="AH33" s="95" t="s">
        <v>129</v>
      </c>
      <c r="AI33" s="95" t="s">
        <v>151</v>
      </c>
      <c r="AJ33" s="95">
        <f>8/24</f>
        <v>0.33333333333333331</v>
      </c>
      <c r="AK33" s="95" t="s">
        <v>125</v>
      </c>
      <c r="AL33" s="95" t="s">
        <v>151</v>
      </c>
      <c r="AM33" s="95">
        <f>8/24</f>
        <v>0.33333333333333331</v>
      </c>
      <c r="AN33" s="95" t="s">
        <v>125</v>
      </c>
      <c r="AR33" s="95" t="s">
        <v>151</v>
      </c>
      <c r="AS33" s="95">
        <v>0</v>
      </c>
      <c r="AT33" s="95" t="s">
        <v>125</v>
      </c>
      <c r="AU33" s="95" t="s">
        <v>151</v>
      </c>
      <c r="AV33" s="95">
        <v>0</v>
      </c>
      <c r="AW33" s="95" t="s">
        <v>125</v>
      </c>
      <c r="BA33" s="95" t="s">
        <v>151</v>
      </c>
      <c r="BB33" s="95">
        <v>0</v>
      </c>
      <c r="BC33" s="95" t="s">
        <v>125</v>
      </c>
      <c r="BD33" s="95" t="s">
        <v>151</v>
      </c>
      <c r="BE33" s="95">
        <v>0</v>
      </c>
      <c r="BF33" s="95" t="s">
        <v>125</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266</v>
      </c>
      <c r="DA33" s="354">
        <f>B42</f>
        <v>10.4</v>
      </c>
      <c r="DB33" s="95" t="s">
        <v>413</v>
      </c>
      <c r="DY33" s="406"/>
      <c r="HD33" s="95" t="s">
        <v>428</v>
      </c>
      <c r="HE33" s="354">
        <f>1+((HE35*HE36*HE37)/(HE38*HE39))</f>
        <v>16.660043458695149</v>
      </c>
    </row>
    <row r="34" spans="1:214" s="95" customFormat="1" x14ac:dyDescent="0.2">
      <c r="A34" s="95" t="s">
        <v>103</v>
      </c>
      <c r="B34" s="397">
        <v>20</v>
      </c>
      <c r="C34" s="95" t="s">
        <v>83</v>
      </c>
      <c r="D34" s="95" t="s">
        <v>68</v>
      </c>
      <c r="E34" s="95">
        <v>26</v>
      </c>
      <c r="F34" s="95" t="s">
        <v>129</v>
      </c>
      <c r="G34" s="95" t="s">
        <v>179</v>
      </c>
      <c r="H34" s="95">
        <v>0.54</v>
      </c>
      <c r="I34" s="95" t="s">
        <v>180</v>
      </c>
      <c r="J34" s="95" t="s">
        <v>106</v>
      </c>
      <c r="K34" s="95">
        <v>20</v>
      </c>
      <c r="L34" s="95" t="s">
        <v>129</v>
      </c>
      <c r="V34" s="95" t="s">
        <v>104</v>
      </c>
      <c r="W34" s="95">
        <f>B35</f>
        <v>60</v>
      </c>
      <c r="X34" s="95" t="s">
        <v>83</v>
      </c>
      <c r="Y34" s="95" t="s">
        <v>104</v>
      </c>
      <c r="Z34" s="95">
        <f>B35</f>
        <v>60</v>
      </c>
      <c r="AA34" s="95" t="s">
        <v>83</v>
      </c>
      <c r="AC34" s="95">
        <v>365</v>
      </c>
      <c r="AD34" s="95">
        <v>365</v>
      </c>
      <c r="AE34" s="95">
        <v>365</v>
      </c>
      <c r="AF34" s="95">
        <v>365</v>
      </c>
      <c r="AG34" s="95">
        <v>365</v>
      </c>
      <c r="AH34" s="95" t="s">
        <v>189</v>
      </c>
      <c r="BJ34" s="95" t="s">
        <v>131</v>
      </c>
      <c r="BK34" s="354">
        <f>B10</f>
        <v>1.96E-8</v>
      </c>
      <c r="BL34" s="95" t="s">
        <v>132</v>
      </c>
      <c r="BM34" s="95" t="s">
        <v>131</v>
      </c>
      <c r="BN34" s="354">
        <f>B12</f>
        <v>2.5799999999999999E-8</v>
      </c>
      <c r="BO34" s="95" t="s">
        <v>132</v>
      </c>
      <c r="BZ34" s="95">
        <v>365</v>
      </c>
      <c r="CA34" s="95" t="s">
        <v>189</v>
      </c>
      <c r="CH34" s="483" t="s">
        <v>430</v>
      </c>
      <c r="CI34" s="483"/>
      <c r="CJ34" s="483"/>
      <c r="CK34" s="483"/>
      <c r="CL34" s="483"/>
      <c r="CP34" s="95">
        <f>3.83/(0.006*1*0.001)</f>
        <v>638333.33333333337</v>
      </c>
      <c r="CT34" s="95" t="s">
        <v>106</v>
      </c>
      <c r="CU34" s="95">
        <v>34</v>
      </c>
      <c r="CV34" s="95" t="s">
        <v>129</v>
      </c>
      <c r="CZ34" s="95" t="s">
        <v>267</v>
      </c>
      <c r="DA34" s="354">
        <f>B43</f>
        <v>28.5</v>
      </c>
      <c r="DB34" s="95" t="s">
        <v>413</v>
      </c>
      <c r="DS34" s="354"/>
      <c r="DY34" s="406"/>
      <c r="EH34" s="354"/>
      <c r="HD34" s="95" t="s">
        <v>183</v>
      </c>
      <c r="HE34" s="95">
        <v>8.1999999999999993</v>
      </c>
    </row>
    <row r="35" spans="1:214" s="95" customFormat="1" ht="13.15" customHeight="1" x14ac:dyDescent="0.2">
      <c r="A35" s="95" t="s">
        <v>104</v>
      </c>
      <c r="B35" s="397">
        <v>60</v>
      </c>
      <c r="C35" s="95" t="s">
        <v>83</v>
      </c>
      <c r="D35" s="95" t="s">
        <v>178</v>
      </c>
      <c r="E35" s="95">
        <f>B44</f>
        <v>54</v>
      </c>
      <c r="F35" s="95" t="s">
        <v>96</v>
      </c>
      <c r="G35" s="95" t="s">
        <v>181</v>
      </c>
      <c r="H35" s="95">
        <v>0.71</v>
      </c>
      <c r="I35" s="95" t="s">
        <v>180</v>
      </c>
      <c r="J35" s="95" t="s">
        <v>88</v>
      </c>
      <c r="K35" s="95">
        <v>6</v>
      </c>
      <c r="L35" s="95" t="s">
        <v>129</v>
      </c>
      <c r="M35" s="407"/>
      <c r="N35" s="407"/>
      <c r="O35" s="407"/>
      <c r="P35" s="407"/>
      <c r="Q35" s="407"/>
      <c r="R35" s="407"/>
      <c r="V35" s="95" t="s">
        <v>115</v>
      </c>
      <c r="W35" s="354">
        <f>B14</f>
        <v>5.84E-11</v>
      </c>
      <c r="X35" s="95" t="s">
        <v>116</v>
      </c>
      <c r="Y35" s="95" t="s">
        <v>115</v>
      </c>
      <c r="Z35" s="354">
        <f>B14</f>
        <v>5.84E-11</v>
      </c>
      <c r="AA35" s="95" t="s">
        <v>116</v>
      </c>
      <c r="AB35" s="95" t="s">
        <v>38</v>
      </c>
      <c r="AC35" s="95">
        <f>(AC31*AC32)/(1-EXP(-AC32*AC31))</f>
        <v>1.0201767053388309</v>
      </c>
      <c r="AD35" s="95">
        <f>(AD31*AD32)/(1-EXP(-AD32*AD31))</f>
        <v>1.0201767053388309</v>
      </c>
      <c r="AE35" s="95">
        <f>(AE31*AE32)/(1-EXP(-AE32*AE31))</f>
        <v>1.0201767053388309</v>
      </c>
      <c r="AF35" s="95">
        <f>(AF31*AF32)/(1-EXP(-AF32*AF31))</f>
        <v>1.0008019264177617</v>
      </c>
      <c r="AG35" s="95">
        <f>(AG31*AG32)/(1-EXP(-AG32*AG31))</f>
        <v>1.0008019264177617</v>
      </c>
      <c r="BS35" s="354">
        <f>0.000001/(0.0000000281*BT11)</f>
        <v>2.4756305121460619E-2</v>
      </c>
      <c r="BT35" s="354"/>
      <c r="BZ35" s="95">
        <v>1000</v>
      </c>
      <c r="CA35" s="95" t="s">
        <v>195</v>
      </c>
      <c r="CH35" s="483"/>
      <c r="CI35" s="483"/>
      <c r="CJ35" s="483"/>
      <c r="CK35" s="483"/>
      <c r="CL35" s="483"/>
      <c r="CT35" s="95" t="s">
        <v>88</v>
      </c>
      <c r="CU35" s="95">
        <v>6</v>
      </c>
      <c r="CV35" s="95" t="s">
        <v>129</v>
      </c>
      <c r="CZ35" s="95" t="s">
        <v>269</v>
      </c>
      <c r="DA35" s="95">
        <v>350</v>
      </c>
      <c r="DB35" s="95" t="s">
        <v>268</v>
      </c>
      <c r="DS35" s="354"/>
      <c r="DY35" s="406"/>
      <c r="EH35" s="354"/>
      <c r="HD35" s="95" t="s">
        <v>145</v>
      </c>
      <c r="HE35" s="408">
        <v>5</v>
      </c>
      <c r="HF35" s="95" t="s">
        <v>186</v>
      </c>
    </row>
    <row r="36" spans="1:214" s="95" customFormat="1" ht="13.5" thickBot="1" x14ac:dyDescent="0.25">
      <c r="A36" s="95" t="s">
        <v>117</v>
      </c>
      <c r="B36" s="397">
        <v>200</v>
      </c>
      <c r="C36" s="95" t="s">
        <v>96</v>
      </c>
      <c r="D36" s="95" t="s">
        <v>142</v>
      </c>
      <c r="E36" s="354">
        <f>E31/(E33*E32*E34*E35)</f>
        <v>1.5186582350761452E-2</v>
      </c>
      <c r="F36" s="95" t="s">
        <v>23</v>
      </c>
      <c r="G36" s="95" t="s">
        <v>184</v>
      </c>
      <c r="H36" s="95">
        <v>10</v>
      </c>
      <c r="I36" s="95" t="s">
        <v>85</v>
      </c>
      <c r="J36" s="95" t="s">
        <v>259</v>
      </c>
      <c r="K36" s="95">
        <v>10</v>
      </c>
      <c r="L36" s="95" t="s">
        <v>85</v>
      </c>
      <c r="M36" s="407"/>
      <c r="N36" s="407"/>
      <c r="O36" s="407"/>
      <c r="P36" s="407"/>
      <c r="Q36" s="407"/>
      <c r="R36" s="407"/>
      <c r="V36" s="95" t="s">
        <v>414</v>
      </c>
      <c r="W36" s="95">
        <v>1</v>
      </c>
      <c r="Y36" s="95" t="s">
        <v>414</v>
      </c>
      <c r="Z36" s="95">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270</v>
      </c>
      <c r="DA36" s="95">
        <v>350</v>
      </c>
      <c r="DB36" s="95" t="s">
        <v>268</v>
      </c>
      <c r="DS36" s="354"/>
      <c r="DY36" s="409"/>
      <c r="EH36" s="354"/>
      <c r="HD36" s="95" t="s">
        <v>187</v>
      </c>
      <c r="HE36" s="408">
        <v>5</v>
      </c>
      <c r="HF36" s="95" t="s">
        <v>188</v>
      </c>
    </row>
    <row r="37" spans="1:214" s="95" customFormat="1" ht="13.5" thickBot="1" x14ac:dyDescent="0.25">
      <c r="A37" s="95" t="s">
        <v>140</v>
      </c>
      <c r="B37" s="397">
        <v>100</v>
      </c>
      <c r="C37" s="95" t="s">
        <v>96</v>
      </c>
      <c r="G37" s="95" t="s">
        <v>184</v>
      </c>
      <c r="H37" s="95">
        <v>10</v>
      </c>
      <c r="I37" s="95" t="s">
        <v>85</v>
      </c>
      <c r="J37" s="95" t="s">
        <v>260</v>
      </c>
      <c r="K37" s="95">
        <v>10</v>
      </c>
      <c r="L37" s="95" t="s">
        <v>85</v>
      </c>
      <c r="V37" s="374" t="s">
        <v>134</v>
      </c>
      <c r="W37" s="375">
        <f>W26/((W32/W33)*W29*W30*W31*W34)</f>
        <v>2.8469750889679719E-4</v>
      </c>
      <c r="X37" s="376" t="s">
        <v>37</v>
      </c>
      <c r="Y37" s="376" t="s">
        <v>134</v>
      </c>
      <c r="Z37" s="375">
        <f>(Z26*Z30*Z27)/((1-EXP(-Z27))*Z30*Z31*Z29*Z43*(Z32/Z33)*Z34)</f>
        <v>7.1231453837563114E-3</v>
      </c>
      <c r="AA37" s="377" t="s">
        <v>38</v>
      </c>
      <c r="AB37" s="374" t="s">
        <v>142</v>
      </c>
      <c r="AC37" s="375">
        <f>(AC5/(AC9*AC16*AC8*AC11*(1/AC6)))*AC35</f>
        <v>17.937172841122301</v>
      </c>
      <c r="AD37" s="375">
        <f>(AD5/(AD9*AD16*AD8*AD11*(1/AD6)))*AD35</f>
        <v>35.874345682244602</v>
      </c>
      <c r="AE37" s="375">
        <f>(AE5/(AE9*AE16*AE8*AE11*(1/AE6)))*AE35</f>
        <v>19.930192045691445</v>
      </c>
      <c r="AF37" s="410">
        <f>(AF5/(AF9*AF16*AF8*AF11*(1/AF6)))*AF35</f>
        <v>256.35951904960723</v>
      </c>
      <c r="AG37" s="354">
        <f>(AG5/(AG9*AG16*AG8*AG11*(1/AG6)))*AG35</f>
        <v>256.35951904960723</v>
      </c>
      <c r="BK37" s="483"/>
      <c r="BL37" s="483"/>
      <c r="BM37" s="483"/>
      <c r="BN37" s="483"/>
      <c r="BO37" s="483"/>
      <c r="CH37" s="483"/>
      <c r="CI37" s="483"/>
      <c r="CJ37" s="483"/>
      <c r="CK37" s="483"/>
      <c r="CL37" s="483"/>
      <c r="CT37" s="95" t="s">
        <v>260</v>
      </c>
      <c r="CU37" s="95">
        <v>24</v>
      </c>
      <c r="CV37" s="95" t="s">
        <v>85</v>
      </c>
      <c r="CZ37" s="95" t="s">
        <v>246</v>
      </c>
      <c r="DA37" s="95">
        <v>6</v>
      </c>
      <c r="DB37" s="95" t="s">
        <v>129</v>
      </c>
      <c r="DS37" s="354"/>
      <c r="DY37" s="406"/>
      <c r="EH37" s="354"/>
      <c r="HD37" s="95" t="s">
        <v>191</v>
      </c>
      <c r="HE37" s="408">
        <f>(0.0112*HE39*HE39)^0.5+HE40*(1-EXP((-HE38*HE39)/(HE35*HE36*HE40)))</f>
        <v>6.2013772096432787</v>
      </c>
      <c r="HF37" s="95" t="s">
        <v>192</v>
      </c>
    </row>
    <row r="38" spans="1:214" s="95" customFormat="1" ht="14.25" thickTop="1" thickBot="1" x14ac:dyDescent="0.25">
      <c r="A38" s="95" t="s">
        <v>451</v>
      </c>
      <c r="B38" s="397">
        <v>0.78</v>
      </c>
      <c r="D38" s="401" t="s">
        <v>3</v>
      </c>
      <c r="E38" s="19"/>
      <c r="F38" s="20" t="s">
        <v>0</v>
      </c>
      <c r="G38" s="95" t="s">
        <v>167</v>
      </c>
      <c r="H38" s="95">
        <v>1</v>
      </c>
      <c r="I38" s="95" t="s">
        <v>168</v>
      </c>
      <c r="J38" s="95" t="s">
        <v>399</v>
      </c>
      <c r="K38" s="95">
        <v>0.25</v>
      </c>
      <c r="V38" s="411" t="s">
        <v>139</v>
      </c>
      <c r="W38" s="354">
        <f>(W26)/((W32/W33)*W29*W30*W35*(1/365))</f>
        <v>3000</v>
      </c>
      <c r="X38" s="95" t="s">
        <v>37</v>
      </c>
      <c r="Y38" s="95" t="s">
        <v>139</v>
      </c>
      <c r="Z38" s="354">
        <f>(Z26*Z30*Z27)/((1-EXP(-Z27*Z30))*Z35*Z29*Z43*(Z32/Z33)*Z36*(Z43/Z44))</f>
        <v>75060.144481332129</v>
      </c>
      <c r="AA38" s="412" t="s">
        <v>38</v>
      </c>
      <c r="AB38" s="411" t="s">
        <v>134</v>
      </c>
      <c r="AC38" s="354">
        <f>(AC5/(AC24*AC20*AC8*AC11*(1/AC40)*((8/1)/(24/1))*AC36))*AC35</f>
        <v>394.81041038543901</v>
      </c>
      <c r="AD38" s="354">
        <f>(AD5/(AD24*AD20*AD8*((8/1)/(24/1))*AD11*(1/AD40)*AD36))*AD35</f>
        <v>394.81041038543901</v>
      </c>
      <c r="AE38" s="354">
        <f>(AE5/(AE24*AE20*AE8*((8/1)/(24/1))*AE11*(1/AE40)*AE36))*AE35</f>
        <v>438.67823376159885</v>
      </c>
      <c r="AF38" s="413">
        <f>(AF5/(AF24*AF20*AF8*AF11*(1/AF41)*AF28*AF19*AF36))*AF35</f>
        <v>10.59816692322703</v>
      </c>
      <c r="AG38" s="354">
        <v>432</v>
      </c>
      <c r="BK38" s="483"/>
      <c r="BL38" s="483"/>
      <c r="BM38" s="483"/>
      <c r="BN38" s="483"/>
      <c r="BO38" s="483"/>
      <c r="CT38" s="95" t="s">
        <v>420</v>
      </c>
      <c r="CU38" s="95">
        <v>1</v>
      </c>
      <c r="CZ38" s="95" t="s">
        <v>247</v>
      </c>
      <c r="DA38" s="95">
        <v>34</v>
      </c>
      <c r="DB38" s="95" t="s">
        <v>129</v>
      </c>
      <c r="DY38" s="406"/>
      <c r="HD38" s="95" t="s">
        <v>194</v>
      </c>
      <c r="HE38" s="408">
        <v>0.18</v>
      </c>
      <c r="HF38" s="95" t="s">
        <v>186</v>
      </c>
    </row>
    <row r="39" spans="1:214" s="95" customFormat="1" ht="13.5" thickBot="1" x14ac:dyDescent="0.25">
      <c r="A39" s="95" t="s">
        <v>452</v>
      </c>
      <c r="B39" s="397">
        <v>2.5</v>
      </c>
      <c r="D39" s="402" t="s">
        <v>166</v>
      </c>
      <c r="E39" s="101" t="s">
        <v>17</v>
      </c>
      <c r="F39" s="102" t="s">
        <v>25</v>
      </c>
      <c r="G39" s="95" t="s">
        <v>169</v>
      </c>
      <c r="H39" s="95">
        <v>1</v>
      </c>
      <c r="I39" s="95" t="s">
        <v>168</v>
      </c>
      <c r="J39" s="95" t="s">
        <v>171</v>
      </c>
      <c r="K39" s="95">
        <v>1.752</v>
      </c>
      <c r="L39" s="95" t="s">
        <v>127</v>
      </c>
      <c r="V39" s="374" t="s">
        <v>134</v>
      </c>
      <c r="W39" s="375">
        <f>(W26*W27*W30)/((W32/W33)*(1-EXP(-W27*W30))*W31*W34*W29*W30)</f>
        <v>2.90441766644507E-4</v>
      </c>
      <c r="X39" s="376" t="s">
        <v>38</v>
      </c>
      <c r="Y39" s="376" t="s">
        <v>134</v>
      </c>
      <c r="Z39" s="375">
        <f>Z26/((Z31*Z29*Z43*(Z32/Z33)*Z34))</f>
        <v>7.1174377224199285E-3</v>
      </c>
      <c r="AA39" s="377" t="s">
        <v>37</v>
      </c>
      <c r="AB39" s="385" t="s">
        <v>197</v>
      </c>
      <c r="AC39" s="384">
        <f>(AC5/(AC23*AC22*AC29*AC19*AC8*(1/AC34)*AC11))*AC35</f>
        <v>6.475904303455188</v>
      </c>
      <c r="AD39" s="384">
        <f>(AD5*AD31*AD32)/((1-EXP(-AD32*AD31))*AD23*AD8*(1/365)*AD11*AD29*AD21*AD22)</f>
        <v>16.189760758637966</v>
      </c>
      <c r="AE39" s="384">
        <f>(AE5/(AE23*AE22*AE29*AE19*AE8*(1/AE34)*AE11))*AE35</f>
        <v>7.1954492260613172</v>
      </c>
      <c r="AF39" s="414">
        <f>(AF5/(AF23*AF22*(AF28+AF29*AF21)*AF8*(1/AF34)*AF11))*AF35</f>
        <v>218.16334396947144</v>
      </c>
      <c r="AG39" s="354">
        <f>(AG5/(AG24*AG20*AG8*AG11*(1/AG42)*(AG28+(AG29*AG30))*AG36))*AG35</f>
        <v>352.79002685139778</v>
      </c>
      <c r="BK39" s="483"/>
      <c r="BL39" s="483"/>
      <c r="BM39" s="483"/>
      <c r="BN39" s="483"/>
      <c r="BO39" s="483"/>
      <c r="BT39" s="404"/>
      <c r="BU39" s="355"/>
      <c r="CT39" s="95" t="s">
        <v>171</v>
      </c>
      <c r="CU39" s="95">
        <v>12.167999999999999</v>
      </c>
      <c r="CV39" s="95" t="s">
        <v>127</v>
      </c>
      <c r="CZ39" s="95" t="s">
        <v>248</v>
      </c>
      <c r="DA39" s="95">
        <v>40</v>
      </c>
      <c r="DB39" s="95" t="s">
        <v>129</v>
      </c>
      <c r="DY39" s="406"/>
      <c r="HD39" s="95" t="s">
        <v>196</v>
      </c>
      <c r="HE39" s="408">
        <v>55</v>
      </c>
      <c r="HF39" s="95" t="s">
        <v>192</v>
      </c>
    </row>
    <row r="40" spans="1:214" s="95" customFormat="1" ht="15" customHeight="1" thickBot="1" x14ac:dyDescent="0.25">
      <c r="A40" s="95" t="s">
        <v>404</v>
      </c>
      <c r="B40" s="353">
        <v>14.8</v>
      </c>
      <c r="C40" s="95" t="s">
        <v>413</v>
      </c>
      <c r="D40" s="402" t="s">
        <v>193</v>
      </c>
      <c r="E40" s="403">
        <f>E50</f>
        <v>0.50621941169204832</v>
      </c>
      <c r="F40" s="184"/>
      <c r="H40" s="95">
        <f>1/1000</f>
        <v>1E-3</v>
      </c>
      <c r="I40" s="95" t="s">
        <v>170</v>
      </c>
      <c r="J40" s="95" t="s">
        <v>174</v>
      </c>
      <c r="K40" s="95">
        <v>16.416</v>
      </c>
      <c r="L40" s="95" t="s">
        <v>127</v>
      </c>
      <c r="V40" s="383" t="s">
        <v>139</v>
      </c>
      <c r="W40" s="384">
        <f>(W26*W27*W30)/((W32/W33)*(1-EXP(-W27*W30))*W35*W29*W30*(1/365))</f>
        <v>3060.5301160164918</v>
      </c>
      <c r="X40" s="385" t="s">
        <v>38</v>
      </c>
      <c r="Y40" s="385" t="s">
        <v>139</v>
      </c>
      <c r="Z40" s="384">
        <f>Z26/(Z35*Z29*(1/Z44)*Z43*(Z32/Z33)*Z36)</f>
        <v>75000</v>
      </c>
      <c r="AA40" s="386" t="s">
        <v>37</v>
      </c>
      <c r="AB40" s="95" t="s">
        <v>164</v>
      </c>
      <c r="AC40" s="354">
        <f>B18</f>
        <v>1359344473.5814338</v>
      </c>
      <c r="AD40" s="354">
        <f>B18</f>
        <v>1359344473.5814338</v>
      </c>
      <c r="AE40" s="354">
        <f>B18</f>
        <v>1359344473.5814338</v>
      </c>
      <c r="AG40" s="354">
        <f>(AG5/(AG23*AG22*(AG28+AG29*AG21)*AG8*(1/AG34)*AG11))*AG35</f>
        <v>218.16334396947144</v>
      </c>
      <c r="BT40" s="404"/>
      <c r="BU40" s="355"/>
      <c r="CT40" s="95" t="s">
        <v>174</v>
      </c>
      <c r="CU40" s="95">
        <v>10.007999999999999</v>
      </c>
      <c r="CV40" s="95" t="s">
        <v>127</v>
      </c>
      <c r="CZ40" s="95" t="s">
        <v>446</v>
      </c>
      <c r="DA40" s="95">
        <v>24</v>
      </c>
      <c r="DB40" s="95" t="s">
        <v>85</v>
      </c>
      <c r="DY40" s="406"/>
      <c r="HD40" s="95" t="s">
        <v>198</v>
      </c>
      <c r="HE40" s="408">
        <v>5</v>
      </c>
      <c r="HF40" s="95" t="s">
        <v>192</v>
      </c>
    </row>
    <row r="41" spans="1:214" s="95" customFormat="1" ht="15" thickBot="1" x14ac:dyDescent="0.25">
      <c r="A41" s="95" t="s">
        <v>405</v>
      </c>
      <c r="B41" s="353">
        <v>56.2</v>
      </c>
      <c r="C41" s="95" t="s">
        <v>413</v>
      </c>
      <c r="D41" s="405" t="s">
        <v>10</v>
      </c>
      <c r="E41" s="256" t="s">
        <v>34</v>
      </c>
      <c r="F41" s="257"/>
      <c r="H41" s="95">
        <v>1000</v>
      </c>
      <c r="I41" s="95" t="s">
        <v>173</v>
      </c>
      <c r="J41" s="95" t="s">
        <v>177</v>
      </c>
      <c r="K41" s="95">
        <v>0.4</v>
      </c>
      <c r="Y41" s="95" t="s">
        <v>411</v>
      </c>
      <c r="Z41" s="95">
        <v>50</v>
      </c>
      <c r="AA41" s="95" t="s">
        <v>211</v>
      </c>
      <c r="AB41" s="415" t="s">
        <v>201</v>
      </c>
      <c r="AF41" s="416">
        <f>B19</f>
        <v>773681.6396651821</v>
      </c>
      <c r="AH41" s="415" t="s">
        <v>165</v>
      </c>
      <c r="BT41" s="354"/>
      <c r="CT41" s="95" t="s">
        <v>177</v>
      </c>
      <c r="CU41" s="95">
        <v>0.4</v>
      </c>
      <c r="CZ41" s="95" t="s">
        <v>447</v>
      </c>
      <c r="DA41" s="95">
        <v>24</v>
      </c>
      <c r="DB41" s="95" t="s">
        <v>85</v>
      </c>
      <c r="DY41" s="406"/>
      <c r="HD41" s="95" t="s">
        <v>199</v>
      </c>
      <c r="HE41" s="408">
        <v>5</v>
      </c>
      <c r="HF41" s="95" t="s">
        <v>192</v>
      </c>
    </row>
    <row r="42" spans="1:214" s="95" customFormat="1" ht="13.9" customHeight="1" thickTop="1" x14ac:dyDescent="0.2">
      <c r="A42" s="95" t="s">
        <v>400</v>
      </c>
      <c r="B42" s="353">
        <v>10.4</v>
      </c>
      <c r="C42" s="95" t="s">
        <v>413</v>
      </c>
      <c r="D42" s="95" t="s">
        <v>46</v>
      </c>
      <c r="E42" s="354">
        <v>9.9999999999999995E-7</v>
      </c>
      <c r="H42" s="95">
        <v>1000</v>
      </c>
      <c r="I42" s="95" t="s">
        <v>408</v>
      </c>
      <c r="J42" s="95" t="s">
        <v>242</v>
      </c>
      <c r="K42" s="95">
        <v>0.4</v>
      </c>
      <c r="Y42" s="95" t="s">
        <v>410</v>
      </c>
      <c r="Z42" s="95">
        <v>5</v>
      </c>
      <c r="AA42" s="95" t="s">
        <v>327</v>
      </c>
      <c r="AB42" s="415" t="s">
        <v>202</v>
      </c>
      <c r="AF42" s="415"/>
      <c r="AG42" s="416">
        <f>B20</f>
        <v>36055860.959050171</v>
      </c>
      <c r="AH42" s="415"/>
      <c r="AI42" s="415"/>
      <c r="AJ42" s="415"/>
      <c r="AK42" s="415"/>
      <c r="CT42" s="95" t="s">
        <v>242</v>
      </c>
      <c r="CU42" s="95">
        <v>0.4</v>
      </c>
      <c r="CZ42" s="95" t="s">
        <v>167</v>
      </c>
      <c r="DA42" s="95">
        <v>1</v>
      </c>
      <c r="DB42" s="95" t="s">
        <v>271</v>
      </c>
    </row>
    <row r="43" spans="1:214" s="95" customFormat="1" ht="13.15" customHeight="1" x14ac:dyDescent="0.2">
      <c r="A43" s="95" t="s">
        <v>401</v>
      </c>
      <c r="B43" s="353">
        <v>28.5</v>
      </c>
      <c r="C43" s="95" t="s">
        <v>413</v>
      </c>
      <c r="D43" s="95" t="s">
        <v>54</v>
      </c>
      <c r="E43" s="95">
        <v>350</v>
      </c>
      <c r="F43" s="95" t="s">
        <v>55</v>
      </c>
      <c r="G43" s="95" t="s">
        <v>399</v>
      </c>
      <c r="H43" s="95">
        <v>0.25</v>
      </c>
      <c r="J43" s="95" t="s">
        <v>243</v>
      </c>
      <c r="K43" s="95">
        <v>1</v>
      </c>
      <c r="Y43" s="95" t="s">
        <v>328</v>
      </c>
      <c r="Z43" s="95">
        <v>1</v>
      </c>
      <c r="AA43" s="95" t="s">
        <v>276</v>
      </c>
      <c r="AF43" s="483" t="s">
        <v>429</v>
      </c>
      <c r="AG43" s="483"/>
      <c r="AH43" s="483"/>
      <c r="AI43" s="415"/>
      <c r="AJ43" s="415"/>
      <c r="AK43" s="415"/>
      <c r="BT43" s="354"/>
      <c r="CT43" s="95" t="s">
        <v>243</v>
      </c>
      <c r="CU43" s="95">
        <v>1</v>
      </c>
      <c r="CZ43" s="95" t="s">
        <v>169</v>
      </c>
      <c r="DA43" s="95">
        <v>1</v>
      </c>
      <c r="DB43" s="95" t="s">
        <v>271</v>
      </c>
    </row>
    <row r="44" spans="1:214" s="95" customFormat="1" x14ac:dyDescent="0.2">
      <c r="A44" s="95" t="s">
        <v>178</v>
      </c>
      <c r="B44" s="397">
        <v>54</v>
      </c>
      <c r="C44" s="95" t="s">
        <v>96</v>
      </c>
      <c r="D44" s="95" t="s">
        <v>415</v>
      </c>
      <c r="E44" s="354">
        <f>B16</f>
        <v>1.34E-10</v>
      </c>
      <c r="F44" s="95" t="s">
        <v>176</v>
      </c>
      <c r="H44" s="95">
        <v>365</v>
      </c>
      <c r="I44" s="95" t="s">
        <v>55</v>
      </c>
      <c r="J44" s="95" t="s">
        <v>113</v>
      </c>
      <c r="K44" s="95">
        <v>1</v>
      </c>
      <c r="Z44" s="95">
        <v>365</v>
      </c>
      <c r="AA44" s="95" t="s">
        <v>161</v>
      </c>
      <c r="AF44" s="483"/>
      <c r="AG44" s="483"/>
      <c r="AH44" s="483"/>
      <c r="CT44" s="95" t="s">
        <v>113</v>
      </c>
      <c r="CU44" s="95">
        <v>1</v>
      </c>
      <c r="CZ44" s="95" t="s">
        <v>272</v>
      </c>
      <c r="DA44" s="95">
        <v>0.54</v>
      </c>
      <c r="DB44" s="95" t="s">
        <v>274</v>
      </c>
    </row>
    <row r="45" spans="1:214" s="95" customFormat="1" ht="12.75" customHeight="1" x14ac:dyDescent="0.2">
      <c r="A45" s="95" t="s">
        <v>278</v>
      </c>
      <c r="B45" s="397">
        <v>256</v>
      </c>
      <c r="C45" s="95" t="s">
        <v>413</v>
      </c>
      <c r="D45" s="95" t="s">
        <v>68</v>
      </c>
      <c r="E45" s="95">
        <v>26</v>
      </c>
      <c r="F45" s="95" t="s">
        <v>129</v>
      </c>
      <c r="H45" s="95">
        <v>8760</v>
      </c>
      <c r="I45" s="95" t="s">
        <v>258</v>
      </c>
      <c r="J45" s="95" t="s">
        <v>185</v>
      </c>
      <c r="K45" s="95">
        <v>26</v>
      </c>
      <c r="L45" s="95" t="s">
        <v>94</v>
      </c>
      <c r="AB45" s="415"/>
      <c r="AC45" s="415"/>
      <c r="AF45" s="483"/>
      <c r="AG45" s="483"/>
      <c r="AH45" s="483"/>
      <c r="AI45" s="415"/>
      <c r="AJ45" s="415"/>
      <c r="AK45" s="415"/>
      <c r="CT45" s="95" t="s">
        <v>329</v>
      </c>
      <c r="CU45" s="95">
        <v>40</v>
      </c>
      <c r="CV45" s="95" t="s">
        <v>94</v>
      </c>
      <c r="CZ45" s="95" t="s">
        <v>273</v>
      </c>
      <c r="DA45" s="95">
        <v>0.71</v>
      </c>
      <c r="DB45" s="95" t="s">
        <v>274</v>
      </c>
    </row>
    <row r="46" spans="1:214" s="95" customFormat="1" x14ac:dyDescent="0.2">
      <c r="A46" s="95" t="s">
        <v>279</v>
      </c>
      <c r="B46" s="397">
        <v>615</v>
      </c>
      <c r="C46" s="95" t="s">
        <v>413</v>
      </c>
      <c r="D46" s="95" t="s">
        <v>178</v>
      </c>
      <c r="E46" s="95">
        <f>B44</f>
        <v>54</v>
      </c>
      <c r="F46" s="95" t="s">
        <v>96</v>
      </c>
      <c r="G46" s="95" t="s">
        <v>49</v>
      </c>
      <c r="H46" s="95">
        <f>H48</f>
        <v>1E-3</v>
      </c>
      <c r="K46" s="95">
        <v>365</v>
      </c>
      <c r="L46" s="95" t="s">
        <v>189</v>
      </c>
      <c r="AB46" s="415"/>
      <c r="AC46" s="417"/>
      <c r="AI46" s="415"/>
      <c r="AJ46" s="415"/>
      <c r="AK46" s="415"/>
      <c r="CU46" s="95">
        <v>365</v>
      </c>
      <c r="CV46" s="95" t="s">
        <v>189</v>
      </c>
      <c r="DA46" s="95">
        <v>365</v>
      </c>
      <c r="DB46" s="95" t="s">
        <v>268</v>
      </c>
    </row>
    <row r="47" spans="1:214" s="95" customFormat="1" ht="15" x14ac:dyDescent="0.2">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c r="CZ47" s="95" t="s">
        <v>145</v>
      </c>
      <c r="DA47" s="95">
        <v>0.5</v>
      </c>
      <c r="DB47" s="95" t="s">
        <v>275</v>
      </c>
    </row>
    <row r="48" spans="1:214" s="95" customFormat="1" x14ac:dyDescent="0.2">
      <c r="D48" s="95" t="s">
        <v>203</v>
      </c>
      <c r="E48" s="95">
        <f>B22</f>
        <v>30</v>
      </c>
      <c r="F48" s="95" t="s">
        <v>48</v>
      </c>
      <c r="G48" s="95" t="s">
        <v>66</v>
      </c>
      <c r="H48" s="354">
        <f>B30</f>
        <v>1E-3</v>
      </c>
      <c r="K48" s="95">
        <v>1000</v>
      </c>
      <c r="L48" s="95" t="s">
        <v>53</v>
      </c>
      <c r="W48" s="404"/>
      <c r="X48" s="355"/>
      <c r="Y48" s="355"/>
      <c r="Z48" s="355"/>
      <c r="AA48" s="355"/>
      <c r="AB48" s="415"/>
      <c r="AC48" s="415"/>
      <c r="AF48" s="418"/>
      <c r="AG48" s="415"/>
      <c r="AH48" s="415"/>
      <c r="AI48" s="415"/>
      <c r="AJ48" s="415"/>
      <c r="AK48" s="415"/>
      <c r="CU48" s="95">
        <v>1000</v>
      </c>
      <c r="CV48" s="95" t="s">
        <v>53</v>
      </c>
      <c r="DA48" s="95">
        <v>1</v>
      </c>
      <c r="DB48" s="95" t="s">
        <v>276</v>
      </c>
    </row>
    <row r="49" spans="4:106" s="95" customFormat="1" x14ac:dyDescent="0.2">
      <c r="D49" s="95" t="s">
        <v>205</v>
      </c>
      <c r="E49" s="95">
        <v>1</v>
      </c>
      <c r="F49" s="95" t="s">
        <v>206</v>
      </c>
      <c r="G49" s="95" t="s">
        <v>73</v>
      </c>
      <c r="H49" s="95">
        <v>0.26</v>
      </c>
      <c r="J49" s="95" t="s">
        <v>49</v>
      </c>
      <c r="K49" s="95">
        <f>K51</f>
        <v>1E-3</v>
      </c>
      <c r="W49" s="354"/>
      <c r="AB49" s="415"/>
      <c r="AC49" s="415"/>
      <c r="AF49" s="418"/>
      <c r="AG49" s="415"/>
      <c r="AH49" s="415"/>
      <c r="AI49" s="415"/>
      <c r="AJ49" s="415"/>
      <c r="AK49" s="415"/>
      <c r="BT49" s="354"/>
      <c r="DA49" s="95">
        <v>8760</v>
      </c>
      <c r="DB49" s="95" t="s">
        <v>258</v>
      </c>
    </row>
    <row r="50" spans="4:106" s="95" customFormat="1" x14ac:dyDescent="0.2">
      <c r="D50" s="95" t="s">
        <v>142</v>
      </c>
      <c r="E50" s="354">
        <f>E42/(E44*E43*E45*E46*E48*E49*(1/E47))</f>
        <v>0.50621941169204832</v>
      </c>
      <c r="G50" s="95" t="s">
        <v>47</v>
      </c>
      <c r="H50" s="354">
        <f>(H53*H54*H55*((1-EXP(-H56*H57))))/(H58*H56)</f>
        <v>3.4941224674809555E-2</v>
      </c>
      <c r="I50" s="95" t="s">
        <v>48</v>
      </c>
      <c r="J50" s="95" t="s">
        <v>57</v>
      </c>
      <c r="K50" s="95">
        <f>K52</f>
        <v>0.26</v>
      </c>
      <c r="W50" s="354"/>
      <c r="AB50" s="415"/>
      <c r="AC50" s="415"/>
      <c r="AF50" s="418"/>
      <c r="AG50" s="415"/>
      <c r="AH50" s="415"/>
      <c r="AI50" s="415"/>
      <c r="AJ50" s="415"/>
      <c r="AK50" s="415"/>
      <c r="BW50" s="354"/>
      <c r="DA50" s="95">
        <v>1000</v>
      </c>
      <c r="DB50" s="95" t="s">
        <v>195</v>
      </c>
    </row>
    <row r="51" spans="4:106" s="95" customFormat="1" x14ac:dyDescent="0.2">
      <c r="G51" s="95" t="s">
        <v>56</v>
      </c>
      <c r="H51" s="354">
        <f>(H53*H54*H59*((1-EXP(-H56*H57))))/(H58*H56)</f>
        <v>9.0847184154504852</v>
      </c>
      <c r="I51" s="95" t="s">
        <v>48</v>
      </c>
      <c r="J51" s="95" t="s">
        <v>66</v>
      </c>
      <c r="K51" s="354">
        <f>B30</f>
        <v>1E-3</v>
      </c>
      <c r="AB51" s="415"/>
      <c r="AC51" s="415"/>
      <c r="AF51" s="418"/>
      <c r="AG51" s="415"/>
      <c r="BW51" s="354"/>
    </row>
    <row r="52" spans="4:106" s="95" customFormat="1" x14ac:dyDescent="0.2">
      <c r="G52" s="95" t="s">
        <v>65</v>
      </c>
      <c r="H52" s="354">
        <f>(H53*H54*H60*H66*((1-EXP(-H61*H62))))/(H63*H61)</f>
        <v>3.6421488784670224</v>
      </c>
      <c r="I52" s="95" t="s">
        <v>48</v>
      </c>
      <c r="J52" s="95" t="s">
        <v>73</v>
      </c>
      <c r="K52" s="95">
        <v>0.26</v>
      </c>
      <c r="AB52" s="415"/>
      <c r="AC52" s="415"/>
      <c r="AF52" s="418"/>
      <c r="AG52" s="415"/>
      <c r="BW52" s="354"/>
    </row>
    <row r="53" spans="4:106" s="95" customFormat="1" x14ac:dyDescent="0.2">
      <c r="G53" s="95" t="s">
        <v>71</v>
      </c>
      <c r="H53" s="95">
        <v>3.62</v>
      </c>
      <c r="I53" s="95" t="s">
        <v>72</v>
      </c>
      <c r="W53" s="354"/>
      <c r="AB53" s="415"/>
      <c r="AC53" s="415"/>
      <c r="AF53" s="418"/>
      <c r="AG53" s="415"/>
    </row>
    <row r="54" spans="4:106" s="95" customFormat="1" x14ac:dyDescent="0.2">
      <c r="G54" s="95" t="s">
        <v>79</v>
      </c>
      <c r="H54" s="95">
        <v>0.25</v>
      </c>
      <c r="I54" s="95" t="s">
        <v>80</v>
      </c>
      <c r="AB54" s="415"/>
      <c r="AC54" s="415"/>
      <c r="AF54" s="418"/>
      <c r="AG54" s="415"/>
    </row>
    <row r="55" spans="4:106" s="95" customFormat="1" x14ac:dyDescent="0.2">
      <c r="G55" s="95" t="s">
        <v>66</v>
      </c>
      <c r="H55" s="354">
        <f>B30</f>
        <v>1E-3</v>
      </c>
      <c r="AB55" s="415"/>
      <c r="AC55" s="415"/>
      <c r="AD55" s="415"/>
      <c r="AF55" s="418"/>
      <c r="AG55" s="415"/>
      <c r="AH55" s="415"/>
      <c r="AI55" s="415"/>
      <c r="AJ55" s="415"/>
      <c r="AK55" s="415"/>
    </row>
    <row r="56" spans="4:106" s="95" customFormat="1" x14ac:dyDescent="0.2">
      <c r="G56" s="95" t="s">
        <v>99</v>
      </c>
      <c r="H56" s="95">
        <f>H64+H65</f>
        <v>3.1394977168949772E-5</v>
      </c>
      <c r="AB56" s="415"/>
      <c r="AC56" s="415"/>
      <c r="AD56" s="415"/>
      <c r="AF56" s="418"/>
      <c r="AG56" s="415"/>
      <c r="AH56" s="415"/>
      <c r="AI56" s="415"/>
      <c r="AJ56" s="415"/>
      <c r="AK56" s="415"/>
    </row>
    <row r="57" spans="4:106" s="95" customFormat="1" x14ac:dyDescent="0.2">
      <c r="G57" s="95" t="s">
        <v>109</v>
      </c>
      <c r="H57" s="95">
        <v>10950</v>
      </c>
      <c r="I57" s="95" t="s">
        <v>110</v>
      </c>
      <c r="AB57" s="415"/>
      <c r="AC57" s="415"/>
      <c r="AD57" s="415"/>
      <c r="AF57" s="418"/>
      <c r="AG57" s="415"/>
      <c r="AH57" s="415"/>
      <c r="AI57" s="415"/>
      <c r="AJ57" s="415"/>
      <c r="AK57" s="415"/>
    </row>
    <row r="58" spans="4:106" s="95" customFormat="1" x14ac:dyDescent="0.2">
      <c r="G58" s="95" t="s">
        <v>120</v>
      </c>
      <c r="H58" s="95">
        <v>240</v>
      </c>
      <c r="I58" s="95" t="s">
        <v>121</v>
      </c>
      <c r="AB58" s="415"/>
      <c r="AC58" s="415"/>
      <c r="AF58" s="418"/>
      <c r="AG58" s="415"/>
      <c r="AH58" s="415"/>
      <c r="AI58" s="415"/>
      <c r="AJ58" s="415"/>
      <c r="AK58" s="415"/>
    </row>
    <row r="59" spans="4:106" s="95" customFormat="1" x14ac:dyDescent="0.2">
      <c r="G59" s="95" t="s">
        <v>130</v>
      </c>
      <c r="H59" s="95">
        <v>0.26</v>
      </c>
      <c r="AB59" s="415"/>
      <c r="AC59" s="415"/>
      <c r="AF59" s="415"/>
      <c r="AG59" s="415"/>
      <c r="AH59" s="415"/>
      <c r="AI59" s="415"/>
      <c r="AJ59" s="415"/>
      <c r="AK59" s="415"/>
    </row>
    <row r="60" spans="4:106" s="95" customFormat="1" x14ac:dyDescent="0.2">
      <c r="G60" s="95" t="s">
        <v>137</v>
      </c>
      <c r="H60" s="95">
        <v>0.42</v>
      </c>
      <c r="I60" s="95" t="s">
        <v>80</v>
      </c>
      <c r="AB60" s="415"/>
      <c r="AC60" s="415"/>
      <c r="AF60" s="415"/>
      <c r="AG60" s="415"/>
      <c r="AH60" s="415"/>
      <c r="AI60" s="415"/>
      <c r="AJ60" s="415"/>
      <c r="AK60" s="415"/>
    </row>
    <row r="61" spans="4:106" s="95" customFormat="1" x14ac:dyDescent="0.2">
      <c r="G61" s="95" t="s">
        <v>143</v>
      </c>
      <c r="H61" s="95">
        <f>H65+(0.693/H67)</f>
        <v>4.9504394977168943E-2</v>
      </c>
      <c r="I61" s="95" t="s">
        <v>144</v>
      </c>
      <c r="AB61" s="415"/>
      <c r="AC61" s="415"/>
      <c r="AD61" s="415"/>
      <c r="AF61" s="415"/>
      <c r="AG61" s="415"/>
      <c r="AH61" s="415"/>
      <c r="AI61" s="415"/>
      <c r="AJ61" s="415"/>
      <c r="AK61" s="415"/>
      <c r="DA61" s="354"/>
    </row>
    <row r="62" spans="4:106" s="95" customFormat="1" x14ac:dyDescent="0.2">
      <c r="G62" s="95" t="s">
        <v>148</v>
      </c>
      <c r="H62" s="95">
        <v>60</v>
      </c>
      <c r="I62" s="95" t="s">
        <v>110</v>
      </c>
      <c r="AB62" s="415"/>
      <c r="AC62" s="415"/>
      <c r="AD62" s="415"/>
      <c r="AF62" s="418"/>
      <c r="AG62" s="415"/>
      <c r="AH62" s="415"/>
      <c r="AI62" s="415"/>
      <c r="AJ62" s="415"/>
      <c r="AK62" s="415"/>
    </row>
    <row r="63" spans="4:106" s="95" customFormat="1" x14ac:dyDescent="0.2">
      <c r="G63" s="95" t="s">
        <v>150</v>
      </c>
      <c r="H63" s="95">
        <v>2</v>
      </c>
      <c r="I63" s="95" t="s">
        <v>121</v>
      </c>
      <c r="AB63" s="415"/>
      <c r="AC63" s="415"/>
      <c r="AD63" s="415"/>
      <c r="AF63" s="418"/>
      <c r="AG63" s="415"/>
      <c r="AH63" s="415"/>
      <c r="AI63" s="415"/>
      <c r="AJ63" s="415"/>
      <c r="AK63" s="415"/>
    </row>
    <row r="64" spans="4:106"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4.3949771689497717E-6</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95">
        <f>B29</f>
        <v>6.0000000000000001E-3</v>
      </c>
      <c r="AB68" s="415"/>
      <c r="AC68" s="420"/>
      <c r="AD68" s="415"/>
      <c r="AF68" s="418"/>
      <c r="AG68" s="415"/>
      <c r="AH68" s="415"/>
      <c r="AI68" s="415"/>
      <c r="AJ68" s="415"/>
      <c r="AK68" s="415"/>
    </row>
    <row r="69" spans="7:105" s="95" customFormat="1" x14ac:dyDescent="0.2">
      <c r="G69" s="95" t="s">
        <v>453</v>
      </c>
      <c r="H69" s="354">
        <f>B21</f>
        <v>157680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RBy1BNLL5xgvVQEemBLqR6R6UfYVW8Qr8I6ylPy773XGSb/bNnJ1tg7/h5asxlC12a4hHPhmPQI6fwGPWVBZag==" saltValue="5FhQ/jePaNxAD9vi79IFNA==" spinCount="100000" sheet="1" objects="1" scenarios="1" formatColumns="0" formatRows="0"/>
  <mergeCells count="4">
    <mergeCell ref="CH34:CL37"/>
    <mergeCell ref="BK36:BO39"/>
    <mergeCell ref="AF43:AH45"/>
    <mergeCell ref="A1:C4"/>
  </mergeCells>
  <pageMargins left="0.75" right="0.75" top="1" bottom="1" header="0.51180555555555551" footer="0.51180555555555551"/>
  <pageSetup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86"/>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RowHeight="12.75" x14ac:dyDescent="0.2"/>
  <cols>
    <col min="1" max="1" width="14.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2" width="15.42578125"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1" width="8.28515625" bestFit="1" customWidth="1"/>
    <col min="162" max="162" width="8.8554687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5" thickTop="1" x14ac:dyDescent="0.2">
      <c r="A1" s="484" t="s">
        <v>450</v>
      </c>
      <c r="B1" s="485"/>
      <c r="C1" s="486"/>
      <c r="D1" s="14" t="s">
        <v>3</v>
      </c>
      <c r="E1" s="15"/>
      <c r="F1" s="15" t="s">
        <v>15</v>
      </c>
      <c r="G1" s="16" t="s">
        <v>3</v>
      </c>
      <c r="H1" s="17"/>
      <c r="I1" s="17" t="s">
        <v>15</v>
      </c>
      <c r="J1" s="18" t="s">
        <v>3</v>
      </c>
      <c r="K1" s="19"/>
      <c r="L1" s="20" t="s">
        <v>15</v>
      </c>
      <c r="M1" s="21" t="s">
        <v>13</v>
      </c>
      <c r="N1" s="22" t="s">
        <v>14</v>
      </c>
      <c r="O1" s="22" t="s">
        <v>15</v>
      </c>
      <c r="P1" s="23" t="s">
        <v>13</v>
      </c>
      <c r="Q1" s="22" t="s">
        <v>157</v>
      </c>
      <c r="R1" s="22" t="s">
        <v>15</v>
      </c>
      <c r="S1" s="23" t="s">
        <v>13</v>
      </c>
      <c r="T1" s="22" t="s">
        <v>16</v>
      </c>
      <c r="U1" s="24" t="s">
        <v>15</v>
      </c>
      <c r="V1" s="25" t="s">
        <v>1</v>
      </c>
      <c r="W1" s="26" t="s">
        <v>2</v>
      </c>
      <c r="X1" s="26" t="s">
        <v>15</v>
      </c>
      <c r="Y1" s="27" t="s">
        <v>1</v>
      </c>
      <c r="Z1" s="26" t="s">
        <v>4</v>
      </c>
      <c r="AA1" s="28" t="s">
        <v>15</v>
      </c>
      <c r="AB1" s="29" t="s">
        <v>1</v>
      </c>
      <c r="AC1" s="30" t="s">
        <v>4</v>
      </c>
      <c r="AD1" s="31" t="s">
        <v>5</v>
      </c>
      <c r="AE1" s="30" t="s">
        <v>2</v>
      </c>
      <c r="AF1" s="30" t="s">
        <v>7</v>
      </c>
      <c r="AG1" s="31" t="s">
        <v>6</v>
      </c>
      <c r="AH1" s="32" t="s">
        <v>15</v>
      </c>
      <c r="AI1" s="33" t="s">
        <v>13</v>
      </c>
      <c r="AJ1" s="34" t="s">
        <v>14</v>
      </c>
      <c r="AK1" s="34" t="s">
        <v>15</v>
      </c>
      <c r="AL1" s="35" t="s">
        <v>13</v>
      </c>
      <c r="AM1" s="34" t="s">
        <v>157</v>
      </c>
      <c r="AN1" s="34" t="s">
        <v>15</v>
      </c>
      <c r="AO1" s="35" t="s">
        <v>13</v>
      </c>
      <c r="AP1" s="34" t="s">
        <v>16</v>
      </c>
      <c r="AQ1" s="36" t="s">
        <v>15</v>
      </c>
      <c r="AR1" s="37" t="s">
        <v>13</v>
      </c>
      <c r="AS1" s="38" t="s">
        <v>14</v>
      </c>
      <c r="AT1" s="38" t="s">
        <v>15</v>
      </c>
      <c r="AU1" s="39" t="s">
        <v>13</v>
      </c>
      <c r="AV1" s="38" t="s">
        <v>157</v>
      </c>
      <c r="AW1" s="38" t="s">
        <v>15</v>
      </c>
      <c r="AX1" s="39" t="s">
        <v>13</v>
      </c>
      <c r="AY1" s="38" t="s">
        <v>16</v>
      </c>
      <c r="AZ1" s="40" t="s">
        <v>15</v>
      </c>
      <c r="BA1" s="37" t="s">
        <v>13</v>
      </c>
      <c r="BB1" s="38" t="s">
        <v>14</v>
      </c>
      <c r="BC1" s="38" t="s">
        <v>15</v>
      </c>
      <c r="BD1" s="39" t="s">
        <v>13</v>
      </c>
      <c r="BE1" s="38" t="s">
        <v>157</v>
      </c>
      <c r="BF1" s="38" t="s">
        <v>15</v>
      </c>
      <c r="BG1" s="39" t="s">
        <v>13</v>
      </c>
      <c r="BH1" s="38" t="s">
        <v>16</v>
      </c>
      <c r="BI1" s="40" t="s">
        <v>15</v>
      </c>
      <c r="BJ1" s="37" t="s">
        <v>13</v>
      </c>
      <c r="BK1" s="38" t="s">
        <v>14</v>
      </c>
      <c r="BL1" s="38" t="s">
        <v>15</v>
      </c>
      <c r="BM1" s="39" t="s">
        <v>13</v>
      </c>
      <c r="BN1" s="38" t="s">
        <v>157</v>
      </c>
      <c r="BO1" s="38" t="s">
        <v>15</v>
      </c>
      <c r="BP1" s="39" t="s">
        <v>13</v>
      </c>
      <c r="BQ1" s="38" t="s">
        <v>16</v>
      </c>
      <c r="BR1" s="40" t="s">
        <v>15</v>
      </c>
      <c r="BS1" s="41" t="s">
        <v>8</v>
      </c>
      <c r="BT1" s="42"/>
      <c r="BU1" s="42" t="s">
        <v>15</v>
      </c>
      <c r="BV1" s="41" t="s">
        <v>8</v>
      </c>
      <c r="BW1" s="42"/>
      <c r="BX1" s="42" t="s">
        <v>15</v>
      </c>
      <c r="BY1" s="41" t="s">
        <v>434</v>
      </c>
      <c r="BZ1" s="42"/>
      <c r="CA1" s="42" t="s">
        <v>15</v>
      </c>
      <c r="CB1" s="41" t="s">
        <v>8</v>
      </c>
      <c r="CC1" s="42" t="s">
        <v>14</v>
      </c>
      <c r="CD1" s="42" t="s">
        <v>15</v>
      </c>
      <c r="CE1" s="41" t="s">
        <v>8</v>
      </c>
      <c r="CF1" s="42" t="s">
        <v>157</v>
      </c>
      <c r="CG1" s="42" t="s">
        <v>15</v>
      </c>
      <c r="CH1" s="41" t="s">
        <v>8</v>
      </c>
      <c r="CI1" s="42" t="s">
        <v>16</v>
      </c>
      <c r="CJ1" s="43" t="s">
        <v>15</v>
      </c>
      <c r="CK1" s="41" t="s">
        <v>8</v>
      </c>
      <c r="CL1" s="42" t="s">
        <v>331</v>
      </c>
      <c r="CM1" s="43" t="s">
        <v>15</v>
      </c>
      <c r="CN1" s="41" t="s">
        <v>8</v>
      </c>
      <c r="CO1" s="42" t="s">
        <v>331</v>
      </c>
      <c r="CP1" s="43" t="s">
        <v>15</v>
      </c>
      <c r="CQ1" s="41" t="s">
        <v>8</v>
      </c>
      <c r="CR1" s="42" t="s">
        <v>331</v>
      </c>
      <c r="CS1" s="43" t="s">
        <v>15</v>
      </c>
      <c r="CT1" s="44" t="s">
        <v>321</v>
      </c>
      <c r="CU1" s="45"/>
      <c r="CV1" s="46" t="s">
        <v>15</v>
      </c>
      <c r="CW1" s="47" t="s">
        <v>321</v>
      </c>
      <c r="CX1" s="48"/>
      <c r="CY1" s="48" t="s">
        <v>15</v>
      </c>
      <c r="CZ1" s="49" t="s">
        <v>9</v>
      </c>
      <c r="DA1" s="50"/>
      <c r="DB1" s="51" t="s">
        <v>15</v>
      </c>
      <c r="DC1" s="52" t="s">
        <v>9</v>
      </c>
      <c r="DD1" s="52"/>
      <c r="DE1" s="52" t="s">
        <v>15</v>
      </c>
      <c r="DF1" s="53" t="s">
        <v>9</v>
      </c>
      <c r="DG1" s="54" t="s">
        <v>10</v>
      </c>
      <c r="DH1" s="54" t="s">
        <v>15</v>
      </c>
      <c r="DI1" s="55" t="s">
        <v>9</v>
      </c>
      <c r="DJ1" s="54" t="s">
        <v>11</v>
      </c>
      <c r="DK1" s="54" t="s">
        <v>15</v>
      </c>
      <c r="DL1" s="55" t="s">
        <v>9</v>
      </c>
      <c r="DM1" s="54" t="s">
        <v>12</v>
      </c>
      <c r="DN1" s="54" t="s">
        <v>15</v>
      </c>
      <c r="DO1" s="55" t="s">
        <v>9</v>
      </c>
      <c r="DP1" s="54" t="s">
        <v>12</v>
      </c>
      <c r="DQ1" s="56" t="s">
        <v>15</v>
      </c>
      <c r="DR1" s="57" t="s">
        <v>9</v>
      </c>
      <c r="DS1" s="57"/>
      <c r="DT1" s="57" t="s">
        <v>15</v>
      </c>
      <c r="DU1" s="58" t="s">
        <v>9</v>
      </c>
      <c r="DV1" s="59" t="s">
        <v>10</v>
      </c>
      <c r="DW1" s="59" t="s">
        <v>15</v>
      </c>
      <c r="DX1" s="60" t="s">
        <v>9</v>
      </c>
      <c r="DY1" s="59" t="s">
        <v>11</v>
      </c>
      <c r="DZ1" s="59" t="s">
        <v>15</v>
      </c>
      <c r="EA1" s="60" t="s">
        <v>9</v>
      </c>
      <c r="EB1" s="59" t="s">
        <v>12</v>
      </c>
      <c r="EC1" s="59" t="s">
        <v>15</v>
      </c>
      <c r="ED1" s="60" t="s">
        <v>9</v>
      </c>
      <c r="EE1" s="59" t="s">
        <v>12</v>
      </c>
      <c r="EF1" s="61" t="s">
        <v>15</v>
      </c>
      <c r="EG1" s="62" t="s">
        <v>9</v>
      </c>
      <c r="EH1" s="62"/>
      <c r="EI1" s="62" t="s">
        <v>15</v>
      </c>
      <c r="EJ1" s="63" t="s">
        <v>9</v>
      </c>
      <c r="EK1" s="64" t="s">
        <v>10</v>
      </c>
      <c r="EL1" s="64" t="s">
        <v>15</v>
      </c>
      <c r="EM1" s="65" t="s">
        <v>9</v>
      </c>
      <c r="EN1" s="64" t="s">
        <v>11</v>
      </c>
      <c r="EO1" s="64" t="s">
        <v>15</v>
      </c>
      <c r="EP1" s="65" t="s">
        <v>9</v>
      </c>
      <c r="EQ1" s="64" t="s">
        <v>12</v>
      </c>
      <c r="ER1" s="64" t="s">
        <v>15</v>
      </c>
      <c r="ES1" s="65" t="s">
        <v>9</v>
      </c>
      <c r="ET1" s="64" t="s">
        <v>12</v>
      </c>
      <c r="EU1" s="66" t="s">
        <v>15</v>
      </c>
      <c r="EV1" s="67" t="s">
        <v>9</v>
      </c>
      <c r="EW1" s="67"/>
      <c r="EX1" s="67" t="s">
        <v>15</v>
      </c>
      <c r="EY1" s="68" t="s">
        <v>9</v>
      </c>
      <c r="EZ1" s="69" t="s">
        <v>10</v>
      </c>
      <c r="FA1" s="69" t="s">
        <v>15</v>
      </c>
      <c r="FB1" s="70" t="s">
        <v>9</v>
      </c>
      <c r="FC1" s="69" t="s">
        <v>11</v>
      </c>
      <c r="FD1" s="69" t="s">
        <v>15</v>
      </c>
      <c r="FE1" s="70" t="s">
        <v>9</v>
      </c>
      <c r="FF1" s="69" t="s">
        <v>12</v>
      </c>
      <c r="FG1" s="69" t="s">
        <v>15</v>
      </c>
      <c r="FH1" s="70" t="s">
        <v>9</v>
      </c>
      <c r="FI1" s="69" t="s">
        <v>12</v>
      </c>
      <c r="FJ1" s="71" t="s">
        <v>15</v>
      </c>
      <c r="FK1" s="72" t="s">
        <v>9</v>
      </c>
      <c r="FL1" s="73"/>
      <c r="FM1" s="74" t="s">
        <v>15</v>
      </c>
      <c r="FN1" s="75" t="s">
        <v>9</v>
      </c>
      <c r="FO1" s="76" t="s">
        <v>10</v>
      </c>
      <c r="FP1" s="76" t="s">
        <v>15</v>
      </c>
      <c r="FQ1" s="77" t="s">
        <v>9</v>
      </c>
      <c r="FR1" s="76" t="s">
        <v>11</v>
      </c>
      <c r="FS1" s="76" t="s">
        <v>15</v>
      </c>
      <c r="FT1" s="77" t="s">
        <v>9</v>
      </c>
      <c r="FU1" s="76" t="s">
        <v>12</v>
      </c>
      <c r="FV1" s="76" t="s">
        <v>15</v>
      </c>
      <c r="FW1" s="77" t="s">
        <v>9</v>
      </c>
      <c r="FX1" s="76" t="s">
        <v>12</v>
      </c>
      <c r="FY1" s="78" t="s">
        <v>15</v>
      </c>
      <c r="FZ1" s="79" t="s">
        <v>9</v>
      </c>
      <c r="GA1" s="80"/>
      <c r="GB1" s="81" t="s">
        <v>15</v>
      </c>
      <c r="GC1" s="82" t="s">
        <v>9</v>
      </c>
      <c r="GD1" s="83" t="s">
        <v>10</v>
      </c>
      <c r="GE1" s="83" t="s">
        <v>15</v>
      </c>
      <c r="GF1" s="84" t="s">
        <v>9</v>
      </c>
      <c r="GG1" s="83" t="s">
        <v>11</v>
      </c>
      <c r="GH1" s="83" t="s">
        <v>15</v>
      </c>
      <c r="GI1" s="84" t="s">
        <v>9</v>
      </c>
      <c r="GJ1" s="83" t="s">
        <v>12</v>
      </c>
      <c r="GK1" s="83" t="s">
        <v>15</v>
      </c>
      <c r="GL1" s="84" t="s">
        <v>9</v>
      </c>
      <c r="GM1" s="83" t="s">
        <v>12</v>
      </c>
      <c r="GN1" s="85" t="s">
        <v>15</v>
      </c>
      <c r="GO1" s="86" t="s">
        <v>9</v>
      </c>
      <c r="GP1" s="87"/>
      <c r="GQ1" s="88" t="s">
        <v>15</v>
      </c>
      <c r="GR1" s="89" t="s">
        <v>9</v>
      </c>
      <c r="GS1" s="90" t="s">
        <v>10</v>
      </c>
      <c r="GT1" s="90" t="s">
        <v>15</v>
      </c>
      <c r="GU1" s="91" t="s">
        <v>9</v>
      </c>
      <c r="GV1" s="90" t="s">
        <v>11</v>
      </c>
      <c r="GW1" s="90" t="s">
        <v>15</v>
      </c>
      <c r="GX1" s="91" t="s">
        <v>9</v>
      </c>
      <c r="GY1" s="90" t="s">
        <v>12</v>
      </c>
      <c r="GZ1" s="90" t="s">
        <v>15</v>
      </c>
      <c r="HA1" s="91" t="s">
        <v>9</v>
      </c>
      <c r="HB1" s="90" t="s">
        <v>12</v>
      </c>
      <c r="HC1" s="90" t="s">
        <v>15</v>
      </c>
      <c r="HD1" s="92" t="s">
        <v>17</v>
      </c>
      <c r="HE1" s="93" t="s">
        <v>15</v>
      </c>
      <c r="HF1" s="94" t="s">
        <v>18</v>
      </c>
    </row>
    <row r="2" spans="1:214" s="95" customFormat="1" x14ac:dyDescent="0.2">
      <c r="A2" s="487"/>
      <c r="B2" s="488"/>
      <c r="C2" s="489"/>
      <c r="D2" s="96"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x14ac:dyDescent="0.2">
      <c r="A3" s="487"/>
      <c r="B3" s="488"/>
      <c r="C3" s="489"/>
      <c r="D3" s="96" t="s">
        <v>37</v>
      </c>
      <c r="E3" s="181">
        <f>1/((1/E20)+(1/E21))</f>
        <v>0.50620447193512264</v>
      </c>
      <c r="F3" s="182"/>
      <c r="G3" s="98"/>
      <c r="H3" s="181">
        <f>1/((1/H10)+(1/H12)+(1/H13))</f>
        <v>1.5352973287213254</v>
      </c>
      <c r="I3" s="183"/>
      <c r="J3" s="100"/>
      <c r="K3" s="181">
        <f>1/((1/K14)+(1/K15)+(1/K16+(1/K17)))</f>
        <v>5.45000748585888E-2</v>
      </c>
      <c r="L3" s="184"/>
      <c r="M3" s="103" t="s">
        <v>39</v>
      </c>
      <c r="N3" s="185">
        <f>(N5*N6*N7)/((1-EXP(-N7*N6))*N10*N15*(N9/365)*N13*(((N14/24)*N12)+((N16/24)*N11)))</f>
        <v>6.06038043433249E-2</v>
      </c>
      <c r="O3" s="105"/>
      <c r="P3" s="106" t="s">
        <v>39</v>
      </c>
      <c r="Q3" s="185">
        <f>(Q5*Q6*Q7)/((1-EXP(-Q7*Q6))*Q10*Q15*(Q9/365)*Q13*(((Q14/24)*Q12)+((Q16/24)*Q11)))</f>
        <v>475.10389824705328</v>
      </c>
      <c r="R3" s="105"/>
      <c r="S3" s="106" t="s">
        <v>39</v>
      </c>
      <c r="T3" s="185">
        <f>(T5*T6*T7)/((1-EXP(-T7*T6))*T10*T15*(T9/365)*T13*(((T14/24)*T12)+((T16/24)*T11)))</f>
        <v>6.781218635772919E-2</v>
      </c>
      <c r="U3" s="107"/>
      <c r="V3" s="108" t="s">
        <v>38</v>
      </c>
      <c r="W3" s="186">
        <f>1/((1/W18)+(1/W19))</f>
        <v>0.97436138272759076</v>
      </c>
      <c r="X3" s="187"/>
      <c r="Y3" s="188" t="s">
        <v>38</v>
      </c>
      <c r="Z3" s="186">
        <f>1/((1/Z18)+(1/Z19))</f>
        <v>0.87692524445483144</v>
      </c>
      <c r="AA3" s="189"/>
      <c r="AB3" s="112"/>
      <c r="AC3" s="190">
        <f>1/((1/AC37)+(1/AC38)+(1/AC39))</f>
        <v>9.067581596413557E-2</v>
      </c>
      <c r="AD3" s="191">
        <f>1/((1/AD37)+(1/AD38)+(1/AD39))</f>
        <v>0.22661219820886908</v>
      </c>
      <c r="AE3" s="190">
        <f>1/((1/AE37)+(1/AE38)+(1/AE39))</f>
        <v>0.10075090662681731</v>
      </c>
      <c r="AF3" s="190">
        <f>1/((1/AF37)+(1/AF38)+(1/AF39))</f>
        <v>1.2418841160771961</v>
      </c>
      <c r="AG3" s="191">
        <f>1/((1/AG37)+(1/AG39)+(1/AG40))</f>
        <v>1.2419978535364185</v>
      </c>
      <c r="AH3" s="192"/>
      <c r="AI3" s="116" t="s">
        <v>39</v>
      </c>
      <c r="AJ3" s="193">
        <f>(AJ5*AJ6*AJ7)/((1-EXP(-AJ7*AJ6))*AJ10*AJ15*(AJ9/365)*AJ13*((AJ14*AJ12)+(AJ16*AJ11)))</f>
        <v>0.22699934969647714</v>
      </c>
      <c r="AK3" s="118"/>
      <c r="AL3" s="119" t="s">
        <v>39</v>
      </c>
      <c r="AM3" s="193">
        <f>(AM5*AM6*AM7)/((1-EXP(-AM7*AM6))*AM10*AM15*(AM9/365)*AM13*((AM14*AM12)+(AM16*AM11)))</f>
        <v>1779.5628031760859</v>
      </c>
      <c r="AN3" s="118"/>
      <c r="AO3" s="119" t="s">
        <v>39</v>
      </c>
      <c r="AP3" s="193">
        <f>(AP5*AP6*AP7)/((1-EXP(-AP7*AP6))*AP10*AP15*(AP9/365)*AP13*((AP14*AP12)+(AP16*AP11)))</f>
        <v>0.25399927234759995</v>
      </c>
      <c r="AQ3" s="120"/>
      <c r="AR3" s="121" t="s">
        <v>39</v>
      </c>
      <c r="AS3" s="194">
        <f>(AS5*AS6*AS7)/((1-EXP(-AS7*AS6))*AS10*AS15*(AS9/365)*AS13*((AS14*AS12)+(AS16*AS11)))</f>
        <v>0.10088859986510093</v>
      </c>
      <c r="AT3" s="123"/>
      <c r="AU3" s="124" t="s">
        <v>39</v>
      </c>
      <c r="AV3" s="194">
        <f>(AV5*AV6*AV7)/((1-EXP(-AV7*AV6))*AV10*AV15*(AV9/365)*AV13*((AV14*AV12)+(AV16*AV11)))</f>
        <v>790.91680141159361</v>
      </c>
      <c r="AW3" s="123"/>
      <c r="AX3" s="124" t="s">
        <v>39</v>
      </c>
      <c r="AY3" s="194">
        <f>(AY5*AY6*AY7)/((1-EXP(-AY7*AY6))*AY10*AY15*(AY9/365)*AY13*((AY14*AY12)+(AY16*AY11)))</f>
        <v>0.1128885654878222</v>
      </c>
      <c r="AZ3" s="125"/>
      <c r="BA3" s="121" t="s">
        <v>39</v>
      </c>
      <c r="BB3" s="194">
        <f>(BB5*BB6*BB7)/((1-EXP(-BB7*BB6))*BB10*BB15*(BB9/365)*BB13*((BB14*BB12)+(BB16*BB11)))</f>
        <v>9.0799739878590857E-2</v>
      </c>
      <c r="BC3" s="123"/>
      <c r="BD3" s="124" t="s">
        <v>39</v>
      </c>
      <c r="BE3" s="194">
        <f>(BE5*BE6*BE7)/((1-EXP(-BE7*BE6))*BE10*BE15*(BE9/365)*BE13*((BE14*BE12)+(BE16*BE11)))</f>
        <v>711.82512127043435</v>
      </c>
      <c r="BF3" s="123"/>
      <c r="BG3" s="124" t="s">
        <v>39</v>
      </c>
      <c r="BH3" s="194">
        <f>(BH5*BH6*BH7)/((1-EXP(-BH7*BH6))*BH10*BH15*(BH9/365)*BH13*((BH14*BH12)+(BH16*BH11)))</f>
        <v>0.10159970893903998</v>
      </c>
      <c r="BI3" s="125"/>
      <c r="BJ3" s="121" t="s">
        <v>39</v>
      </c>
      <c r="BK3" s="194">
        <f>(BK5*BK6*BK7)/((1-EXP(-BK7*BK6))*BK12*BK16*(BK9/365)*BK14*BK15*BK13)</f>
        <v>9612.4660828221131</v>
      </c>
      <c r="BL3" s="123"/>
      <c r="BM3" s="124" t="s">
        <v>39</v>
      </c>
      <c r="BN3" s="194">
        <f>(BN5*BN6*BN7)/((1-EXP(-BN7*BN6))*BN12*BN16*(BN9/365)*BN14*BN15*BN13)</f>
        <v>20066.524685646982</v>
      </c>
      <c r="BO3" s="123"/>
      <c r="BP3" s="124" t="s">
        <v>39</v>
      </c>
      <c r="BQ3" s="194">
        <f>(BQ5*BQ6*BQ7)/((1-EXP(-BQ7*BQ6))*BQ12*BQ16*(BQ9/365)*BQ14*BQ15*BQ13)</f>
        <v>11659.512989920444</v>
      </c>
      <c r="BR3" s="125"/>
      <c r="BS3" s="126" t="s">
        <v>37</v>
      </c>
      <c r="BT3" s="195">
        <f>1/((1/BT21)+(1/BT22))</f>
        <v>56.694900856733739</v>
      </c>
      <c r="BU3" s="128"/>
      <c r="BV3" s="126"/>
      <c r="BW3" s="195">
        <f>1/((1/BW10)+(1/BW12))</f>
        <v>562.08452665610798</v>
      </c>
      <c r="BX3" s="128"/>
      <c r="BY3" s="126"/>
      <c r="BZ3" s="195">
        <f>1/((1/BZ13)+(1/BZ14)+(1/BZ15))</f>
        <v>28.85773173735517</v>
      </c>
      <c r="CA3" s="128"/>
      <c r="CB3" s="126" t="s">
        <v>39</v>
      </c>
      <c r="CC3" s="195">
        <f>(CC5*CC6*CC7)/((1-EXP(-CC7*CC6))*CC10*CC14*(CC9/365)*CC12*(CC13/24)*CC11)</f>
        <v>37.25743934620121</v>
      </c>
      <c r="CD3" s="128"/>
      <c r="CE3" s="126" t="s">
        <v>39</v>
      </c>
      <c r="CF3" s="195">
        <f>(CF5*CF6*CF7)/((1-EXP(-CF7*CF6))*CF10*CF14*(CF9/365)*CF12*(CF13/24)*CF11)</f>
        <v>652280.0521604676</v>
      </c>
      <c r="CG3" s="128"/>
      <c r="CH3" s="126" t="s">
        <v>39</v>
      </c>
      <c r="CI3" s="195">
        <f>(CI5*CI6*CI7)/((1-EXP(-CI7*CI6))*CI10*CI14*(CI9/365)*CI12*(CI13/24)*CI11)</f>
        <v>49.401251063272447</v>
      </c>
      <c r="CJ3" s="129"/>
      <c r="CK3" s="126" t="s">
        <v>17</v>
      </c>
      <c r="CL3" s="195">
        <f>CL5/(CL6*CL7*CL8*CL9)</f>
        <v>13.711778417660769</v>
      </c>
      <c r="CM3" s="129"/>
      <c r="CN3" s="126" t="s">
        <v>17</v>
      </c>
      <c r="CO3" s="195">
        <f>CL3/(CO5*((CO10*CO12*CO13*(CO6+CO7))+(CO11*CO12)))</f>
        <v>0.94563989087315647</v>
      </c>
      <c r="CP3" s="129"/>
      <c r="CQ3" s="126" t="s">
        <v>17</v>
      </c>
      <c r="CR3" s="195">
        <f>CL3/(CR5*CR6*(1/CR7))</f>
        <v>1371.1778417660769</v>
      </c>
      <c r="CS3" s="129"/>
      <c r="CT3" s="130"/>
      <c r="CU3" s="196">
        <f>1/((1/CU14)+(1/CU15)+(1/CU16+(1/CU17)))</f>
        <v>1.8250531070292581E-2</v>
      </c>
      <c r="CV3" s="197"/>
      <c r="CW3" s="133" t="s">
        <v>37</v>
      </c>
      <c r="CX3" s="198">
        <f>1/((1/CX20)+(1/CX21))</f>
        <v>0.31508257105651499</v>
      </c>
      <c r="CY3" s="199"/>
      <c r="CZ3" s="200"/>
      <c r="DA3" s="201">
        <f>1/((1/DA13)+(1/DA14)+(1/DA15)+(1/DA16))</f>
        <v>0.33873352165787884</v>
      </c>
      <c r="DB3" s="202"/>
      <c r="DC3" s="138"/>
      <c r="DD3" s="203">
        <f>DD7</f>
        <v>2.5204287047592495E-2</v>
      </c>
      <c r="DE3" s="204" t="s">
        <v>421</v>
      </c>
      <c r="DF3" s="139"/>
      <c r="DG3" s="205">
        <f>DD7/((1/DG24)*(DG5+DG6+DG7))</f>
        <v>2.1885560977096019</v>
      </c>
      <c r="DH3" s="206" t="s">
        <v>421</v>
      </c>
      <c r="DI3" s="141"/>
      <c r="DJ3" s="205">
        <f>DD7/(DJ5+DJ6)</f>
        <v>8.4014290158641647E-2</v>
      </c>
      <c r="DK3" s="206" t="s">
        <v>421</v>
      </c>
      <c r="DL3" s="141"/>
      <c r="DM3" s="205">
        <f>(DD7)/(DM5+DM6)</f>
        <v>8.4014290158641647E-2</v>
      </c>
      <c r="DN3" s="206"/>
      <c r="DO3" s="141"/>
      <c r="DP3" s="205">
        <f>-(DP5+DP6+DP7)/(DP23+DP24)</f>
        <v>-47.887811831133448</v>
      </c>
      <c r="DQ3" s="207"/>
      <c r="DR3" s="143"/>
      <c r="DS3" s="208">
        <f>DS7</f>
        <v>8.5086645773470606E-8</v>
      </c>
      <c r="DT3" s="209" t="s">
        <v>421</v>
      </c>
      <c r="DU3" s="144"/>
      <c r="DV3" s="210">
        <f>DS7/(DV5*DV6)</f>
        <v>1.1560685567047637E-7</v>
      </c>
      <c r="DW3" s="211"/>
      <c r="DX3" s="146"/>
      <c r="DY3" s="210">
        <f>DS7/(DY9*((DY10*DY12*DY13*(DY5+DY6))+(DY11*DY12)))</f>
        <v>1.3269907325868778E-6</v>
      </c>
      <c r="DZ3" s="211" t="s">
        <v>421</v>
      </c>
      <c r="EA3" s="146"/>
      <c r="EB3" s="210">
        <f>DS7/(EB9*((EB10*EB12*EB13*(EB5+EB6))+(EB11*EB12)))</f>
        <v>1.3269907325868778E-6</v>
      </c>
      <c r="EC3" s="211"/>
      <c r="ED3" s="146"/>
      <c r="EE3" s="210">
        <f>-EE15/((EE10*EE12*EE13*(EE5+EE6))+(EE11*EE12))</f>
        <v>-11.478477854023707</v>
      </c>
      <c r="EF3" s="212"/>
      <c r="EG3" s="148"/>
      <c r="EH3" s="213">
        <f>EH7</f>
        <v>4.0178502629765554E-7</v>
      </c>
      <c r="EI3" s="214" t="s">
        <v>421</v>
      </c>
      <c r="EJ3" s="149"/>
      <c r="EK3" s="215">
        <f>EH7/(EK5*EK6)</f>
        <v>2.5269498509286514E-7</v>
      </c>
      <c r="EL3" s="216"/>
      <c r="EM3" s="151"/>
      <c r="EN3" s="215">
        <f>EH7/(EN9*((EN10*EN12*EN13*(EN5+EN6))+(EN11*EN12)))</f>
        <v>2.3551981376807971E-6</v>
      </c>
      <c r="EO3" s="216" t="s">
        <v>421</v>
      </c>
      <c r="EP3" s="151"/>
      <c r="EQ3" s="215">
        <f>EH7/(EQ9*((EQ10*EQ12*EQ13*(EQ5+EQ6))+(EQ11*EQ12)))</f>
        <v>2.3551981376807971E-6</v>
      </c>
      <c r="ER3" s="216"/>
      <c r="ES3" s="151"/>
      <c r="ET3" s="215">
        <f>-ET15/((ET10*ET12*ET13*(ET5+ET6))+(ET11*ET12))</f>
        <v>-9.3203200562736317</v>
      </c>
      <c r="EU3" s="217"/>
      <c r="EV3" s="218"/>
      <c r="EW3" s="219">
        <f>EW7</f>
        <v>1.3395407775296548E-6</v>
      </c>
      <c r="EX3" s="218" t="s">
        <v>421</v>
      </c>
      <c r="EY3" s="220"/>
      <c r="EZ3" s="221">
        <f>EW7/(EZ5*EZ6*(1/EZ7))</f>
        <v>8.3721298595603403E-3</v>
      </c>
      <c r="FA3" s="221"/>
      <c r="FB3" s="222"/>
      <c r="FC3" s="221">
        <f>EW7/(FC9*((FC10*FC12*FC13*(FC5+FC6))+(FC11*FC12)))</f>
        <v>2.9900463784144076E-5</v>
      </c>
      <c r="FD3" s="223" t="s">
        <v>421</v>
      </c>
      <c r="FE3" s="224"/>
      <c r="FF3" s="221">
        <f>EW7/(FF9*(FF10*FF12*FF13*(FF5*FF6))+(FF11*FF12))</f>
        <v>5.1520799135755956E-5</v>
      </c>
      <c r="FG3" s="221"/>
      <c r="FH3" s="222"/>
      <c r="FI3" s="221">
        <f>FI15/((FI10*FI12*FI13*(FI5+FI6))+(FI11*FI12))</f>
        <v>3.5714285714285712</v>
      </c>
      <c r="FJ3" s="225"/>
      <c r="FK3" s="226"/>
      <c r="FL3" s="227">
        <f>FL7</f>
        <v>1.7475483094169773E-2</v>
      </c>
      <c r="FM3" s="228"/>
      <c r="FN3" s="229"/>
      <c r="FO3" s="230">
        <f>FL7/(FR5*(1/FO7))</f>
        <v>8.7377415470848863E-3</v>
      </c>
      <c r="FP3" s="230"/>
      <c r="FQ3" s="231"/>
      <c r="FR3" s="230">
        <f>(FL7*FR6)/FR5</f>
        <v>7.1649480686096061E-5</v>
      </c>
      <c r="FS3" s="230"/>
      <c r="FT3" s="231"/>
      <c r="FU3" s="230">
        <f>(FL7*FU15)/FU14</f>
        <v>7.1649480686096061E-5</v>
      </c>
      <c r="FV3" s="230"/>
      <c r="FW3" s="231"/>
      <c r="FX3" s="230">
        <f>-FX29/FX30</f>
        <v>-8.199999999999999E-3</v>
      </c>
      <c r="FY3" s="232"/>
      <c r="FZ3" s="233"/>
      <c r="GA3" s="234">
        <f>GA7</f>
        <v>5.5892961884736396E-7</v>
      </c>
      <c r="GB3" s="235" t="s">
        <v>421</v>
      </c>
      <c r="GC3" s="236"/>
      <c r="GD3" s="237">
        <f>FL7/(GD5*GD6*(1/GD7))</f>
        <v>4.3688707735424428</v>
      </c>
      <c r="GE3" s="237"/>
      <c r="GF3" s="238"/>
      <c r="GG3" s="237">
        <f>GA7/((GG9)*((GG10*GG12*GG13*(GG5+GG6))+(GG11*GG12)))</f>
        <v>4.9904430254228922E-7</v>
      </c>
      <c r="GH3" s="237" t="s">
        <v>421</v>
      </c>
      <c r="GI3" s="238"/>
      <c r="GJ3" s="237">
        <f>FL7/(GJ9*(GJ10*GJ12*GJ13*(GJ5*GJ6))+(GJ11*GJ12))</f>
        <v>0.14324166470630958</v>
      </c>
      <c r="GK3" s="237"/>
      <c r="GL3" s="238"/>
      <c r="GM3" s="237">
        <f>GM15/((GM10*GM12*GM13*(GM5+GM6))+(GM11*GM12))</f>
        <v>3.5714285714285712</v>
      </c>
      <c r="GN3" s="239"/>
      <c r="GO3" s="240"/>
      <c r="GP3" s="241">
        <f>GP7</f>
        <v>7.1954688338814253E-4</v>
      </c>
      <c r="GQ3" s="242" t="s">
        <v>421</v>
      </c>
      <c r="GR3" s="243"/>
      <c r="GS3" s="244">
        <f>GP7/(GS5*GS6*(1/GS7))</f>
        <v>0.26299228194011059</v>
      </c>
      <c r="GT3" s="244"/>
      <c r="GU3" s="245"/>
      <c r="GV3" s="244">
        <f>GP7/((GV9)*((GV10*GV12*GV13*(GV5+GV6))+(GV11*GV12)))</f>
        <v>1.2064837078942698E-3</v>
      </c>
      <c r="GW3" s="244" t="s">
        <v>421</v>
      </c>
      <c r="GX3" s="245"/>
      <c r="GY3" s="244">
        <f>GP7/((GY9*((GY10*GY12*GY13*(GY5+GY6))+(GY11*GY12))))</f>
        <v>1.2064837078942698E-3</v>
      </c>
      <c r="GZ3" s="244"/>
      <c r="HA3" s="245"/>
      <c r="HB3" s="244">
        <f>GP7/((HB10*HB12*HB13*(HB5+HB6))+(HB11*HB12))</f>
        <v>2.8955608989462473E-4</v>
      </c>
      <c r="HC3" s="246"/>
      <c r="HD3" s="247">
        <f>HE5*HE13*10^-3*(HE14+(HE9/HE10))*((HE11*HE7)/(1-EXP(-HE7*HE11)))</f>
        <v>1.6760278674542313</v>
      </c>
      <c r="HE3" s="248"/>
      <c r="HF3" s="180" t="s">
        <v>40</v>
      </c>
    </row>
    <row r="4" spans="1:214" s="95" customFormat="1" ht="13.5" thickBot="1" x14ac:dyDescent="0.25">
      <c r="A4" s="490"/>
      <c r="B4" s="491"/>
      <c r="C4" s="492"/>
      <c r="D4" s="249" t="s">
        <v>38</v>
      </c>
      <c r="E4" s="250">
        <f>1/((1/E22)+(1/E23))</f>
        <v>0.6733434933279514</v>
      </c>
      <c r="F4" s="251"/>
      <c r="G4" s="252"/>
      <c r="H4" s="253"/>
      <c r="I4" s="254"/>
      <c r="J4" s="255" t="s">
        <v>15</v>
      </c>
      <c r="K4" s="256" t="s">
        <v>34</v>
      </c>
      <c r="L4" s="257"/>
      <c r="M4" s="258"/>
      <c r="N4" s="259"/>
      <c r="O4" s="260"/>
      <c r="P4" s="261"/>
      <c r="Q4" s="259"/>
      <c r="R4" s="260"/>
      <c r="S4" s="261"/>
      <c r="T4" s="259"/>
      <c r="U4" s="262"/>
      <c r="V4" s="263" t="s">
        <v>37</v>
      </c>
      <c r="W4" s="264">
        <f>1/((1/W16)+(1/W17))</f>
        <v>0.74017743979721162</v>
      </c>
      <c r="X4" s="265"/>
      <c r="Y4" s="266" t="s">
        <v>37</v>
      </c>
      <c r="Z4" s="264">
        <f>1/((1/Z16)+(1/Z17))</f>
        <v>0.66615969581749046</v>
      </c>
      <c r="AA4" s="267"/>
      <c r="AB4" s="268" t="s">
        <v>15</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75.414471252730536</v>
      </c>
      <c r="BU4" s="286"/>
      <c r="BV4" s="284"/>
      <c r="BW4" s="285"/>
      <c r="BX4" s="286"/>
      <c r="BY4" s="284" t="s">
        <v>15</v>
      </c>
      <c r="BZ4" s="285" t="s">
        <v>34</v>
      </c>
      <c r="CA4" s="286"/>
      <c r="CB4" s="284"/>
      <c r="CC4" s="285"/>
      <c r="CD4" s="286"/>
      <c r="CE4" s="284"/>
      <c r="CF4" s="285"/>
      <c r="CG4" s="286"/>
      <c r="CH4" s="284"/>
      <c r="CI4" s="285"/>
      <c r="CJ4" s="287"/>
      <c r="CK4" s="284"/>
      <c r="CL4" s="285"/>
      <c r="CM4" s="287"/>
      <c r="CN4" s="284"/>
      <c r="CO4" s="285"/>
      <c r="CP4" s="287"/>
      <c r="CQ4" s="284"/>
      <c r="CR4" s="285"/>
      <c r="CS4" s="287"/>
      <c r="CT4" s="288" t="s">
        <v>15</v>
      </c>
      <c r="CU4" s="289" t="s">
        <v>9</v>
      </c>
      <c r="CV4" s="290"/>
      <c r="CW4" s="291" t="s">
        <v>38</v>
      </c>
      <c r="CX4" s="292">
        <f>1/((1/CX22)+(1/CX23))</f>
        <v>0.48275557064951391</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0.17154674051766541</v>
      </c>
      <c r="HE4" s="351"/>
      <c r="HF4" s="352" t="s">
        <v>45</v>
      </c>
    </row>
    <row r="5" spans="1:214" s="95" customFormat="1" ht="13.5" thickTop="1" x14ac:dyDescent="0.2">
      <c r="A5" s="95" t="s">
        <v>75</v>
      </c>
      <c r="B5" s="353">
        <v>1.1900000000000001E-11</v>
      </c>
      <c r="C5" s="95" t="s">
        <v>64</v>
      </c>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B29</f>
        <v>10</v>
      </c>
      <c r="CQ5" s="95" t="s">
        <v>432</v>
      </c>
      <c r="CR5" s="95">
        <f>CO5</f>
        <v>10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1.0503822937671079</v>
      </c>
      <c r="DH5" s="95" t="s">
        <v>48</v>
      </c>
      <c r="DI5" s="95" t="s">
        <v>49</v>
      </c>
      <c r="DJ5" s="95">
        <f>DJ7</f>
        <v>0.04</v>
      </c>
      <c r="DL5" s="95" t="s">
        <v>49</v>
      </c>
      <c r="DM5" s="95">
        <f>DM7</f>
        <v>0.04</v>
      </c>
      <c r="DO5" s="95" t="s">
        <v>47</v>
      </c>
      <c r="DP5" s="95">
        <f>(DP8*DP9*DP10*((1-EXP(-DP11*DP12))))/(DP13*DP11)</f>
        <v>1.4298564304940413</v>
      </c>
      <c r="DQ5" s="95" t="s">
        <v>48</v>
      </c>
      <c r="DR5" s="95" t="s">
        <v>46</v>
      </c>
      <c r="DS5" s="354">
        <v>9.9999999999999995E-7</v>
      </c>
      <c r="DU5" s="95" t="s">
        <v>347</v>
      </c>
      <c r="DV5" s="354">
        <f>B23</f>
        <v>8.0000000000000002E-3</v>
      </c>
      <c r="DX5" s="95" t="s">
        <v>50</v>
      </c>
      <c r="DY5" s="95">
        <f>DY7</f>
        <v>0.2</v>
      </c>
      <c r="EA5" s="95" t="s">
        <v>50</v>
      </c>
      <c r="EB5" s="95">
        <f>EB7</f>
        <v>0.2</v>
      </c>
      <c r="ED5" s="95" t="s">
        <v>50</v>
      </c>
      <c r="EE5" s="95">
        <f>EE7</f>
        <v>0.2</v>
      </c>
      <c r="EG5" s="95" t="s">
        <v>46</v>
      </c>
      <c r="EH5" s="354">
        <v>9.9999999999999995E-7</v>
      </c>
      <c r="EJ5" s="95" t="s">
        <v>348</v>
      </c>
      <c r="EK5" s="354">
        <f>B24</f>
        <v>0.03</v>
      </c>
      <c r="EM5" s="95" t="s">
        <v>50</v>
      </c>
      <c r="EN5" s="95">
        <f>EN7</f>
        <v>0.2</v>
      </c>
      <c r="EP5" s="95" t="s">
        <v>50</v>
      </c>
      <c r="EQ5" s="95">
        <f>EQ7</f>
        <v>0.2</v>
      </c>
      <c r="ES5" s="95" t="s">
        <v>50</v>
      </c>
      <c r="ET5" s="95">
        <f>ET7</f>
        <v>0.2</v>
      </c>
      <c r="EV5" s="95" t="s">
        <v>46</v>
      </c>
      <c r="EW5" s="354">
        <v>9.9999999999999995E-7</v>
      </c>
      <c r="EY5" s="95" t="s">
        <v>349</v>
      </c>
      <c r="EZ5" s="356">
        <f>B26</f>
        <v>0.4</v>
      </c>
      <c r="FB5" s="95" t="s">
        <v>50</v>
      </c>
      <c r="FC5" s="95">
        <f>FC7</f>
        <v>0.2</v>
      </c>
      <c r="FE5" s="95" t="s">
        <v>50</v>
      </c>
      <c r="FF5" s="95">
        <f>FF7</f>
        <v>0.2</v>
      </c>
      <c r="FH5" s="95" t="s">
        <v>50</v>
      </c>
      <c r="FI5" s="95">
        <f>FI7</f>
        <v>0.2</v>
      </c>
      <c r="FK5" s="95" t="s">
        <v>46</v>
      </c>
      <c r="FL5" s="354">
        <v>9.9999999999999995E-7</v>
      </c>
      <c r="FN5" s="95" t="s">
        <v>350</v>
      </c>
      <c r="FO5" s="357">
        <v>1</v>
      </c>
      <c r="FQ5" s="95" t="s">
        <v>203</v>
      </c>
      <c r="FR5" s="354">
        <f>B22</f>
        <v>2000</v>
      </c>
      <c r="FT5" s="95" t="s">
        <v>50</v>
      </c>
      <c r="FU5" s="95">
        <f>FU7</f>
        <v>0.2</v>
      </c>
      <c r="FW5" s="95" t="s">
        <v>50</v>
      </c>
      <c r="FX5" s="95">
        <f>FX7</f>
        <v>0.2</v>
      </c>
      <c r="FZ5" s="95" t="s">
        <v>46</v>
      </c>
      <c r="GA5" s="354">
        <v>9.9999999999999995E-7</v>
      </c>
      <c r="GC5" s="95" t="s">
        <v>351</v>
      </c>
      <c r="GD5" s="356">
        <f>B25</f>
        <v>10</v>
      </c>
      <c r="GF5" s="95" t="s">
        <v>50</v>
      </c>
      <c r="GG5" s="95">
        <f>GG7</f>
        <v>0.2</v>
      </c>
      <c r="GI5" s="95" t="s">
        <v>50</v>
      </c>
      <c r="GJ5" s="95">
        <f>GJ7</f>
        <v>0.2</v>
      </c>
      <c r="GL5" s="95" t="s">
        <v>50</v>
      </c>
      <c r="GM5" s="95">
        <f>GM7</f>
        <v>0.2</v>
      </c>
      <c r="GO5" s="95" t="s">
        <v>46</v>
      </c>
      <c r="GP5" s="354">
        <v>9.9999999999999995E-7</v>
      </c>
      <c r="GR5" s="95" t="s">
        <v>352</v>
      </c>
      <c r="GS5" s="356">
        <f>B27</f>
        <v>0.24</v>
      </c>
      <c r="GU5" s="95" t="s">
        <v>50</v>
      </c>
      <c r="GV5" s="95">
        <f>GV7</f>
        <v>0.2</v>
      </c>
      <c r="GX5" s="95" t="s">
        <v>50</v>
      </c>
      <c r="GY5" s="95">
        <f>GY7</f>
        <v>0.2</v>
      </c>
      <c r="HA5" s="95" t="s">
        <v>50</v>
      </c>
      <c r="HB5" s="95">
        <f>HB7</f>
        <v>0.2</v>
      </c>
      <c r="HD5" s="355" t="s">
        <v>51</v>
      </c>
      <c r="HE5" s="95">
        <v>15</v>
      </c>
      <c r="HF5" s="95" t="s">
        <v>25</v>
      </c>
    </row>
    <row r="6" spans="1:214" s="95" customFormat="1" x14ac:dyDescent="0.2">
      <c r="A6" s="95" t="s">
        <v>261</v>
      </c>
      <c r="B6" s="353">
        <v>3.04E-11</v>
      </c>
      <c r="C6" s="95" t="s">
        <v>64</v>
      </c>
      <c r="D6" s="95" t="s">
        <v>52</v>
      </c>
      <c r="E6" s="354">
        <f>0.693/E7</f>
        <v>2.3099999999999999E-2</v>
      </c>
      <c r="G6" s="95" t="s">
        <v>261</v>
      </c>
      <c r="H6" s="354">
        <f>B6</f>
        <v>3.04E-11</v>
      </c>
      <c r="I6" s="95" t="s">
        <v>64</v>
      </c>
      <c r="J6" s="95" t="s">
        <v>77</v>
      </c>
      <c r="K6" s="354">
        <f>B7</f>
        <v>4.3300000000000002E-11</v>
      </c>
      <c r="L6" s="95" t="s">
        <v>64</v>
      </c>
      <c r="M6" s="95" t="s">
        <v>61</v>
      </c>
      <c r="N6" s="95">
        <v>26</v>
      </c>
      <c r="O6" s="95" t="s">
        <v>62</v>
      </c>
      <c r="P6" s="95" t="s">
        <v>61</v>
      </c>
      <c r="Q6" s="95">
        <v>26</v>
      </c>
      <c r="R6" s="95" t="s">
        <v>62</v>
      </c>
      <c r="S6" s="95" t="s">
        <v>61</v>
      </c>
      <c r="T6" s="95">
        <v>26</v>
      </c>
      <c r="U6" s="95" t="s">
        <v>62</v>
      </c>
      <c r="V6" s="95" t="s">
        <v>52</v>
      </c>
      <c r="W6" s="354">
        <f>0.693/W7</f>
        <v>2.3099999999999999E-2</v>
      </c>
      <c r="Y6" s="95" t="s">
        <v>52</v>
      </c>
      <c r="Z6" s="354">
        <f>0.693/Z7</f>
        <v>2.3099999999999999E-2</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25</v>
      </c>
      <c r="AT6" s="95" t="s">
        <v>62</v>
      </c>
      <c r="AU6" s="95" t="s">
        <v>61</v>
      </c>
      <c r="AV6" s="95">
        <v>25</v>
      </c>
      <c r="AW6" s="95" t="s">
        <v>62</v>
      </c>
      <c r="AX6" s="95" t="s">
        <v>61</v>
      </c>
      <c r="AY6" s="95">
        <v>25</v>
      </c>
      <c r="AZ6" s="95" t="s">
        <v>62</v>
      </c>
      <c r="BA6" s="95" t="s">
        <v>61</v>
      </c>
      <c r="BB6" s="95">
        <v>25</v>
      </c>
      <c r="BC6" s="95" t="s">
        <v>62</v>
      </c>
      <c r="BD6" s="95" t="s">
        <v>61</v>
      </c>
      <c r="BE6" s="95">
        <v>25</v>
      </c>
      <c r="BF6" s="95" t="s">
        <v>62</v>
      </c>
      <c r="BG6" s="95" t="s">
        <v>61</v>
      </c>
      <c r="BH6" s="95">
        <v>25</v>
      </c>
      <c r="BI6" s="95" t="s">
        <v>62</v>
      </c>
      <c r="BJ6" s="95" t="s">
        <v>61</v>
      </c>
      <c r="BK6" s="95">
        <v>1</v>
      </c>
      <c r="BL6" s="95" t="s">
        <v>62</v>
      </c>
      <c r="BM6" s="95" t="s">
        <v>61</v>
      </c>
      <c r="BN6" s="95">
        <v>1</v>
      </c>
      <c r="BO6" s="95" t="s">
        <v>62</v>
      </c>
      <c r="BP6" s="95" t="s">
        <v>61</v>
      </c>
      <c r="BQ6" s="95">
        <v>1</v>
      </c>
      <c r="BR6" s="95" t="s">
        <v>62</v>
      </c>
      <c r="BS6" s="95" t="s">
        <v>52</v>
      </c>
      <c r="BT6" s="354">
        <f>0.693/BT7</f>
        <v>2.3099999999999999E-2</v>
      </c>
      <c r="BV6" s="95" t="s">
        <v>261</v>
      </c>
      <c r="BW6" s="354">
        <f>H6</f>
        <v>3.04E-11</v>
      </c>
      <c r="BX6" s="95" t="s">
        <v>64</v>
      </c>
      <c r="BY6" s="95" t="s">
        <v>77</v>
      </c>
      <c r="BZ6" s="354">
        <f>B7</f>
        <v>4.3300000000000002E-11</v>
      </c>
      <c r="CA6" s="95" t="s">
        <v>64</v>
      </c>
      <c r="CB6" s="95" t="s">
        <v>61</v>
      </c>
      <c r="CC6" s="95">
        <v>26</v>
      </c>
      <c r="CD6" s="95" t="s">
        <v>62</v>
      </c>
      <c r="CE6" s="95" t="s">
        <v>61</v>
      </c>
      <c r="CF6" s="95">
        <v>26</v>
      </c>
      <c r="CG6" s="95" t="s">
        <v>62</v>
      </c>
      <c r="CH6" s="95" t="s">
        <v>61</v>
      </c>
      <c r="CI6" s="95">
        <v>26</v>
      </c>
      <c r="CJ6" s="95" t="s">
        <v>62</v>
      </c>
      <c r="CK6" s="95" t="s">
        <v>415</v>
      </c>
      <c r="CL6" s="354">
        <f>E33</f>
        <v>3.7400000000000001E-11</v>
      </c>
      <c r="CM6" s="95" t="s">
        <v>23</v>
      </c>
      <c r="CN6" s="95" t="s">
        <v>50</v>
      </c>
      <c r="CO6" s="95">
        <f>CO8</f>
        <v>0.2</v>
      </c>
      <c r="CQ6" s="95" t="s">
        <v>345</v>
      </c>
      <c r="CR6" s="357">
        <v>1</v>
      </c>
      <c r="CS6" s="95" t="s">
        <v>59</v>
      </c>
      <c r="CT6" s="95" t="s">
        <v>77</v>
      </c>
      <c r="CU6" s="354">
        <f>B7</f>
        <v>4.3300000000000002E-11</v>
      </c>
      <c r="CV6" s="95" t="s">
        <v>64</v>
      </c>
      <c r="CW6" s="95" t="s">
        <v>52</v>
      </c>
      <c r="CX6" s="354">
        <f>0.693/CX7</f>
        <v>2.3099999999999999E-2</v>
      </c>
      <c r="CZ6" s="95" t="s">
        <v>261</v>
      </c>
      <c r="DA6" s="354">
        <f>B6</f>
        <v>3.04E-11</v>
      </c>
      <c r="DB6" s="95" t="s">
        <v>64</v>
      </c>
      <c r="DC6" s="95" t="s">
        <v>415</v>
      </c>
      <c r="DD6" s="354">
        <f>B16</f>
        <v>3.7400000000000001E-11</v>
      </c>
      <c r="DE6" s="95" t="s">
        <v>64</v>
      </c>
      <c r="DF6" s="95" t="s">
        <v>56</v>
      </c>
      <c r="DG6" s="95">
        <f>(DG8*DG9*DG14*((1-EXP(-DG11*DG12))))/(DG13*DG11)</f>
        <v>6.8274849094862002</v>
      </c>
      <c r="DH6" s="95" t="s">
        <v>48</v>
      </c>
      <c r="DI6" s="95" t="s">
        <v>57</v>
      </c>
      <c r="DJ6" s="95">
        <f>DJ8</f>
        <v>0.26</v>
      </c>
      <c r="DL6" s="95" t="s">
        <v>57</v>
      </c>
      <c r="DM6" s="95">
        <f>DM8</f>
        <v>0.26</v>
      </c>
      <c r="DO6" s="95" t="s">
        <v>56</v>
      </c>
      <c r="DP6" s="95">
        <f>(DP8*DP9*DP14*((1-EXP(-DP11*DP12))))/(DP13*DP11)</f>
        <v>9.2940667982112686</v>
      </c>
      <c r="DQ6" s="95" t="s">
        <v>48</v>
      </c>
      <c r="DR6" s="95" t="s">
        <v>415</v>
      </c>
      <c r="DS6" s="354">
        <f>B16</f>
        <v>3.7400000000000001E-11</v>
      </c>
      <c r="DT6" s="95" t="s">
        <v>64</v>
      </c>
      <c r="DU6" s="95" t="s">
        <v>58</v>
      </c>
      <c r="DV6" s="95">
        <v>92</v>
      </c>
      <c r="DW6" s="95" t="s">
        <v>59</v>
      </c>
      <c r="DX6" s="95" t="s">
        <v>57</v>
      </c>
      <c r="DY6" s="95">
        <f>DY8</f>
        <v>0.25</v>
      </c>
      <c r="EA6" s="95" t="s">
        <v>57</v>
      </c>
      <c r="EB6" s="95">
        <f>EB8</f>
        <v>0.25</v>
      </c>
      <c r="ED6" s="95" t="s">
        <v>57</v>
      </c>
      <c r="EE6" s="95">
        <f>EE8</f>
        <v>0.25</v>
      </c>
      <c r="EG6" s="95" t="s">
        <v>415</v>
      </c>
      <c r="EH6" s="354">
        <f>B16</f>
        <v>3.7400000000000001E-11</v>
      </c>
      <c r="EI6" s="95" t="s">
        <v>64</v>
      </c>
      <c r="EJ6" s="95" t="s">
        <v>60</v>
      </c>
      <c r="EK6" s="95">
        <v>53</v>
      </c>
      <c r="EL6" s="95" t="s">
        <v>59</v>
      </c>
      <c r="EM6" s="95" t="s">
        <v>57</v>
      </c>
      <c r="EN6" s="95">
        <f>EN8</f>
        <v>0.25</v>
      </c>
      <c r="EP6" s="95" t="s">
        <v>57</v>
      </c>
      <c r="EQ6" s="95">
        <f>EQ8</f>
        <v>0.25</v>
      </c>
      <c r="ES6" s="95" t="s">
        <v>57</v>
      </c>
      <c r="ET6" s="95">
        <f>ET8</f>
        <v>0.25</v>
      </c>
      <c r="EV6" s="95" t="s">
        <v>415</v>
      </c>
      <c r="EW6" s="354">
        <f>B16</f>
        <v>3.7400000000000001E-11</v>
      </c>
      <c r="EX6" s="95" t="s">
        <v>64</v>
      </c>
      <c r="EY6" s="95" t="s">
        <v>297</v>
      </c>
      <c r="EZ6" s="95">
        <v>0.4</v>
      </c>
      <c r="FA6" s="95" t="s">
        <v>59</v>
      </c>
      <c r="FB6" s="95" t="s">
        <v>57</v>
      </c>
      <c r="FC6" s="95">
        <f>FC8</f>
        <v>0.25</v>
      </c>
      <c r="FE6" s="95" t="s">
        <v>57</v>
      </c>
      <c r="FF6" s="95">
        <f>FF8</f>
        <v>0.25</v>
      </c>
      <c r="FH6" s="95" t="s">
        <v>57</v>
      </c>
      <c r="FI6" s="95">
        <f>FI8</f>
        <v>0.25</v>
      </c>
      <c r="FK6" s="95" t="s">
        <v>415</v>
      </c>
      <c r="FL6" s="354">
        <f>B16</f>
        <v>3.7400000000000001E-11</v>
      </c>
      <c r="FM6" s="95" t="s">
        <v>64</v>
      </c>
      <c r="FN6" s="95" t="s">
        <v>300</v>
      </c>
      <c r="FO6" s="357">
        <v>1</v>
      </c>
      <c r="FP6" s="95" t="s">
        <v>59</v>
      </c>
      <c r="FQ6" s="95" t="s">
        <v>322</v>
      </c>
      <c r="FR6" s="354">
        <v>8.1999999999999993</v>
      </c>
      <c r="FT6" s="95" t="s">
        <v>57</v>
      </c>
      <c r="FU6" s="95">
        <f>FU8</f>
        <v>0.25</v>
      </c>
      <c r="FW6" s="95" t="s">
        <v>57</v>
      </c>
      <c r="FX6" s="95">
        <f>FX8</f>
        <v>0.25</v>
      </c>
      <c r="FZ6" s="95" t="s">
        <v>415</v>
      </c>
      <c r="GA6" s="354">
        <f>B16</f>
        <v>3.7400000000000001E-11</v>
      </c>
      <c r="GB6" s="95" t="s">
        <v>64</v>
      </c>
      <c r="GC6" s="95" t="s">
        <v>298</v>
      </c>
      <c r="GD6" s="95">
        <v>0.4</v>
      </c>
      <c r="GE6" s="95" t="s">
        <v>59</v>
      </c>
      <c r="GF6" s="95" t="s">
        <v>57</v>
      </c>
      <c r="GG6" s="95">
        <f>GG8</f>
        <v>0.25</v>
      </c>
      <c r="GI6" s="95" t="s">
        <v>57</v>
      </c>
      <c r="GJ6" s="95">
        <f>GJ8</f>
        <v>0.25</v>
      </c>
      <c r="GL6" s="95" t="s">
        <v>57</v>
      </c>
      <c r="GM6" s="95">
        <f>GM8</f>
        <v>0.25</v>
      </c>
      <c r="GO6" s="95" t="s">
        <v>415</v>
      </c>
      <c r="GP6" s="354">
        <f>B16</f>
        <v>3.7400000000000001E-11</v>
      </c>
      <c r="GQ6" s="95" t="s">
        <v>64</v>
      </c>
      <c r="GR6" s="95" t="s">
        <v>299</v>
      </c>
      <c r="GS6" s="95">
        <v>11.4</v>
      </c>
      <c r="GT6" s="95" t="s">
        <v>59</v>
      </c>
      <c r="GU6" s="95" t="s">
        <v>57</v>
      </c>
      <c r="GV6" s="95">
        <f>GV8</f>
        <v>0.25</v>
      </c>
      <c r="GX6" s="95" t="s">
        <v>57</v>
      </c>
      <c r="GY6" s="95">
        <f>GY8</f>
        <v>0.25</v>
      </c>
      <c r="HA6" s="95" t="s">
        <v>57</v>
      </c>
      <c r="HB6" s="95">
        <f>HB8</f>
        <v>0.25</v>
      </c>
      <c r="HD6" s="95" t="s">
        <v>17</v>
      </c>
      <c r="HE6" s="354">
        <f>H3</f>
        <v>1.5352973287213254</v>
      </c>
      <c r="HF6" s="95" t="s">
        <v>25</v>
      </c>
    </row>
    <row r="7" spans="1:214" s="95" customFormat="1" x14ac:dyDescent="0.2">
      <c r="A7" s="95" t="s">
        <v>77</v>
      </c>
      <c r="B7" s="353">
        <v>4.3300000000000002E-11</v>
      </c>
      <c r="C7" s="95" t="s">
        <v>64</v>
      </c>
      <c r="D7" s="95" t="s">
        <v>448</v>
      </c>
      <c r="E7" s="354">
        <f>B17</f>
        <v>30</v>
      </c>
      <c r="F7" s="95" t="s">
        <v>129</v>
      </c>
      <c r="G7" s="95" t="s">
        <v>75</v>
      </c>
      <c r="H7" s="354">
        <f>B5</f>
        <v>1.1900000000000001E-11</v>
      </c>
      <c r="I7" s="95" t="s">
        <v>64</v>
      </c>
      <c r="J7" s="95" t="s">
        <v>75</v>
      </c>
      <c r="K7" s="354">
        <f>B5</f>
        <v>1.1900000000000001E-11</v>
      </c>
      <c r="L7" s="95" t="s">
        <v>64</v>
      </c>
      <c r="M7" s="95" t="s">
        <v>52</v>
      </c>
      <c r="N7" s="354">
        <f>0.693/N8</f>
        <v>2.3099999999999999E-2</v>
      </c>
      <c r="P7" s="95" t="s">
        <v>52</v>
      </c>
      <c r="Q7" s="354">
        <f>0.693/Q8</f>
        <v>2.3099999999999999E-2</v>
      </c>
      <c r="S7" s="95" t="s">
        <v>52</v>
      </c>
      <c r="T7" s="354">
        <f>0.693/T8</f>
        <v>2.3099999999999999E-2</v>
      </c>
      <c r="V7" s="95" t="s">
        <v>448</v>
      </c>
      <c r="W7" s="354">
        <f>B17</f>
        <v>30</v>
      </c>
      <c r="X7" s="95" t="s">
        <v>129</v>
      </c>
      <c r="Y7" s="95" t="s">
        <v>448</v>
      </c>
      <c r="Z7" s="354">
        <f>B17</f>
        <v>30</v>
      </c>
      <c r="AA7" s="95" t="s">
        <v>129</v>
      </c>
      <c r="AI7" s="95" t="s">
        <v>52</v>
      </c>
      <c r="AJ7" s="354">
        <f>0.693/AJ8</f>
        <v>2.3099999999999999E-2</v>
      </c>
      <c r="AL7" s="95" t="s">
        <v>52</v>
      </c>
      <c r="AM7" s="354">
        <f>0.693/AM8</f>
        <v>2.3099999999999999E-2</v>
      </c>
      <c r="AO7" s="95" t="s">
        <v>52</v>
      </c>
      <c r="AP7" s="354">
        <f>0.693/AP8</f>
        <v>2.3099999999999999E-2</v>
      </c>
      <c r="AR7" s="95" t="s">
        <v>52</v>
      </c>
      <c r="AS7" s="354">
        <f>0.693/AS8</f>
        <v>2.3099999999999999E-2</v>
      </c>
      <c r="AU7" s="95" t="s">
        <v>52</v>
      </c>
      <c r="AV7" s="354">
        <f>0.693/AV8</f>
        <v>2.3099999999999999E-2</v>
      </c>
      <c r="AX7" s="95" t="s">
        <v>52</v>
      </c>
      <c r="AY7" s="354">
        <f>0.693/AY8</f>
        <v>2.3099999999999999E-2</v>
      </c>
      <c r="BA7" s="95" t="s">
        <v>52</v>
      </c>
      <c r="BB7" s="354">
        <f>0.693/BB8</f>
        <v>2.3099999999999999E-2</v>
      </c>
      <c r="BD7" s="95" t="s">
        <v>52</v>
      </c>
      <c r="BE7" s="354">
        <f>0.693/BE8</f>
        <v>2.3099999999999999E-2</v>
      </c>
      <c r="BG7" s="95" t="s">
        <v>52</v>
      </c>
      <c r="BH7" s="354">
        <f>0.693/BH8</f>
        <v>2.3099999999999999E-2</v>
      </c>
      <c r="BJ7" s="95" t="s">
        <v>52</v>
      </c>
      <c r="BK7" s="354">
        <f>0.693/BK8</f>
        <v>2.3099999999999999E-2</v>
      </c>
      <c r="BM7" s="95" t="s">
        <v>52</v>
      </c>
      <c r="BN7" s="354">
        <f>0.693/BN8</f>
        <v>2.3099999999999999E-2</v>
      </c>
      <c r="BP7" s="95" t="s">
        <v>52</v>
      </c>
      <c r="BQ7" s="354">
        <f>0.693/BQ8</f>
        <v>2.3099999999999999E-2</v>
      </c>
      <c r="BS7" s="95" t="s">
        <v>448</v>
      </c>
      <c r="BT7" s="354">
        <f>B17</f>
        <v>30</v>
      </c>
      <c r="BU7" s="95" t="s">
        <v>129</v>
      </c>
      <c r="BV7" s="95" t="s">
        <v>75</v>
      </c>
      <c r="BW7" s="354">
        <f>E10</f>
        <v>1.1900000000000001E-11</v>
      </c>
      <c r="BX7" s="95" t="s">
        <v>64</v>
      </c>
      <c r="BY7" s="95" t="s">
        <v>75</v>
      </c>
      <c r="BZ7" s="354">
        <f>B5</f>
        <v>1.1900000000000001E-11</v>
      </c>
      <c r="CA7" s="95" t="s">
        <v>64</v>
      </c>
      <c r="CB7" s="95" t="s">
        <v>52</v>
      </c>
      <c r="CC7" s="354">
        <f>0.693/CC8</f>
        <v>2.3099999999999999E-2</v>
      </c>
      <c r="CE7" s="95" t="s">
        <v>52</v>
      </c>
      <c r="CF7" s="354">
        <f>0.693/CF8</f>
        <v>2.3099999999999999E-2</v>
      </c>
      <c r="CH7" s="95" t="s">
        <v>52</v>
      </c>
      <c r="CI7" s="354">
        <f>0.693/CI8</f>
        <v>2.3099999999999999E-2</v>
      </c>
      <c r="CK7" s="95" t="s">
        <v>238</v>
      </c>
      <c r="CL7" s="95">
        <v>75</v>
      </c>
      <c r="CM7" s="95" t="s">
        <v>268</v>
      </c>
      <c r="CN7" s="95" t="s">
        <v>57</v>
      </c>
      <c r="CO7" s="95">
        <f>CO9</f>
        <v>0.25</v>
      </c>
      <c r="CR7" s="95">
        <v>1000</v>
      </c>
      <c r="CS7" s="95" t="s">
        <v>230</v>
      </c>
      <c r="CT7" s="95" t="s">
        <v>75</v>
      </c>
      <c r="CU7" s="354">
        <f>B5</f>
        <v>1.1900000000000001E-11</v>
      </c>
      <c r="CV7" s="95" t="s">
        <v>64</v>
      </c>
      <c r="CW7" s="95" t="s">
        <v>448</v>
      </c>
      <c r="CX7" s="354">
        <f>B17</f>
        <v>30</v>
      </c>
      <c r="CY7" s="95" t="s">
        <v>129</v>
      </c>
      <c r="CZ7" s="95" t="s">
        <v>75</v>
      </c>
      <c r="DA7" s="354">
        <f>B5</f>
        <v>1.1900000000000001E-11</v>
      </c>
      <c r="DB7" s="95" t="s">
        <v>64</v>
      </c>
      <c r="DC7" s="95" t="s">
        <v>142</v>
      </c>
      <c r="DD7" s="358">
        <f>(DD5)/(DD6*(DD8+DD11)*DD21)</f>
        <v>2.5204287047592495E-2</v>
      </c>
      <c r="DE7" s="95" t="s">
        <v>23</v>
      </c>
      <c r="DF7" s="95" t="s">
        <v>65</v>
      </c>
      <c r="DG7" s="95">
        <f>(DG8*DG9*DG15*DG21*((1-EXP(-DG16*DG17))))/(DG18*DG16)</f>
        <v>3.6385326157733249</v>
      </c>
      <c r="DH7" s="95" t="s">
        <v>48</v>
      </c>
      <c r="DI7" s="95" t="s">
        <v>66</v>
      </c>
      <c r="DJ7" s="354">
        <f>B30</f>
        <v>0.04</v>
      </c>
      <c r="DL7" s="95" t="s">
        <v>66</v>
      </c>
      <c r="DM7" s="354">
        <f>B30</f>
        <v>0.04</v>
      </c>
      <c r="DO7" s="95" t="s">
        <v>65</v>
      </c>
      <c r="DP7" s="95">
        <f>(DP8*DP9*DP15*DP21*((1-EXP(-DP16*DP17))))/(DP18*DP16)</f>
        <v>3.6424203206347228</v>
      </c>
      <c r="DQ7" s="95" t="s">
        <v>48</v>
      </c>
      <c r="DR7" s="95" t="s">
        <v>142</v>
      </c>
      <c r="DS7" s="358">
        <f>DS5/(DS6*DS8*DS15*DS16)</f>
        <v>8.5086645773470606E-8</v>
      </c>
      <c r="DT7" s="95" t="s">
        <v>23</v>
      </c>
      <c r="DX7" s="95" t="s">
        <v>67</v>
      </c>
      <c r="DY7" s="354">
        <f>B31</f>
        <v>0.2</v>
      </c>
      <c r="EA7" s="95" t="s">
        <v>67</v>
      </c>
      <c r="EB7" s="354">
        <f>B31</f>
        <v>0.2</v>
      </c>
      <c r="ED7" s="95" t="s">
        <v>67</v>
      </c>
      <c r="EE7" s="354">
        <f>B31</f>
        <v>0.2</v>
      </c>
      <c r="EG7" s="95" t="s">
        <v>142</v>
      </c>
      <c r="EH7" s="358">
        <f>EH5/(EH6*EH8*EH15*EH16)</f>
        <v>4.0178502629765554E-7</v>
      </c>
      <c r="EI7" s="95" t="s">
        <v>23</v>
      </c>
      <c r="EM7" s="95" t="s">
        <v>67</v>
      </c>
      <c r="EN7" s="354">
        <f>B31</f>
        <v>0.2</v>
      </c>
      <c r="EP7" s="95" t="s">
        <v>67</v>
      </c>
      <c r="EQ7" s="354">
        <f>B31</f>
        <v>0.2</v>
      </c>
      <c r="ES7" s="95" t="s">
        <v>67</v>
      </c>
      <c r="ET7" s="354">
        <f>B31</f>
        <v>0.2</v>
      </c>
      <c r="EV7" s="95" t="s">
        <v>142</v>
      </c>
      <c r="EW7" s="358">
        <f>EW5/(EW6*EW8*EW15*EW16)</f>
        <v>1.3395407775296548E-6</v>
      </c>
      <c r="EX7" s="95" t="s">
        <v>23</v>
      </c>
      <c r="EZ7" s="95">
        <v>1000</v>
      </c>
      <c r="FA7" s="95" t="s">
        <v>230</v>
      </c>
      <c r="FB7" s="95" t="s">
        <v>67</v>
      </c>
      <c r="FC7" s="354">
        <f>B31</f>
        <v>0.2</v>
      </c>
      <c r="FE7" s="95" t="s">
        <v>67</v>
      </c>
      <c r="FF7" s="354">
        <f>B31</f>
        <v>0.2</v>
      </c>
      <c r="FH7" s="95" t="s">
        <v>67</v>
      </c>
      <c r="FI7" s="354">
        <f>B31</f>
        <v>0.2</v>
      </c>
      <c r="FK7" s="95" t="s">
        <v>142</v>
      </c>
      <c r="FL7" s="358">
        <f>FL5/(FL6*FL8*FL17)</f>
        <v>1.7475483094169773E-2</v>
      </c>
      <c r="FM7" s="95" t="s">
        <v>23</v>
      </c>
      <c r="FO7" s="95">
        <v>1000</v>
      </c>
      <c r="FP7" s="95" t="s">
        <v>230</v>
      </c>
      <c r="FT7" s="95" t="s">
        <v>67</v>
      </c>
      <c r="FU7" s="354">
        <f>B31</f>
        <v>0.2</v>
      </c>
      <c r="FW7" s="95" t="s">
        <v>67</v>
      </c>
      <c r="FX7" s="354">
        <f>B31</f>
        <v>0.2</v>
      </c>
      <c r="FZ7" s="95" t="s">
        <v>142</v>
      </c>
      <c r="GA7" s="358">
        <f>GA5/(GA6*GA8*GA15*GA16)</f>
        <v>5.5892961884736396E-7</v>
      </c>
      <c r="GB7" s="95" t="s">
        <v>23</v>
      </c>
      <c r="GD7" s="95">
        <v>1000</v>
      </c>
      <c r="GE7" s="95" t="s">
        <v>230</v>
      </c>
      <c r="GF7" s="95" t="s">
        <v>67</v>
      </c>
      <c r="GG7" s="354">
        <f>B31</f>
        <v>0.2</v>
      </c>
      <c r="GI7" s="95" t="s">
        <v>67</v>
      </c>
      <c r="GJ7" s="354">
        <f>B31</f>
        <v>0.2</v>
      </c>
      <c r="GL7" s="95" t="s">
        <v>67</v>
      </c>
      <c r="GM7" s="354">
        <f>B31</f>
        <v>0.2</v>
      </c>
      <c r="GO7" s="95" t="s">
        <v>142</v>
      </c>
      <c r="GP7" s="358">
        <f>GP5/(GP6*GP8*GP15*GP16)</f>
        <v>7.1954688338814253E-4</v>
      </c>
      <c r="GQ7" s="95" t="s">
        <v>23</v>
      </c>
      <c r="GS7" s="95">
        <v>1000</v>
      </c>
      <c r="GT7" s="95" t="s">
        <v>230</v>
      </c>
      <c r="GU7" s="95" t="s">
        <v>67</v>
      </c>
      <c r="GV7" s="354">
        <f>B31</f>
        <v>0.2</v>
      </c>
      <c r="GX7" s="95" t="s">
        <v>67</v>
      </c>
      <c r="GY7" s="354">
        <f>B31</f>
        <v>0.2</v>
      </c>
      <c r="HA7" s="95" t="s">
        <v>67</v>
      </c>
      <c r="HB7" s="354">
        <f>B31</f>
        <v>0.2</v>
      </c>
      <c r="HD7" s="95" t="s">
        <v>52</v>
      </c>
      <c r="HE7" s="354">
        <f>0.693/HE8</f>
        <v>2.3099999999999999E-2</v>
      </c>
    </row>
    <row r="8" spans="1:214" s="95" customFormat="1" x14ac:dyDescent="0.2">
      <c r="A8" s="95" t="s">
        <v>461</v>
      </c>
      <c r="B8" s="353">
        <v>3.1699999999999998E-11</v>
      </c>
      <c r="C8" s="95" t="s">
        <v>64</v>
      </c>
      <c r="D8" s="95" t="s">
        <v>54</v>
      </c>
      <c r="E8" s="95">
        <v>350</v>
      </c>
      <c r="F8" s="95" t="s">
        <v>63</v>
      </c>
      <c r="G8" s="95" t="s">
        <v>409</v>
      </c>
      <c r="H8" s="354">
        <f>B15</f>
        <v>5.1800000000000001E-12</v>
      </c>
      <c r="I8" s="95" t="s">
        <v>64</v>
      </c>
      <c r="J8" s="95" t="s">
        <v>131</v>
      </c>
      <c r="K8" s="354">
        <f>B9</f>
        <v>2.5399999999999998E-6</v>
      </c>
      <c r="L8" s="95" t="s">
        <v>163</v>
      </c>
      <c r="M8" s="95" t="s">
        <v>448</v>
      </c>
      <c r="N8" s="354">
        <f>B17</f>
        <v>30</v>
      </c>
      <c r="O8" s="95" t="s">
        <v>129</v>
      </c>
      <c r="P8" s="95" t="s">
        <v>448</v>
      </c>
      <c r="Q8" s="354">
        <f>B17</f>
        <v>30</v>
      </c>
      <c r="R8" s="95" t="s">
        <v>129</v>
      </c>
      <c r="S8" s="95" t="s">
        <v>448</v>
      </c>
      <c r="T8" s="354">
        <f>B17</f>
        <v>30</v>
      </c>
      <c r="U8" s="95" t="s">
        <v>129</v>
      </c>
      <c r="V8" s="95" t="s">
        <v>54</v>
      </c>
      <c r="W8" s="95">
        <v>225</v>
      </c>
      <c r="X8" s="95" t="s">
        <v>63</v>
      </c>
      <c r="Y8" s="95" t="s">
        <v>54</v>
      </c>
      <c r="Z8" s="95">
        <v>250</v>
      </c>
      <c r="AA8" s="95" t="s">
        <v>63</v>
      </c>
      <c r="AB8" s="95" t="s">
        <v>69</v>
      </c>
      <c r="AC8" s="95">
        <v>250</v>
      </c>
      <c r="AD8" s="95">
        <v>250</v>
      </c>
      <c r="AE8" s="95">
        <v>225</v>
      </c>
      <c r="AF8" s="95">
        <f>AF12*AF13</f>
        <v>250</v>
      </c>
      <c r="AG8" s="95">
        <f>AG12*AG13</f>
        <v>250</v>
      </c>
      <c r="AH8" s="95" t="s">
        <v>55</v>
      </c>
      <c r="AI8" s="95" t="s">
        <v>448</v>
      </c>
      <c r="AJ8" s="354">
        <f>B17</f>
        <v>30</v>
      </c>
      <c r="AK8" s="95" t="s">
        <v>129</v>
      </c>
      <c r="AL8" s="95" t="s">
        <v>448</v>
      </c>
      <c r="AM8" s="354">
        <f>B17</f>
        <v>30</v>
      </c>
      <c r="AN8" s="95" t="s">
        <v>129</v>
      </c>
      <c r="AO8" s="95" t="s">
        <v>448</v>
      </c>
      <c r="AP8" s="354">
        <f>B17</f>
        <v>30</v>
      </c>
      <c r="AQ8" s="95" t="s">
        <v>129</v>
      </c>
      <c r="AR8" s="95" t="s">
        <v>448</v>
      </c>
      <c r="AS8" s="354">
        <f>B17</f>
        <v>30</v>
      </c>
      <c r="AT8" s="95" t="s">
        <v>129</v>
      </c>
      <c r="AU8" s="95" t="s">
        <v>448</v>
      </c>
      <c r="AV8" s="354">
        <f>B17</f>
        <v>30</v>
      </c>
      <c r="AW8" s="95" t="s">
        <v>129</v>
      </c>
      <c r="AX8" s="95" t="s">
        <v>448</v>
      </c>
      <c r="AY8" s="354">
        <f>B17</f>
        <v>30</v>
      </c>
      <c r="AZ8" s="95" t="s">
        <v>129</v>
      </c>
      <c r="BA8" s="95" t="s">
        <v>448</v>
      </c>
      <c r="BB8" s="354">
        <f>B17</f>
        <v>30</v>
      </c>
      <c r="BC8" s="95" t="s">
        <v>129</v>
      </c>
      <c r="BD8" s="95" t="s">
        <v>448</v>
      </c>
      <c r="BE8" s="354">
        <f>B17</f>
        <v>30</v>
      </c>
      <c r="BF8" s="95" t="s">
        <v>129</v>
      </c>
      <c r="BG8" s="95" t="s">
        <v>448</v>
      </c>
      <c r="BH8" s="354">
        <f>B17</f>
        <v>30</v>
      </c>
      <c r="BI8" s="95" t="s">
        <v>129</v>
      </c>
      <c r="BJ8" s="95" t="s">
        <v>448</v>
      </c>
      <c r="BK8" s="354">
        <f>B17</f>
        <v>30</v>
      </c>
      <c r="BL8" s="95" t="s">
        <v>129</v>
      </c>
      <c r="BM8" s="95" t="s">
        <v>448</v>
      </c>
      <c r="BN8" s="354">
        <f>B17</f>
        <v>30</v>
      </c>
      <c r="BO8" s="95" t="s">
        <v>129</v>
      </c>
      <c r="BP8" s="95" t="s">
        <v>448</v>
      </c>
      <c r="BQ8" s="354">
        <f>B17</f>
        <v>30</v>
      </c>
      <c r="BR8" s="95" t="s">
        <v>129</v>
      </c>
      <c r="BS8" s="95" t="s">
        <v>54</v>
      </c>
      <c r="BT8" s="95">
        <v>75</v>
      </c>
      <c r="BU8" s="95" t="s">
        <v>63</v>
      </c>
      <c r="BV8" s="95" t="s">
        <v>409</v>
      </c>
      <c r="BW8" s="354">
        <f>H8</f>
        <v>5.1800000000000001E-12</v>
      </c>
      <c r="BX8" s="95" t="s">
        <v>64</v>
      </c>
      <c r="BY8" s="95" t="s">
        <v>131</v>
      </c>
      <c r="BZ8" s="354">
        <f>B9</f>
        <v>2.5399999999999998E-6</v>
      </c>
      <c r="CA8" s="95" t="s">
        <v>163</v>
      </c>
      <c r="CB8" s="95" t="s">
        <v>448</v>
      </c>
      <c r="CC8" s="354">
        <f>B17</f>
        <v>30</v>
      </c>
      <c r="CD8" s="95" t="s">
        <v>129</v>
      </c>
      <c r="CE8" s="95" t="s">
        <v>448</v>
      </c>
      <c r="CF8" s="354">
        <f>B17</f>
        <v>30</v>
      </c>
      <c r="CG8" s="95" t="s">
        <v>129</v>
      </c>
      <c r="CH8" s="95" t="s">
        <v>448</v>
      </c>
      <c r="CI8" s="354">
        <f>B17</f>
        <v>30</v>
      </c>
      <c r="CJ8" s="95" t="s">
        <v>129</v>
      </c>
      <c r="CK8" s="95" t="s">
        <v>107</v>
      </c>
      <c r="CL8" s="95">
        <v>26</v>
      </c>
      <c r="CM8" s="95" t="s">
        <v>276</v>
      </c>
      <c r="CN8" s="95" t="s">
        <v>67</v>
      </c>
      <c r="CO8" s="354">
        <f>B31</f>
        <v>0.2</v>
      </c>
      <c r="CT8" s="95" t="s">
        <v>131</v>
      </c>
      <c r="CU8" s="354">
        <f>B9</f>
        <v>2.5399999999999998E-6</v>
      </c>
      <c r="CV8" s="95" t="s">
        <v>163</v>
      </c>
      <c r="CW8" s="95" t="s">
        <v>54</v>
      </c>
      <c r="CX8" s="95">
        <v>350</v>
      </c>
      <c r="CY8" s="95" t="s">
        <v>63</v>
      </c>
      <c r="CZ8" s="95" t="s">
        <v>257</v>
      </c>
      <c r="DA8" s="359">
        <f>B15</f>
        <v>5.1800000000000001E-12</v>
      </c>
      <c r="DB8" s="95" t="s">
        <v>64</v>
      </c>
      <c r="DC8" s="95" t="s">
        <v>282</v>
      </c>
      <c r="DD8" s="360">
        <f>(DD9*DD15*DD16)+(DD10*DD14*DD17)</f>
        <v>699860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7856100</v>
      </c>
      <c r="DT8" s="95" t="s">
        <v>230</v>
      </c>
      <c r="DX8" s="95" t="s">
        <v>73</v>
      </c>
      <c r="DY8" s="95">
        <v>0.25</v>
      </c>
      <c r="EA8" s="95" t="s">
        <v>73</v>
      </c>
      <c r="EB8" s="95">
        <v>0.25</v>
      </c>
      <c r="ED8" s="95" t="s">
        <v>73</v>
      </c>
      <c r="EE8" s="95">
        <v>0.25</v>
      </c>
      <c r="EG8" s="95" t="s">
        <v>284</v>
      </c>
      <c r="EH8" s="360">
        <f>(EH13*EH11*EH9)+(EH14*EH12*EH10)</f>
        <v>1663698.6301369865</v>
      </c>
      <c r="EI8" s="95" t="s">
        <v>230</v>
      </c>
      <c r="EM8" s="95" t="s">
        <v>73</v>
      </c>
      <c r="EN8" s="95">
        <v>0.25</v>
      </c>
      <c r="EP8" s="95" t="s">
        <v>73</v>
      </c>
      <c r="EQ8" s="95">
        <v>0.25</v>
      </c>
      <c r="ES8" s="95" t="s">
        <v>73</v>
      </c>
      <c r="ET8" s="95">
        <v>0.25</v>
      </c>
      <c r="EV8" s="95" t="s">
        <v>286</v>
      </c>
      <c r="EW8" s="360">
        <f>(EW11*EW13*EW9)+(EW12*EW14*EW10)</f>
        <v>499013.69863013696</v>
      </c>
      <c r="EX8" s="95" t="s">
        <v>230</v>
      </c>
      <c r="FB8" s="95" t="s">
        <v>316</v>
      </c>
      <c r="FC8" s="95">
        <v>0.25</v>
      </c>
      <c r="FE8" s="95" t="s">
        <v>316</v>
      </c>
      <c r="FF8" s="95">
        <v>0.25</v>
      </c>
      <c r="FH8" s="95" t="s">
        <v>316</v>
      </c>
      <c r="FI8" s="95">
        <v>0.25</v>
      </c>
      <c r="FK8" s="95" t="s">
        <v>289</v>
      </c>
      <c r="FL8" s="361">
        <f>(FL13*FL9*FL11)+(FL14*FL10*FL12)</f>
        <v>1530027.397260274</v>
      </c>
      <c r="FM8" s="95" t="s">
        <v>230</v>
      </c>
      <c r="FT8" s="95" t="s">
        <v>311</v>
      </c>
      <c r="FU8" s="95">
        <v>0.25</v>
      </c>
      <c r="FW8" s="95" t="s">
        <v>311</v>
      </c>
      <c r="FX8" s="95">
        <v>0.25</v>
      </c>
      <c r="FZ8" s="95" t="s">
        <v>292</v>
      </c>
      <c r="GA8" s="361">
        <f>(GA11*GA9*GA13)+(GA14*GA10*GA12)</f>
        <v>1195945.2054794519</v>
      </c>
      <c r="GB8" s="95" t="s">
        <v>230</v>
      </c>
      <c r="GF8" s="95" t="s">
        <v>305</v>
      </c>
      <c r="GG8" s="95">
        <v>0.25</v>
      </c>
      <c r="GI8" s="95" t="s">
        <v>305</v>
      </c>
      <c r="GJ8" s="95">
        <v>0.25</v>
      </c>
      <c r="GL8" s="95" t="s">
        <v>305</v>
      </c>
      <c r="GM8" s="95">
        <v>0.25</v>
      </c>
      <c r="GO8" s="95" t="s">
        <v>293</v>
      </c>
      <c r="GP8" s="360">
        <f>(GP13*GP9*GP11)+(GP14*GP10*GP12)</f>
        <v>928986.30136986298</v>
      </c>
      <c r="GQ8" s="95" t="s">
        <v>230</v>
      </c>
      <c r="GU8" s="95" t="s">
        <v>310</v>
      </c>
      <c r="GV8" s="95">
        <v>0.25</v>
      </c>
      <c r="GX8" s="95" t="s">
        <v>310</v>
      </c>
      <c r="GY8" s="95">
        <v>0.25</v>
      </c>
      <c r="HA8" s="95" t="s">
        <v>310</v>
      </c>
      <c r="HB8" s="95">
        <v>0.25</v>
      </c>
      <c r="HD8" s="95" t="s">
        <v>448</v>
      </c>
      <c r="HE8" s="354">
        <f>B17</f>
        <v>30</v>
      </c>
      <c r="HF8" s="95" t="s">
        <v>129</v>
      </c>
    </row>
    <row r="9" spans="1:214" s="95" customFormat="1" x14ac:dyDescent="0.2">
      <c r="A9" s="95" t="s">
        <v>131</v>
      </c>
      <c r="B9" s="353">
        <v>2.5399999999999998E-6</v>
      </c>
      <c r="C9" s="95" t="s">
        <v>163</v>
      </c>
      <c r="D9" s="95" t="s">
        <v>68</v>
      </c>
      <c r="E9" s="95">
        <v>26</v>
      </c>
      <c r="F9" s="95" t="s">
        <v>62</v>
      </c>
      <c r="G9" s="95" t="s">
        <v>415</v>
      </c>
      <c r="H9" s="354">
        <f>B16</f>
        <v>3.7400000000000001E-11</v>
      </c>
      <c r="I9" s="95" t="s">
        <v>64</v>
      </c>
      <c r="J9" s="95" t="s">
        <v>415</v>
      </c>
      <c r="K9" s="354">
        <f>B16</f>
        <v>3.7400000000000001E-11</v>
      </c>
      <c r="L9" s="95" t="s">
        <v>64</v>
      </c>
      <c r="M9" s="95" t="s">
        <v>54</v>
      </c>
      <c r="N9" s="95">
        <v>350</v>
      </c>
      <c r="O9" s="95" t="s">
        <v>63</v>
      </c>
      <c r="P9" s="95" t="s">
        <v>54</v>
      </c>
      <c r="Q9" s="95">
        <v>350</v>
      </c>
      <c r="R9" s="95" t="s">
        <v>63</v>
      </c>
      <c r="S9" s="95" t="s">
        <v>54</v>
      </c>
      <c r="T9" s="95">
        <v>350</v>
      </c>
      <c r="U9" s="95" t="s">
        <v>63</v>
      </c>
      <c r="V9" s="95" t="s">
        <v>68</v>
      </c>
      <c r="W9" s="95">
        <v>25</v>
      </c>
      <c r="X9" s="95" t="s">
        <v>62</v>
      </c>
      <c r="Y9" s="95" t="s">
        <v>68</v>
      </c>
      <c r="Z9" s="95">
        <v>25</v>
      </c>
      <c r="AA9" s="95" t="s">
        <v>62</v>
      </c>
      <c r="AB9" s="95" t="s">
        <v>77</v>
      </c>
      <c r="AC9" s="354">
        <f>B8</f>
        <v>3.1699999999999998E-11</v>
      </c>
      <c r="AD9" s="354">
        <f>B8</f>
        <v>3.1699999999999998E-11</v>
      </c>
      <c r="AE9" s="354">
        <f>B8</f>
        <v>3.1699999999999998E-11</v>
      </c>
      <c r="AF9" s="354">
        <f>B8</f>
        <v>3.1699999999999998E-11</v>
      </c>
      <c r="AG9" s="354">
        <f>B8</f>
        <v>3.1699999999999998E-11</v>
      </c>
      <c r="AH9" s="95" t="s">
        <v>64</v>
      </c>
      <c r="AI9" s="95" t="s">
        <v>54</v>
      </c>
      <c r="AJ9" s="95">
        <v>250</v>
      </c>
      <c r="AK9" s="95" t="s">
        <v>63</v>
      </c>
      <c r="AL9" s="95" t="s">
        <v>54</v>
      </c>
      <c r="AM9" s="95">
        <v>250</v>
      </c>
      <c r="AN9" s="95" t="s">
        <v>63</v>
      </c>
      <c r="AO9" s="95" t="s">
        <v>54</v>
      </c>
      <c r="AP9" s="95">
        <v>250</v>
      </c>
      <c r="AQ9" s="95" t="s">
        <v>63</v>
      </c>
      <c r="AR9" s="95" t="s">
        <v>54</v>
      </c>
      <c r="AS9" s="95">
        <v>225</v>
      </c>
      <c r="AT9" s="95" t="s">
        <v>63</v>
      </c>
      <c r="AU9" s="95" t="s">
        <v>54</v>
      </c>
      <c r="AV9" s="95">
        <v>225</v>
      </c>
      <c r="AW9" s="95" t="s">
        <v>63</v>
      </c>
      <c r="AX9" s="95" t="s">
        <v>54</v>
      </c>
      <c r="AY9" s="95">
        <v>225</v>
      </c>
      <c r="AZ9" s="95" t="s">
        <v>63</v>
      </c>
      <c r="BA9" s="95" t="s">
        <v>54</v>
      </c>
      <c r="BB9" s="95">
        <v>250</v>
      </c>
      <c r="BC9" s="95" t="s">
        <v>63</v>
      </c>
      <c r="BD9" s="95" t="s">
        <v>54</v>
      </c>
      <c r="BE9" s="95">
        <v>250</v>
      </c>
      <c r="BF9" s="95" t="s">
        <v>63</v>
      </c>
      <c r="BG9" s="95" t="s">
        <v>54</v>
      </c>
      <c r="BH9" s="95">
        <v>250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3.7400000000000001E-11</v>
      </c>
      <c r="BX9" s="95" t="s">
        <v>64</v>
      </c>
      <c r="BY9" s="95" t="s">
        <v>164</v>
      </c>
      <c r="BZ9" s="354">
        <f>B18</f>
        <v>1359344473.5814338</v>
      </c>
      <c r="CA9" s="95" t="s">
        <v>165</v>
      </c>
      <c r="CB9" s="95" t="s">
        <v>54</v>
      </c>
      <c r="CC9" s="95">
        <v>75</v>
      </c>
      <c r="CD9" s="95" t="s">
        <v>63</v>
      </c>
      <c r="CE9" s="95" t="s">
        <v>54</v>
      </c>
      <c r="CF9" s="95">
        <v>75</v>
      </c>
      <c r="CG9" s="95" t="s">
        <v>63</v>
      </c>
      <c r="CH9" s="95" t="s">
        <v>54</v>
      </c>
      <c r="CI9" s="95">
        <v>75</v>
      </c>
      <c r="CJ9" s="95" t="s">
        <v>63</v>
      </c>
      <c r="CK9" s="95" t="s">
        <v>330</v>
      </c>
      <c r="CL9" s="357">
        <v>1</v>
      </c>
      <c r="CM9" s="95" t="s">
        <v>413</v>
      </c>
      <c r="CN9" s="95" t="s">
        <v>340</v>
      </c>
      <c r="CO9" s="357">
        <v>0.25</v>
      </c>
      <c r="CT9" s="95" t="s">
        <v>415</v>
      </c>
      <c r="CU9" s="354">
        <f>B16</f>
        <v>3.7400000000000001E-11</v>
      </c>
      <c r="CV9" s="95" t="s">
        <v>64</v>
      </c>
      <c r="CW9" s="95" t="s">
        <v>68</v>
      </c>
      <c r="CX9" s="95">
        <v>40</v>
      </c>
      <c r="CY9" s="95" t="s">
        <v>62</v>
      </c>
      <c r="CZ9" s="95" t="s">
        <v>415</v>
      </c>
      <c r="DA9" s="354">
        <f>B16</f>
        <v>3.7400000000000001E-11</v>
      </c>
      <c r="DB9" s="95" t="s">
        <v>64</v>
      </c>
      <c r="DC9" s="95" t="s">
        <v>97</v>
      </c>
      <c r="DD9" s="354">
        <f>B40</f>
        <v>14.8</v>
      </c>
      <c r="DE9" s="95" t="s">
        <v>413</v>
      </c>
      <c r="DF9" s="95" t="s">
        <v>79</v>
      </c>
      <c r="DG9" s="95">
        <v>0.25</v>
      </c>
      <c r="DH9" s="95" t="s">
        <v>80</v>
      </c>
      <c r="DO9" s="95" t="s">
        <v>79</v>
      </c>
      <c r="DP9" s="95">
        <v>0.25</v>
      </c>
      <c r="DQ9" s="95" t="s">
        <v>80</v>
      </c>
      <c r="DR9" s="95" t="s">
        <v>278</v>
      </c>
      <c r="DS9" s="95">
        <f>B45</f>
        <v>256</v>
      </c>
      <c r="DT9" s="95" t="s">
        <v>413</v>
      </c>
      <c r="DX9" s="95" t="s">
        <v>347</v>
      </c>
      <c r="DY9" s="354">
        <f>B23</f>
        <v>8.0000000000000002E-3</v>
      </c>
      <c r="EA9" s="95" t="s">
        <v>347</v>
      </c>
      <c r="EB9" s="354">
        <f>B23</f>
        <v>8.0000000000000002E-3</v>
      </c>
      <c r="ED9" s="95" t="s">
        <v>347</v>
      </c>
      <c r="EE9" s="354">
        <f>B23</f>
        <v>8.0000000000000002E-3</v>
      </c>
      <c r="EG9" s="95" t="s">
        <v>98</v>
      </c>
      <c r="EH9" s="95">
        <f>4.7*1000/365</f>
        <v>12.876712328767123</v>
      </c>
      <c r="EI9" s="95" t="s">
        <v>413</v>
      </c>
      <c r="EM9" s="95" t="s">
        <v>348</v>
      </c>
      <c r="EN9" s="354">
        <f>B24</f>
        <v>0.03</v>
      </c>
      <c r="EP9" s="95" t="s">
        <v>348</v>
      </c>
      <c r="EQ9" s="354">
        <f>B24</f>
        <v>0.03</v>
      </c>
      <c r="ES9" s="95" t="s">
        <v>348</v>
      </c>
      <c r="ET9" s="354">
        <f>B24</f>
        <v>0.03</v>
      </c>
      <c r="EV9" s="95" t="s">
        <v>287</v>
      </c>
      <c r="EW9" s="95">
        <f>2.3*1000/365</f>
        <v>6.3013698630136989</v>
      </c>
      <c r="EX9" s="95" t="s">
        <v>413</v>
      </c>
      <c r="FB9" s="95" t="s">
        <v>349</v>
      </c>
      <c r="FC9" s="356">
        <f>B26</f>
        <v>0.4</v>
      </c>
      <c r="FE9" s="95" t="s">
        <v>349</v>
      </c>
      <c r="FF9" s="356">
        <f>B26</f>
        <v>0.4</v>
      </c>
      <c r="FH9" s="95" t="s">
        <v>349</v>
      </c>
      <c r="FI9" s="356">
        <f>B26</f>
        <v>0.4</v>
      </c>
      <c r="FK9" s="95" t="s">
        <v>254</v>
      </c>
      <c r="FL9" s="95">
        <f>6.4*1000/365</f>
        <v>17.534246575342465</v>
      </c>
      <c r="FM9" s="95" t="s">
        <v>413</v>
      </c>
      <c r="FT9" s="95" t="s">
        <v>350</v>
      </c>
      <c r="FU9" s="357">
        <v>1</v>
      </c>
      <c r="FW9" s="95" t="s">
        <v>350</v>
      </c>
      <c r="FX9" s="357">
        <v>1</v>
      </c>
      <c r="FZ9" s="95" t="s">
        <v>252</v>
      </c>
      <c r="GA9" s="362">
        <f>5*1000/365</f>
        <v>13.698630136986301</v>
      </c>
      <c r="GB9" s="95" t="s">
        <v>413</v>
      </c>
      <c r="GF9" s="95" t="s">
        <v>351</v>
      </c>
      <c r="GG9" s="356">
        <f>B25</f>
        <v>10</v>
      </c>
      <c r="GI9" s="95" t="s">
        <v>351</v>
      </c>
      <c r="GJ9" s="356">
        <f>B25</f>
        <v>10</v>
      </c>
      <c r="GL9" s="95" t="s">
        <v>351</v>
      </c>
      <c r="GM9" s="356">
        <f>B25</f>
        <v>10</v>
      </c>
      <c r="GO9" s="95" t="s">
        <v>295</v>
      </c>
      <c r="GP9" s="95">
        <f>4.5*1000/365</f>
        <v>12.328767123287671</v>
      </c>
      <c r="GQ9" s="95" t="s">
        <v>413</v>
      </c>
      <c r="GU9" s="95" t="s">
        <v>352</v>
      </c>
      <c r="GV9" s="356">
        <f>B27</f>
        <v>0.24</v>
      </c>
      <c r="GX9" s="95" t="s">
        <v>352</v>
      </c>
      <c r="GY9" s="356">
        <f>B27</f>
        <v>0.24</v>
      </c>
      <c r="HA9" s="95" t="s">
        <v>352</v>
      </c>
      <c r="HB9" s="356">
        <f>B27</f>
        <v>0.24</v>
      </c>
      <c r="HD9" s="95" t="s">
        <v>74</v>
      </c>
      <c r="HE9" s="95">
        <v>0.3</v>
      </c>
    </row>
    <row r="10" spans="1:214" s="95" customFormat="1" x14ac:dyDescent="0.2">
      <c r="A10" s="95" t="s">
        <v>473</v>
      </c>
      <c r="B10" s="353">
        <v>5.0900000000000002E-7</v>
      </c>
      <c r="C10" s="95" t="s">
        <v>477</v>
      </c>
      <c r="D10" s="95" t="s">
        <v>75</v>
      </c>
      <c r="E10" s="354">
        <f>B5</f>
        <v>1.1900000000000001E-11</v>
      </c>
      <c r="F10" s="95" t="s">
        <v>64</v>
      </c>
      <c r="G10" s="363" t="s">
        <v>142</v>
      </c>
      <c r="H10" s="364">
        <f>H5/(H6*H15)</f>
        <v>1.7188178933067855</v>
      </c>
      <c r="I10" s="365" t="s">
        <v>22</v>
      </c>
      <c r="J10" s="95" t="s">
        <v>164</v>
      </c>
      <c r="K10" s="354">
        <f>B18</f>
        <v>1359344473.5814338</v>
      </c>
      <c r="L10" s="95" t="s">
        <v>165</v>
      </c>
      <c r="M10" s="95" t="s">
        <v>68</v>
      </c>
      <c r="N10" s="95">
        <v>26</v>
      </c>
      <c r="O10" s="95" t="s">
        <v>62</v>
      </c>
      <c r="P10" s="95" t="s">
        <v>68</v>
      </c>
      <c r="Q10" s="95">
        <v>26</v>
      </c>
      <c r="R10" s="95" t="s">
        <v>62</v>
      </c>
      <c r="S10" s="95" t="s">
        <v>68</v>
      </c>
      <c r="T10" s="95">
        <v>26</v>
      </c>
      <c r="U10" s="95" t="s">
        <v>62</v>
      </c>
      <c r="V10" s="95" t="s">
        <v>75</v>
      </c>
      <c r="W10" s="354">
        <f>B5</f>
        <v>1.1900000000000001E-11</v>
      </c>
      <c r="X10" s="95" t="s">
        <v>76</v>
      </c>
      <c r="Y10" s="95" t="s">
        <v>75</v>
      </c>
      <c r="Z10" s="354">
        <f>B5</f>
        <v>1.1900000000000001E-11</v>
      </c>
      <c r="AA10" s="95" t="s">
        <v>76</v>
      </c>
      <c r="AI10" s="95" t="s">
        <v>68</v>
      </c>
      <c r="AJ10" s="95">
        <v>25</v>
      </c>
      <c r="AK10" s="95" t="s">
        <v>62</v>
      </c>
      <c r="AL10" s="95" t="s">
        <v>68</v>
      </c>
      <c r="AM10" s="95">
        <v>25</v>
      </c>
      <c r="AN10" s="95" t="s">
        <v>62</v>
      </c>
      <c r="AO10" s="95" t="s">
        <v>68</v>
      </c>
      <c r="AP10" s="95">
        <v>25</v>
      </c>
      <c r="AQ10" s="95" t="s">
        <v>62</v>
      </c>
      <c r="AR10" s="95" t="s">
        <v>68</v>
      </c>
      <c r="AS10" s="95">
        <v>25</v>
      </c>
      <c r="AT10" s="95" t="s">
        <v>62</v>
      </c>
      <c r="AU10" s="95" t="s">
        <v>68</v>
      </c>
      <c r="AV10" s="95">
        <v>25</v>
      </c>
      <c r="AW10" s="95" t="s">
        <v>62</v>
      </c>
      <c r="AX10" s="95" t="s">
        <v>68</v>
      </c>
      <c r="AY10" s="95">
        <v>25</v>
      </c>
      <c r="AZ10" s="95" t="s">
        <v>62</v>
      </c>
      <c r="BA10" s="95" t="s">
        <v>68</v>
      </c>
      <c r="BB10" s="95">
        <v>25</v>
      </c>
      <c r="BC10" s="95" t="s">
        <v>62</v>
      </c>
      <c r="BD10" s="95" t="s">
        <v>68</v>
      </c>
      <c r="BE10" s="95">
        <v>25</v>
      </c>
      <c r="BF10" s="95" t="s">
        <v>62</v>
      </c>
      <c r="BG10" s="95" t="s">
        <v>68</v>
      </c>
      <c r="BH10" s="95">
        <v>25</v>
      </c>
      <c r="BI10" s="95" t="s">
        <v>62</v>
      </c>
      <c r="BJ10" s="95" t="s">
        <v>411</v>
      </c>
      <c r="BK10" s="95">
        <v>50</v>
      </c>
      <c r="BL10" s="95" t="s">
        <v>426</v>
      </c>
      <c r="BM10" s="95" t="s">
        <v>411</v>
      </c>
      <c r="BN10" s="95">
        <v>50</v>
      </c>
      <c r="BO10" s="95" t="s">
        <v>426</v>
      </c>
      <c r="BP10" s="95" t="s">
        <v>411</v>
      </c>
      <c r="BQ10" s="95">
        <v>50</v>
      </c>
      <c r="BR10" s="95" t="s">
        <v>426</v>
      </c>
      <c r="BS10" s="95" t="s">
        <v>75</v>
      </c>
      <c r="BT10" s="354">
        <f>E10</f>
        <v>1.1900000000000001E-11</v>
      </c>
      <c r="BU10" s="95" t="s">
        <v>64</v>
      </c>
      <c r="BV10" s="95" t="s">
        <v>142</v>
      </c>
      <c r="BW10" s="354">
        <f>BW5/(BW6*BW13)</f>
        <v>562.30319388214127</v>
      </c>
      <c r="BX10" s="95" t="s">
        <v>22</v>
      </c>
      <c r="BY10" s="95" t="s">
        <v>38</v>
      </c>
      <c r="BZ10" s="354">
        <f>(BZ33*BZ11)/(1-EXP(-BZ11*BZ33))</f>
        <v>1.330180847185898</v>
      </c>
      <c r="CB10" s="95" t="s">
        <v>68</v>
      </c>
      <c r="CC10" s="95">
        <v>26</v>
      </c>
      <c r="CD10" s="95" t="s">
        <v>62</v>
      </c>
      <c r="CE10" s="95" t="s">
        <v>68</v>
      </c>
      <c r="CF10" s="95">
        <v>26</v>
      </c>
      <c r="CG10" s="95" t="s">
        <v>62</v>
      </c>
      <c r="CH10" s="95" t="s">
        <v>68</v>
      </c>
      <c r="CI10" s="95">
        <v>26</v>
      </c>
      <c r="CJ10" s="95" t="s">
        <v>62</v>
      </c>
      <c r="CN10" s="95" t="s">
        <v>338</v>
      </c>
      <c r="CO10" s="357">
        <v>1</v>
      </c>
      <c r="CP10" s="95" t="s">
        <v>479</v>
      </c>
      <c r="CT10" s="95" t="s">
        <v>164</v>
      </c>
      <c r="CU10" s="354">
        <f>B18</f>
        <v>1359344473.5814338</v>
      </c>
      <c r="CV10" s="95" t="s">
        <v>165</v>
      </c>
      <c r="CW10" s="95" t="s">
        <v>75</v>
      </c>
      <c r="CX10" s="354">
        <f>B5</f>
        <v>1.1900000000000001E-11</v>
      </c>
      <c r="CY10" s="95" t="s">
        <v>64</v>
      </c>
      <c r="CZ10" s="95" t="s">
        <v>38</v>
      </c>
      <c r="DA10" s="354">
        <f>(DA39*DA11)/(1-EXP(-DA11*DA39))</f>
        <v>1.5321557426384087</v>
      </c>
      <c r="DC10" s="95" t="s">
        <v>118</v>
      </c>
      <c r="DD10" s="354">
        <f>B41</f>
        <v>56.2</v>
      </c>
      <c r="DE10" s="95" t="s">
        <v>413</v>
      </c>
      <c r="DF10" s="95" t="s">
        <v>66</v>
      </c>
      <c r="DG10" s="354">
        <f>B30</f>
        <v>0.04</v>
      </c>
      <c r="DO10" s="95" t="s">
        <v>66</v>
      </c>
      <c r="DP10" s="354">
        <f>B30</f>
        <v>0.04</v>
      </c>
      <c r="DR10" s="95" t="s">
        <v>279</v>
      </c>
      <c r="DS10" s="95">
        <f>B46</f>
        <v>615</v>
      </c>
      <c r="DT10" s="95" t="s">
        <v>413</v>
      </c>
      <c r="DX10" s="95" t="s">
        <v>89</v>
      </c>
      <c r="DY10" s="95">
        <v>16.899999999999999</v>
      </c>
      <c r="EA10" s="95" t="s">
        <v>89</v>
      </c>
      <c r="EB10" s="95">
        <v>16.899999999999999</v>
      </c>
      <c r="ED10" s="95" t="s">
        <v>89</v>
      </c>
      <c r="EE10" s="95">
        <v>16.899999999999999</v>
      </c>
      <c r="EG10" s="95" t="s">
        <v>119</v>
      </c>
      <c r="EH10" s="95">
        <f>50.2*1000/365</f>
        <v>137.53424657534248</v>
      </c>
      <c r="EI10" s="95" t="s">
        <v>413</v>
      </c>
      <c r="EM10" s="95" t="s">
        <v>90</v>
      </c>
      <c r="EN10" s="95">
        <v>11.77</v>
      </c>
      <c r="EP10" s="95" t="s">
        <v>90</v>
      </c>
      <c r="EQ10" s="95">
        <v>11.77</v>
      </c>
      <c r="ES10" s="95" t="s">
        <v>90</v>
      </c>
      <c r="ET10" s="95">
        <v>11.77</v>
      </c>
      <c r="EV10" s="95" t="s">
        <v>288</v>
      </c>
      <c r="EW10" s="95">
        <f>14.9*1000/365</f>
        <v>40.821917808219176</v>
      </c>
      <c r="EX10" s="95" t="s">
        <v>413</v>
      </c>
      <c r="FB10" s="95" t="s">
        <v>318</v>
      </c>
      <c r="FC10" s="95">
        <v>0.2</v>
      </c>
      <c r="FE10" s="95" t="s">
        <v>318</v>
      </c>
      <c r="FF10" s="95">
        <v>0.2</v>
      </c>
      <c r="FH10" s="95" t="s">
        <v>318</v>
      </c>
      <c r="FI10" s="95">
        <v>0.2</v>
      </c>
      <c r="FK10" s="95" t="s">
        <v>255</v>
      </c>
      <c r="FL10" s="95">
        <f>45.8*1000/365</f>
        <v>125.47945205479452</v>
      </c>
      <c r="FM10" s="95" t="s">
        <v>413</v>
      </c>
      <c r="FT10" s="95" t="s">
        <v>315</v>
      </c>
      <c r="FU10" s="357">
        <v>1</v>
      </c>
      <c r="FW10" s="95" t="s">
        <v>315</v>
      </c>
      <c r="FX10" s="357">
        <v>1</v>
      </c>
      <c r="FZ10" s="95" t="s">
        <v>253</v>
      </c>
      <c r="GA10" s="95">
        <f>35.8*1000/365</f>
        <v>98.082191780821915</v>
      </c>
      <c r="GB10" s="95" t="s">
        <v>413</v>
      </c>
      <c r="GF10" s="95" t="s">
        <v>301</v>
      </c>
      <c r="GG10" s="95">
        <v>0.2</v>
      </c>
      <c r="GI10" s="95" t="s">
        <v>301</v>
      </c>
      <c r="GJ10" s="95">
        <v>0.2</v>
      </c>
      <c r="GL10" s="95" t="s">
        <v>301</v>
      </c>
      <c r="GM10" s="95">
        <v>0.2</v>
      </c>
      <c r="GO10" s="95" t="s">
        <v>294</v>
      </c>
      <c r="GP10" s="95">
        <f>27.7*1000/365</f>
        <v>75.890410958904113</v>
      </c>
      <c r="GQ10" s="95" t="s">
        <v>413</v>
      </c>
      <c r="GU10" s="95" t="s">
        <v>306</v>
      </c>
      <c r="GV10" s="95">
        <v>4.7</v>
      </c>
      <c r="GX10" s="95" t="s">
        <v>306</v>
      </c>
      <c r="GY10" s="95">
        <v>4.7</v>
      </c>
      <c r="HA10" s="95" t="s">
        <v>306</v>
      </c>
      <c r="HB10" s="95">
        <v>4.7</v>
      </c>
      <c r="HD10" s="95" t="s">
        <v>81</v>
      </c>
      <c r="HE10" s="354">
        <v>1.5</v>
      </c>
    </row>
    <row r="11" spans="1:214" s="95" customFormat="1" x14ac:dyDescent="0.2">
      <c r="A11" s="95" t="s">
        <v>476</v>
      </c>
      <c r="B11" s="353">
        <v>3.2400000000000002E-10</v>
      </c>
      <c r="C11" s="95" t="s">
        <v>163</v>
      </c>
      <c r="D11" s="95" t="s">
        <v>82</v>
      </c>
      <c r="E11" s="360">
        <f>((E14/E15)*E24*E12*E16)+((E14/E15)*E25*E13*E17)</f>
        <v>161000</v>
      </c>
      <c r="F11" s="95" t="s">
        <v>444</v>
      </c>
      <c r="G11" s="366" t="s">
        <v>134</v>
      </c>
      <c r="H11" s="354">
        <f>H5/(H7*H16*H28)</f>
        <v>1.0438958191972441</v>
      </c>
      <c r="I11" s="367" t="s">
        <v>22</v>
      </c>
      <c r="J11" s="95" t="s">
        <v>38</v>
      </c>
      <c r="K11" s="354">
        <f>(K45*K12)/(1-EXP(-K12*K45))</f>
        <v>1.330180847185898</v>
      </c>
      <c r="M11" s="95" t="s">
        <v>91</v>
      </c>
      <c r="N11" s="95">
        <v>0.4</v>
      </c>
      <c r="P11" s="95" t="s">
        <v>91</v>
      </c>
      <c r="Q11" s="95">
        <v>0.4</v>
      </c>
      <c r="S11" s="95" t="s">
        <v>91</v>
      </c>
      <c r="T11" s="95">
        <v>0.4</v>
      </c>
      <c r="V11" s="95" t="s">
        <v>84</v>
      </c>
      <c r="W11" s="95">
        <v>8</v>
      </c>
      <c r="X11" s="95" t="s">
        <v>85</v>
      </c>
      <c r="Y11" s="95" t="s">
        <v>84</v>
      </c>
      <c r="Z11" s="95">
        <v>8</v>
      </c>
      <c r="AA11" s="95" t="s">
        <v>85</v>
      </c>
      <c r="AB11" s="95" t="s">
        <v>68</v>
      </c>
      <c r="AC11" s="95">
        <v>25</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1437.5</v>
      </c>
      <c r="BU11" s="95" t="s">
        <v>444</v>
      </c>
      <c r="BV11" s="95" t="s">
        <v>134</v>
      </c>
      <c r="BW11" s="354"/>
      <c r="BX11" s="95" t="s">
        <v>22</v>
      </c>
      <c r="BY11" s="95" t="s">
        <v>52</v>
      </c>
      <c r="BZ11" s="354">
        <f>0.693/BZ12</f>
        <v>2.3099999999999999E-2</v>
      </c>
      <c r="CB11" s="95" t="s">
        <v>102</v>
      </c>
      <c r="CC11" s="95">
        <v>8.5099999999999995E-2</v>
      </c>
      <c r="CE11" s="95" t="s">
        <v>102</v>
      </c>
      <c r="CF11" s="95">
        <v>4.3299999999999998E-2</v>
      </c>
      <c r="CH11" s="95" t="s">
        <v>102</v>
      </c>
      <c r="CI11" s="95">
        <v>7.2400000000000006E-2</v>
      </c>
      <c r="CN11" s="95" t="s">
        <v>335</v>
      </c>
      <c r="CO11" s="357">
        <v>1</v>
      </c>
      <c r="CP11" s="95" t="s">
        <v>479</v>
      </c>
      <c r="CT11" s="95" t="s">
        <v>38</v>
      </c>
      <c r="CU11" s="354">
        <f>(CU45*CU12)/(1-EXP(-CU12*CU45))</f>
        <v>1.5321557426384087</v>
      </c>
      <c r="CW11" s="95" t="s">
        <v>82</v>
      </c>
      <c r="CX11" s="360">
        <f>((CX15/24)*CX24*CX12*CX16)+((CX14/24)*CX25*CX13*CX17)</f>
        <v>259000</v>
      </c>
      <c r="CY11" s="95" t="s">
        <v>444</v>
      </c>
      <c r="CZ11" s="95" t="s">
        <v>52</v>
      </c>
      <c r="DA11" s="354">
        <f>0.693/DA12</f>
        <v>2.3099999999999999E-2</v>
      </c>
      <c r="DC11" s="95" t="s">
        <v>283</v>
      </c>
      <c r="DD11" s="360">
        <f>(DD12*DD15*DD16)+(DD13*DD14*DD17)</f>
        <v>360990</v>
      </c>
      <c r="DE11" s="95" t="s">
        <v>230</v>
      </c>
      <c r="DF11" s="95" t="s">
        <v>99</v>
      </c>
      <c r="DG11" s="95">
        <f>DG19+DG20</f>
        <v>8.9999999999999992E-5</v>
      </c>
      <c r="DO11" s="95" t="s">
        <v>99</v>
      </c>
      <c r="DP11" s="95">
        <f>DP19+DP20</f>
        <v>2.6999999999999999E-5</v>
      </c>
      <c r="DR11" s="95" t="s">
        <v>70</v>
      </c>
      <c r="DS11" s="95">
        <v>350</v>
      </c>
      <c r="DT11" s="95" t="s">
        <v>55</v>
      </c>
      <c r="DX11" s="95" t="s">
        <v>100</v>
      </c>
      <c r="DY11" s="95">
        <v>0.41</v>
      </c>
      <c r="EA11" s="95" t="s">
        <v>100</v>
      </c>
      <c r="EB11" s="95">
        <v>0.41</v>
      </c>
      <c r="ED11" s="95" t="s">
        <v>100</v>
      </c>
      <c r="EE11" s="95">
        <v>0.41</v>
      </c>
      <c r="EG11" s="95" t="s">
        <v>70</v>
      </c>
      <c r="EH11" s="95">
        <v>350</v>
      </c>
      <c r="EI11" s="95" t="s">
        <v>55</v>
      </c>
      <c r="EM11" s="95" t="s">
        <v>101</v>
      </c>
      <c r="EN11" s="95">
        <v>0.39</v>
      </c>
      <c r="EP11" s="95" t="s">
        <v>101</v>
      </c>
      <c r="EQ11" s="95">
        <v>0.39</v>
      </c>
      <c r="ES11" s="95" t="s">
        <v>101</v>
      </c>
      <c r="ET11" s="95">
        <v>0.39</v>
      </c>
      <c r="EV11" s="95" t="s">
        <v>422</v>
      </c>
      <c r="EW11" s="95">
        <v>350</v>
      </c>
      <c r="EX11" s="95" t="s">
        <v>55</v>
      </c>
      <c r="FB11" s="95" t="s">
        <v>317</v>
      </c>
      <c r="FC11" s="95">
        <v>2.1999999999999999E-2</v>
      </c>
      <c r="FE11" s="95" t="s">
        <v>317</v>
      </c>
      <c r="FF11" s="95">
        <v>2.1999999999999999E-2</v>
      </c>
      <c r="FH11" s="95" t="s">
        <v>317</v>
      </c>
      <c r="FI11" s="95">
        <v>2.1999999999999999E-2</v>
      </c>
      <c r="FK11" s="95" t="s">
        <v>422</v>
      </c>
      <c r="FL11" s="95">
        <v>350</v>
      </c>
      <c r="FM11" s="95" t="s">
        <v>55</v>
      </c>
      <c r="FT11" s="95" t="s">
        <v>314</v>
      </c>
      <c r="FU11" s="357">
        <v>1</v>
      </c>
      <c r="FW11" s="95" t="s">
        <v>314</v>
      </c>
      <c r="FX11" s="357">
        <v>1</v>
      </c>
      <c r="FZ11" s="95" t="s">
        <v>422</v>
      </c>
      <c r="GA11" s="95">
        <v>350</v>
      </c>
      <c r="GB11" s="95" t="s">
        <v>55</v>
      </c>
      <c r="GF11" s="95" t="s">
        <v>302</v>
      </c>
      <c r="GG11" s="95">
        <v>2.1999999999999999E-2</v>
      </c>
      <c r="GI11" s="95" t="s">
        <v>302</v>
      </c>
      <c r="GJ11" s="95">
        <v>2.1999999999999999E-2</v>
      </c>
      <c r="GL11" s="95" t="s">
        <v>302</v>
      </c>
      <c r="GM11" s="95">
        <v>2.1999999999999999E-2</v>
      </c>
      <c r="GO11" s="95" t="s">
        <v>422</v>
      </c>
      <c r="GP11" s="95">
        <v>350</v>
      </c>
      <c r="GQ11" s="95" t="s">
        <v>55</v>
      </c>
      <c r="GU11" s="95" t="s">
        <v>307</v>
      </c>
      <c r="GV11" s="95">
        <v>0.37</v>
      </c>
      <c r="GX11" s="95" t="s">
        <v>307</v>
      </c>
      <c r="GY11" s="95">
        <v>0.37</v>
      </c>
      <c r="HA11" s="95" t="s">
        <v>307</v>
      </c>
      <c r="HB11" s="95">
        <v>0.37</v>
      </c>
      <c r="HD11" s="95" t="s">
        <v>92</v>
      </c>
      <c r="HE11" s="95">
        <v>26</v>
      </c>
    </row>
    <row r="12" spans="1:214" s="95" customFormat="1" x14ac:dyDescent="0.2">
      <c r="A12" s="95" t="s">
        <v>474</v>
      </c>
      <c r="B12" s="353">
        <v>1.46E-6</v>
      </c>
      <c r="C12" s="95" t="s">
        <v>163</v>
      </c>
      <c r="D12" s="95" t="s">
        <v>93</v>
      </c>
      <c r="E12" s="95">
        <f>B33</f>
        <v>10</v>
      </c>
      <c r="F12" s="95" t="s">
        <v>83</v>
      </c>
      <c r="G12" s="366" t="s">
        <v>256</v>
      </c>
      <c r="H12" s="354">
        <f>H5/(H8*(1/H45)*H21)</f>
        <v>277051.06342065713</v>
      </c>
      <c r="I12" s="367" t="s">
        <v>22</v>
      </c>
      <c r="J12" s="95" t="s">
        <v>52</v>
      </c>
      <c r="K12" s="354">
        <f>0.693/K13</f>
        <v>2.3099999999999999E-2</v>
      </c>
      <c r="M12" s="95" t="s">
        <v>102</v>
      </c>
      <c r="N12" s="95">
        <v>1</v>
      </c>
      <c r="P12" s="95" t="s">
        <v>102</v>
      </c>
      <c r="Q12" s="95">
        <v>1</v>
      </c>
      <c r="S12" s="95" t="s">
        <v>102</v>
      </c>
      <c r="T12" s="95">
        <v>1</v>
      </c>
      <c r="W12" s="95">
        <v>24</v>
      </c>
      <c r="X12" s="95" t="s">
        <v>85</v>
      </c>
      <c r="Z12" s="95">
        <v>24</v>
      </c>
      <c r="AA12" s="95" t="s">
        <v>85</v>
      </c>
      <c r="AB12" s="95" t="s">
        <v>410</v>
      </c>
      <c r="AF12" s="95">
        <v>5</v>
      </c>
      <c r="AG12" s="95">
        <v>5</v>
      </c>
      <c r="AH12" s="95" t="s">
        <v>210</v>
      </c>
      <c r="AI12" s="95" t="s">
        <v>102</v>
      </c>
      <c r="AJ12" s="95">
        <v>1</v>
      </c>
      <c r="AL12" s="95" t="s">
        <v>102</v>
      </c>
      <c r="AM12" s="95">
        <v>1</v>
      </c>
      <c r="AO12" s="95" t="s">
        <v>102</v>
      </c>
      <c r="AP12" s="95">
        <v>1</v>
      </c>
      <c r="AR12" s="95" t="s">
        <v>102</v>
      </c>
      <c r="AS12" s="95">
        <v>1</v>
      </c>
      <c r="AU12" s="95" t="s">
        <v>102</v>
      </c>
      <c r="AV12" s="95">
        <v>1</v>
      </c>
      <c r="AX12" s="95" t="s">
        <v>102</v>
      </c>
      <c r="AY12" s="95">
        <v>1</v>
      </c>
      <c r="BA12" s="95" t="s">
        <v>102</v>
      </c>
      <c r="BB12" s="95">
        <v>1</v>
      </c>
      <c r="BD12" s="95" t="s">
        <v>102</v>
      </c>
      <c r="BE12" s="95">
        <v>1</v>
      </c>
      <c r="BG12" s="95" t="s">
        <v>102</v>
      </c>
      <c r="BH12" s="95">
        <v>1</v>
      </c>
      <c r="BJ12" s="95" t="s">
        <v>68</v>
      </c>
      <c r="BK12" s="95">
        <v>1</v>
      </c>
      <c r="BL12" s="95" t="s">
        <v>62</v>
      </c>
      <c r="BM12" s="95" t="s">
        <v>68</v>
      </c>
      <c r="BN12" s="95">
        <v>1</v>
      </c>
      <c r="BO12" s="95" t="s">
        <v>62</v>
      </c>
      <c r="BP12" s="95" t="s">
        <v>68</v>
      </c>
      <c r="BQ12" s="95">
        <v>1</v>
      </c>
      <c r="BR12" s="95" t="s">
        <v>62</v>
      </c>
      <c r="BS12" s="95" t="s">
        <v>93</v>
      </c>
      <c r="BT12" s="95">
        <f>B33</f>
        <v>10</v>
      </c>
      <c r="BU12" s="95" t="s">
        <v>83</v>
      </c>
      <c r="BV12" s="95" t="s">
        <v>256</v>
      </c>
      <c r="BW12" s="354">
        <f>BW5/(BW8*(1/BW32)*BW16)</f>
        <v>1445401.4454014453</v>
      </c>
      <c r="BX12" s="95" t="s">
        <v>22</v>
      </c>
      <c r="BY12" s="95" t="s">
        <v>448</v>
      </c>
      <c r="BZ12" s="354">
        <f>B17</f>
        <v>30</v>
      </c>
      <c r="CA12" s="95" t="s">
        <v>129</v>
      </c>
      <c r="CB12" s="95" t="s">
        <v>113</v>
      </c>
      <c r="CC12" s="95">
        <v>0.74199999999999999</v>
      </c>
      <c r="CE12" s="95" t="s">
        <v>113</v>
      </c>
      <c r="CF12" s="95">
        <v>0.65300000000000002</v>
      </c>
      <c r="CH12" s="95" t="s">
        <v>113</v>
      </c>
      <c r="CI12" s="95">
        <v>0.73599999999999999</v>
      </c>
      <c r="CN12" s="95" t="s">
        <v>336</v>
      </c>
      <c r="CO12" s="357">
        <v>1</v>
      </c>
      <c r="CP12" s="95" t="s">
        <v>80</v>
      </c>
      <c r="CT12" s="95" t="s">
        <v>52</v>
      </c>
      <c r="CU12" s="354">
        <f>0.693/CU13</f>
        <v>2.3099999999999999E-2</v>
      </c>
      <c r="CW12" s="95" t="s">
        <v>93</v>
      </c>
      <c r="CX12" s="95">
        <f>B33</f>
        <v>10</v>
      </c>
      <c r="CY12" s="95" t="s">
        <v>83</v>
      </c>
      <c r="CZ12" s="95" t="s">
        <v>448</v>
      </c>
      <c r="DA12" s="354">
        <f>B17</f>
        <v>30</v>
      </c>
      <c r="DB12" s="95" t="s">
        <v>129</v>
      </c>
      <c r="DC12" s="95" t="s">
        <v>147</v>
      </c>
      <c r="DD12" s="354">
        <f>B42</f>
        <v>10.4</v>
      </c>
      <c r="DE12" s="95" t="s">
        <v>413</v>
      </c>
      <c r="DF12" s="95" t="s">
        <v>109</v>
      </c>
      <c r="DG12" s="95">
        <v>10950</v>
      </c>
      <c r="DH12" s="95" t="s">
        <v>110</v>
      </c>
      <c r="DO12" s="95" t="s">
        <v>109</v>
      </c>
      <c r="DP12" s="95">
        <v>10950</v>
      </c>
      <c r="DQ12" s="95" t="s">
        <v>110</v>
      </c>
      <c r="DR12" s="95" t="s">
        <v>78</v>
      </c>
      <c r="DS12" s="95">
        <v>350</v>
      </c>
      <c r="DT12" s="95" t="s">
        <v>55</v>
      </c>
      <c r="DX12" s="95" t="s">
        <v>111</v>
      </c>
      <c r="DY12" s="95">
        <v>1</v>
      </c>
      <c r="EA12" s="95" t="s">
        <v>111</v>
      </c>
      <c r="EB12" s="95">
        <v>1</v>
      </c>
      <c r="ED12" s="95" t="s">
        <v>111</v>
      </c>
      <c r="EE12" s="95">
        <v>1</v>
      </c>
      <c r="EG12" s="95" t="s">
        <v>78</v>
      </c>
      <c r="EH12" s="95">
        <v>350</v>
      </c>
      <c r="EI12" s="95" t="s">
        <v>55</v>
      </c>
      <c r="EM12" s="95" t="s">
        <v>112</v>
      </c>
      <c r="EN12" s="95">
        <v>1</v>
      </c>
      <c r="EP12" s="95" t="s">
        <v>112</v>
      </c>
      <c r="EQ12" s="95">
        <v>1</v>
      </c>
      <c r="ES12" s="95" t="s">
        <v>112</v>
      </c>
      <c r="ET12" s="95">
        <v>1</v>
      </c>
      <c r="EV12" s="95" t="s">
        <v>423</v>
      </c>
      <c r="EW12" s="95">
        <v>350</v>
      </c>
      <c r="EX12" s="95" t="s">
        <v>55</v>
      </c>
      <c r="FB12" s="95" t="s">
        <v>319</v>
      </c>
      <c r="FC12" s="357">
        <v>1</v>
      </c>
      <c r="FE12" s="95" t="s">
        <v>319</v>
      </c>
      <c r="FF12" s="357">
        <v>1</v>
      </c>
      <c r="FH12" s="95" t="s">
        <v>319</v>
      </c>
      <c r="FI12" s="357">
        <v>1</v>
      </c>
      <c r="FK12" s="95" t="s">
        <v>423</v>
      </c>
      <c r="FL12" s="95">
        <v>350</v>
      </c>
      <c r="FM12" s="95" t="s">
        <v>55</v>
      </c>
      <c r="FT12" s="95" t="s">
        <v>313</v>
      </c>
      <c r="FU12" s="357">
        <v>1</v>
      </c>
      <c r="FW12" s="95" t="s">
        <v>313</v>
      </c>
      <c r="FX12" s="357">
        <v>1</v>
      </c>
      <c r="FZ12" s="95" t="s">
        <v>423</v>
      </c>
      <c r="GA12" s="95">
        <v>350</v>
      </c>
      <c r="GB12" s="95" t="s">
        <v>55</v>
      </c>
      <c r="GF12" s="95" t="s">
        <v>303</v>
      </c>
      <c r="GG12" s="95">
        <v>1</v>
      </c>
      <c r="GI12" s="95" t="s">
        <v>303</v>
      </c>
      <c r="GJ12" s="95">
        <v>1</v>
      </c>
      <c r="GL12" s="95" t="s">
        <v>303</v>
      </c>
      <c r="GM12" s="95">
        <v>1</v>
      </c>
      <c r="GO12" s="95" t="s">
        <v>423</v>
      </c>
      <c r="GP12" s="95">
        <v>350</v>
      </c>
      <c r="GQ12" s="95" t="s">
        <v>55</v>
      </c>
      <c r="GU12" s="95" t="s">
        <v>308</v>
      </c>
      <c r="GV12" s="95">
        <v>1</v>
      </c>
      <c r="GX12" s="95" t="s">
        <v>308</v>
      </c>
      <c r="GY12" s="95">
        <v>1</v>
      </c>
      <c r="HA12" s="95" t="s">
        <v>308</v>
      </c>
      <c r="HB12" s="95">
        <v>1</v>
      </c>
      <c r="HE12" s="354"/>
    </row>
    <row r="13" spans="1:214" s="95" customFormat="1" x14ac:dyDescent="0.2">
      <c r="A13" s="95" t="s">
        <v>475</v>
      </c>
      <c r="B13" s="353">
        <v>2.2699999999999999E-6</v>
      </c>
      <c r="C13" s="95" t="s">
        <v>163</v>
      </c>
      <c r="D13" s="95" t="s">
        <v>103</v>
      </c>
      <c r="E13" s="95">
        <f>B34</f>
        <v>20</v>
      </c>
      <c r="F13" s="95" t="s">
        <v>83</v>
      </c>
      <c r="G13" s="368" t="s">
        <v>407</v>
      </c>
      <c r="H13" s="369">
        <f>H14/((1/H42)*(H50+H51+H52))</f>
        <v>14.380042341551711</v>
      </c>
      <c r="I13" s="370" t="s">
        <v>22</v>
      </c>
      <c r="J13" s="95" t="s">
        <v>448</v>
      </c>
      <c r="K13" s="354">
        <f>B17</f>
        <v>30</v>
      </c>
      <c r="L13" s="95" t="s">
        <v>129</v>
      </c>
      <c r="M13" s="95" t="s">
        <v>113</v>
      </c>
      <c r="N13" s="95">
        <v>1</v>
      </c>
      <c r="P13" s="95" t="s">
        <v>113</v>
      </c>
      <c r="Q13" s="95">
        <f>N13</f>
        <v>1</v>
      </c>
      <c r="S13" s="95" t="s">
        <v>113</v>
      </c>
      <c r="T13" s="95">
        <f>N13</f>
        <v>1</v>
      </c>
      <c r="V13" s="95" t="s">
        <v>104</v>
      </c>
      <c r="W13" s="95">
        <f>B35</f>
        <v>60</v>
      </c>
      <c r="X13" s="95" t="s">
        <v>83</v>
      </c>
      <c r="Y13" s="95" t="s">
        <v>104</v>
      </c>
      <c r="Z13" s="95">
        <f>B35</f>
        <v>60</v>
      </c>
      <c r="AA13" s="95" t="s">
        <v>83</v>
      </c>
      <c r="AB13" s="95" t="s">
        <v>411</v>
      </c>
      <c r="AF13" s="95">
        <v>50</v>
      </c>
      <c r="AG13" s="95">
        <v>50</v>
      </c>
      <c r="AH13" s="95" t="s">
        <v>412</v>
      </c>
      <c r="AI13" s="95" t="s">
        <v>113</v>
      </c>
      <c r="AJ13" s="95">
        <f>N13</f>
        <v>1</v>
      </c>
      <c r="AL13" s="95" t="s">
        <v>113</v>
      </c>
      <c r="AM13" s="95">
        <f>Q13</f>
        <v>1</v>
      </c>
      <c r="AO13" s="95" t="s">
        <v>113</v>
      </c>
      <c r="AP13" s="95">
        <f>T13</f>
        <v>1</v>
      </c>
      <c r="AR13" s="95" t="s">
        <v>113</v>
      </c>
      <c r="AS13" s="95">
        <f>AJ13</f>
        <v>1</v>
      </c>
      <c r="AU13" s="95" t="s">
        <v>113</v>
      </c>
      <c r="AV13" s="95">
        <f>AM13</f>
        <v>1</v>
      </c>
      <c r="AX13" s="95" t="s">
        <v>113</v>
      </c>
      <c r="AY13" s="95">
        <f>AP13</f>
        <v>1</v>
      </c>
      <c r="BA13" s="95" t="s">
        <v>113</v>
      </c>
      <c r="BB13" s="95">
        <v>1</v>
      </c>
      <c r="BD13" s="95" t="s">
        <v>113</v>
      </c>
      <c r="BE13" s="95">
        <f>AV13</f>
        <v>1</v>
      </c>
      <c r="BG13" s="95" t="s">
        <v>113</v>
      </c>
      <c r="BH13" s="95">
        <f>AY13</f>
        <v>1</v>
      </c>
      <c r="BJ13" s="95" t="s">
        <v>102</v>
      </c>
      <c r="BK13" s="95">
        <v>2.41E-4</v>
      </c>
      <c r="BM13" s="95" t="s">
        <v>102</v>
      </c>
      <c r="BN13" s="95">
        <v>1.17E-4</v>
      </c>
      <c r="BP13" s="95" t="s">
        <v>102</v>
      </c>
      <c r="BQ13" s="95">
        <v>2.2599999999999999E-4</v>
      </c>
      <c r="BS13" s="95" t="s">
        <v>103</v>
      </c>
      <c r="BT13" s="95">
        <f>B34</f>
        <v>20</v>
      </c>
      <c r="BU13" s="95" t="s">
        <v>83</v>
      </c>
      <c r="BV13" s="95" t="s">
        <v>86</v>
      </c>
      <c r="BW13" s="371">
        <f>((BW18*BW21*BW23*BW26*BW14)+(BW19*BW22*BW24*BW27*BW15))</f>
        <v>58.5</v>
      </c>
      <c r="BX13" s="95" t="s">
        <v>196</v>
      </c>
      <c r="BY13" s="95" t="s">
        <v>142</v>
      </c>
      <c r="BZ13" s="354">
        <f>(BZ5/(BZ6*BZ16*(1/BZ36)))*BZ10</f>
        <v>128.00046643436278</v>
      </c>
      <c r="CA13" s="95" t="s">
        <v>23</v>
      </c>
      <c r="CB13" s="95" t="s">
        <v>182</v>
      </c>
      <c r="CC13" s="95">
        <v>1</v>
      </c>
      <c r="CD13" s="95" t="s">
        <v>127</v>
      </c>
      <c r="CE13" s="95" t="s">
        <v>182</v>
      </c>
      <c r="CF13" s="95">
        <v>1</v>
      </c>
      <c r="CG13" s="95" t="s">
        <v>127</v>
      </c>
      <c r="CH13" s="95" t="s">
        <v>182</v>
      </c>
      <c r="CI13" s="95">
        <v>1</v>
      </c>
      <c r="CJ13" s="95" t="s">
        <v>127</v>
      </c>
      <c r="CN13" s="95" t="s">
        <v>337</v>
      </c>
      <c r="CO13" s="357">
        <v>1</v>
      </c>
      <c r="CP13" s="95" t="s">
        <v>80</v>
      </c>
      <c r="CT13" s="95" t="s">
        <v>448</v>
      </c>
      <c r="CU13" s="354">
        <f>B17</f>
        <v>30</v>
      </c>
      <c r="CV13" s="95" t="s">
        <v>129</v>
      </c>
      <c r="CW13" s="95" t="s">
        <v>103</v>
      </c>
      <c r="CX13" s="95">
        <f>B34</f>
        <v>20</v>
      </c>
      <c r="CY13" s="95" t="s">
        <v>83</v>
      </c>
      <c r="CZ13" s="95" t="s">
        <v>142</v>
      </c>
      <c r="DA13" s="354">
        <f>DA5/(DA6*DA24)</f>
        <v>1.0480035950715325</v>
      </c>
      <c r="DB13" s="95" t="s">
        <v>25</v>
      </c>
      <c r="DC13" s="95" t="s">
        <v>152</v>
      </c>
      <c r="DD13" s="354">
        <f>B43</f>
        <v>28.5</v>
      </c>
      <c r="DE13" s="95" t="s">
        <v>413</v>
      </c>
      <c r="DF13" s="95" t="s">
        <v>120</v>
      </c>
      <c r="DG13" s="95">
        <v>240</v>
      </c>
      <c r="DH13" s="95" t="s">
        <v>121</v>
      </c>
      <c r="DO13" s="95" t="s">
        <v>120</v>
      </c>
      <c r="DP13" s="95">
        <v>240</v>
      </c>
      <c r="DQ13" s="95" t="s">
        <v>121</v>
      </c>
      <c r="DR13" s="95" t="s">
        <v>246</v>
      </c>
      <c r="DS13" s="95">
        <v>6</v>
      </c>
      <c r="DT13" s="95" t="s">
        <v>129</v>
      </c>
      <c r="DX13" s="95" t="s">
        <v>122</v>
      </c>
      <c r="DY13" s="95">
        <v>1</v>
      </c>
      <c r="EA13" s="95" t="s">
        <v>122</v>
      </c>
      <c r="EB13" s="95">
        <v>1</v>
      </c>
      <c r="ED13" s="95" t="s">
        <v>122</v>
      </c>
      <c r="EE13" s="95">
        <v>1</v>
      </c>
      <c r="EG13" s="95" t="s">
        <v>246</v>
      </c>
      <c r="EH13" s="95">
        <v>6</v>
      </c>
      <c r="EI13" s="95" t="s">
        <v>129</v>
      </c>
      <c r="EM13" s="95" t="s">
        <v>123</v>
      </c>
      <c r="EN13" s="95">
        <v>1</v>
      </c>
      <c r="EP13" s="95" t="s">
        <v>123</v>
      </c>
      <c r="EQ13" s="95">
        <v>1</v>
      </c>
      <c r="ES13" s="95" t="s">
        <v>123</v>
      </c>
      <c r="ET13" s="95">
        <v>1</v>
      </c>
      <c r="EV13" s="95" t="s">
        <v>246</v>
      </c>
      <c r="EW13" s="95">
        <v>6</v>
      </c>
      <c r="EX13" s="95" t="s">
        <v>129</v>
      </c>
      <c r="FB13" s="95" t="s">
        <v>320</v>
      </c>
      <c r="FC13" s="357">
        <v>1</v>
      </c>
      <c r="FE13" s="95" t="s">
        <v>320</v>
      </c>
      <c r="FF13" s="357">
        <v>1</v>
      </c>
      <c r="FH13" s="95" t="s">
        <v>320</v>
      </c>
      <c r="FI13" s="357">
        <v>1</v>
      </c>
      <c r="FK13" s="95" t="s">
        <v>246</v>
      </c>
      <c r="FL13" s="95">
        <v>6</v>
      </c>
      <c r="FM13" s="95" t="s">
        <v>129</v>
      </c>
      <c r="FT13" s="95" t="s">
        <v>312</v>
      </c>
      <c r="FU13" s="357">
        <v>1</v>
      </c>
      <c r="FW13" s="95" t="s">
        <v>312</v>
      </c>
      <c r="FX13" s="357">
        <v>1</v>
      </c>
      <c r="FZ13" s="95" t="s">
        <v>246</v>
      </c>
      <c r="GA13" s="95">
        <v>6</v>
      </c>
      <c r="GB13" s="95" t="s">
        <v>129</v>
      </c>
      <c r="GF13" s="95" t="s">
        <v>304</v>
      </c>
      <c r="GG13" s="95">
        <v>1</v>
      </c>
      <c r="GI13" s="95" t="s">
        <v>304</v>
      </c>
      <c r="GJ13" s="95">
        <v>1</v>
      </c>
      <c r="GL13" s="95" t="s">
        <v>304</v>
      </c>
      <c r="GM13" s="95">
        <v>1</v>
      </c>
      <c r="GO13" s="95" t="s">
        <v>246</v>
      </c>
      <c r="GP13" s="95">
        <v>6</v>
      </c>
      <c r="GQ13" s="95" t="s">
        <v>129</v>
      </c>
      <c r="GU13" s="95" t="s">
        <v>309</v>
      </c>
      <c r="GV13" s="95">
        <v>1</v>
      </c>
      <c r="GX13" s="95" t="s">
        <v>309</v>
      </c>
      <c r="GY13" s="95">
        <v>1</v>
      </c>
      <c r="HA13" s="95" t="s">
        <v>309</v>
      </c>
      <c r="HB13" s="95">
        <v>1</v>
      </c>
      <c r="HD13" s="95" t="s">
        <v>428</v>
      </c>
      <c r="HE13" s="354">
        <v>10</v>
      </c>
    </row>
    <row r="14" spans="1:214" s="95" customFormat="1" x14ac:dyDescent="0.2">
      <c r="A14" s="95" t="s">
        <v>115</v>
      </c>
      <c r="B14" s="353">
        <v>2.3899999999999998E-9</v>
      </c>
      <c r="C14" s="95" t="s">
        <v>163</v>
      </c>
      <c r="D14" s="95" t="s">
        <v>114</v>
      </c>
      <c r="E14" s="95">
        <v>24</v>
      </c>
      <c r="F14" s="95" t="s">
        <v>85</v>
      </c>
      <c r="G14" s="95" t="s">
        <v>406</v>
      </c>
      <c r="H14" s="354">
        <f>H5/(H9*(H22+H25)*H43)</f>
        <v>0.16560631701984144</v>
      </c>
      <c r="I14" s="95" t="s">
        <v>23</v>
      </c>
      <c r="J14" s="363" t="s">
        <v>142</v>
      </c>
      <c r="K14" s="364">
        <f>(K5/(K6*K19*(1/K48)))*K11</f>
        <v>27.428671378792018</v>
      </c>
      <c r="L14" s="365" t="s">
        <v>23</v>
      </c>
      <c r="M14" s="95" t="s">
        <v>124</v>
      </c>
      <c r="N14" s="95">
        <v>1.752</v>
      </c>
      <c r="O14" s="95" t="s">
        <v>127</v>
      </c>
      <c r="P14" s="95" t="s">
        <v>124</v>
      </c>
      <c r="Q14" s="95">
        <v>1.752</v>
      </c>
      <c r="R14" s="95" t="s">
        <v>127</v>
      </c>
      <c r="S14" s="95" t="s">
        <v>124</v>
      </c>
      <c r="T14" s="95">
        <v>1.752</v>
      </c>
      <c r="U14" s="95" t="s">
        <v>127</v>
      </c>
      <c r="V14" s="95" t="s">
        <v>115</v>
      </c>
      <c r="W14" s="354">
        <f>B14</f>
        <v>2.3899999999999998E-9</v>
      </c>
      <c r="X14" s="95" t="s">
        <v>116</v>
      </c>
      <c r="Y14" s="95" t="s">
        <v>115</v>
      </c>
      <c r="Z14" s="354">
        <f>B14</f>
        <v>2.3899999999999998E-9</v>
      </c>
      <c r="AA14" s="95" t="s">
        <v>116</v>
      </c>
      <c r="AB14" s="95" t="s">
        <v>126</v>
      </c>
      <c r="AF14" s="95">
        <v>8</v>
      </c>
      <c r="AG14" s="95">
        <v>8</v>
      </c>
      <c r="AH14" s="95" t="s">
        <v>85</v>
      </c>
      <c r="AI14" s="95" t="s">
        <v>124</v>
      </c>
      <c r="AJ14" s="95">
        <v>0</v>
      </c>
      <c r="AK14" s="95" t="s">
        <v>125</v>
      </c>
      <c r="AL14" s="95" t="s">
        <v>124</v>
      </c>
      <c r="AM14" s="95">
        <v>0</v>
      </c>
      <c r="AN14" s="95" t="s">
        <v>125</v>
      </c>
      <c r="AO14" s="95" t="s">
        <v>124</v>
      </c>
      <c r="AP14" s="95">
        <v>0</v>
      </c>
      <c r="AQ14" s="95" t="s">
        <v>125</v>
      </c>
      <c r="AR14" s="95" t="s">
        <v>124</v>
      </c>
      <c r="AS14" s="95">
        <f>8/24</f>
        <v>0.33333333333333331</v>
      </c>
      <c r="AT14" s="95" t="s">
        <v>125</v>
      </c>
      <c r="AU14" s="95" t="s">
        <v>124</v>
      </c>
      <c r="AV14" s="95">
        <f>8/24</f>
        <v>0.33333333333333331</v>
      </c>
      <c r="AW14" s="95" t="s">
        <v>125</v>
      </c>
      <c r="AX14" s="95" t="s">
        <v>126</v>
      </c>
      <c r="AY14" s="95">
        <f>8/24</f>
        <v>0.33333333333333331</v>
      </c>
      <c r="AZ14" s="95" t="s">
        <v>127</v>
      </c>
      <c r="BA14" s="95" t="s">
        <v>124</v>
      </c>
      <c r="BB14" s="95">
        <f>8/24</f>
        <v>0.33333333333333331</v>
      </c>
      <c r="BC14" s="95" t="s">
        <v>125</v>
      </c>
      <c r="BD14" s="95" t="s">
        <v>124</v>
      </c>
      <c r="BE14" s="95">
        <f>8/24</f>
        <v>0.33333333333333331</v>
      </c>
      <c r="BF14" s="95" t="s">
        <v>125</v>
      </c>
      <c r="BG14" s="95" t="s">
        <v>126</v>
      </c>
      <c r="BH14" s="95">
        <f>8/24</f>
        <v>0.33333333333333331</v>
      </c>
      <c r="BI14" s="95" t="s">
        <v>127</v>
      </c>
      <c r="BJ14" s="95" t="s">
        <v>113</v>
      </c>
      <c r="BK14" s="95">
        <v>0.753</v>
      </c>
      <c r="BM14" s="95" t="s">
        <v>113</v>
      </c>
      <c r="BN14" s="95">
        <v>0.74299999999999999</v>
      </c>
      <c r="BP14" s="95" t="s">
        <v>113</v>
      </c>
      <c r="BQ14" s="95">
        <v>0.66200000000000003</v>
      </c>
      <c r="BS14" s="95" t="s">
        <v>436</v>
      </c>
      <c r="BT14" s="95">
        <v>1</v>
      </c>
      <c r="BU14" s="95" t="s">
        <v>85</v>
      </c>
      <c r="BV14" s="95" t="s">
        <v>105</v>
      </c>
      <c r="BW14" s="95">
        <v>0.05</v>
      </c>
      <c r="BX14" s="95" t="s">
        <v>95</v>
      </c>
      <c r="BY14" s="95" t="s">
        <v>134</v>
      </c>
      <c r="BZ14" s="354">
        <f>(BZ5/(BZ7*BZ17*(1/BZ9)*BZ35))*BZ10</f>
        <v>105702534.65756786</v>
      </c>
      <c r="CA14" s="95" t="s">
        <v>23</v>
      </c>
      <c r="CB14" s="95" t="s">
        <v>131</v>
      </c>
      <c r="CC14" s="354">
        <f>B9</f>
        <v>2.5399999999999998E-6</v>
      </c>
      <c r="CD14" s="95" t="s">
        <v>132</v>
      </c>
      <c r="CE14" s="95" t="s">
        <v>131</v>
      </c>
      <c r="CF14" s="354">
        <f>B11</f>
        <v>3.2400000000000002E-10</v>
      </c>
      <c r="CG14" s="95" t="s">
        <v>132</v>
      </c>
      <c r="CH14" s="95" t="s">
        <v>131</v>
      </c>
      <c r="CI14" s="354">
        <f>B13</f>
        <v>2.2699999999999999E-6</v>
      </c>
      <c r="CJ14" s="95" t="s">
        <v>132</v>
      </c>
      <c r="CT14" s="95" t="s">
        <v>142</v>
      </c>
      <c r="CU14" s="354">
        <f>(CU5/(CU6*CU25*(1/CU48)))*CU11</f>
        <v>21.978049182195697</v>
      </c>
      <c r="CV14" s="95" t="s">
        <v>23</v>
      </c>
      <c r="CW14" s="95" t="s">
        <v>181</v>
      </c>
      <c r="CX14" s="95">
        <v>24</v>
      </c>
      <c r="CY14" s="95" t="s">
        <v>85</v>
      </c>
      <c r="CZ14" s="95" t="s">
        <v>134</v>
      </c>
      <c r="DA14" s="354">
        <f>DA5/(DA7*DA25*DA47)</f>
        <v>0.64890821193342196</v>
      </c>
      <c r="DB14" s="95" t="s">
        <v>25</v>
      </c>
      <c r="DC14" s="95" t="s">
        <v>270</v>
      </c>
      <c r="DD14" s="95">
        <v>350</v>
      </c>
      <c r="DE14" s="95" t="s">
        <v>55</v>
      </c>
      <c r="DF14" s="95" t="s">
        <v>130</v>
      </c>
      <c r="DG14" s="95">
        <v>0.26</v>
      </c>
      <c r="DO14" s="95" t="s">
        <v>130</v>
      </c>
      <c r="DP14" s="95">
        <v>0.26</v>
      </c>
      <c r="DR14" s="95" t="s">
        <v>247</v>
      </c>
      <c r="DS14" s="95">
        <v>34</v>
      </c>
      <c r="DT14" s="95" t="s">
        <v>129</v>
      </c>
      <c r="ED14" s="95" t="s">
        <v>130</v>
      </c>
      <c r="EE14" s="95">
        <v>0.25</v>
      </c>
      <c r="EG14" s="95" t="s">
        <v>247</v>
      </c>
      <c r="EH14" s="95">
        <v>34</v>
      </c>
      <c r="EI14" s="95" t="s">
        <v>129</v>
      </c>
      <c r="ES14" s="95" t="s">
        <v>130</v>
      </c>
      <c r="ET14" s="95">
        <v>0.25</v>
      </c>
      <c r="EV14" s="95" t="s">
        <v>247</v>
      </c>
      <c r="EW14" s="95">
        <v>34</v>
      </c>
      <c r="EX14" s="95" t="s">
        <v>129</v>
      </c>
      <c r="FH14" s="95" t="s">
        <v>130</v>
      </c>
      <c r="FI14" s="95">
        <v>0.25</v>
      </c>
      <c r="FK14" s="95" t="s">
        <v>247</v>
      </c>
      <c r="FL14" s="95">
        <v>34</v>
      </c>
      <c r="FM14" s="95" t="s">
        <v>129</v>
      </c>
      <c r="FT14" s="95" t="s">
        <v>203</v>
      </c>
      <c r="FU14" s="354">
        <f>B22</f>
        <v>2000</v>
      </c>
      <c r="FW14" s="95" t="s">
        <v>130</v>
      </c>
      <c r="FX14" s="95">
        <v>0.25</v>
      </c>
      <c r="FZ14" s="95" t="s">
        <v>247</v>
      </c>
      <c r="GA14" s="95">
        <v>34</v>
      </c>
      <c r="GB14" s="95" t="s">
        <v>129</v>
      </c>
      <c r="GL14" s="95" t="s">
        <v>305</v>
      </c>
      <c r="GM14" s="95">
        <v>0.25</v>
      </c>
      <c r="GO14" s="95" t="s">
        <v>247</v>
      </c>
      <c r="GP14" s="95">
        <v>34</v>
      </c>
      <c r="GQ14" s="95" t="s">
        <v>129</v>
      </c>
      <c r="HA14" s="95" t="s">
        <v>130</v>
      </c>
      <c r="HB14" s="95">
        <v>0.25</v>
      </c>
      <c r="HD14" s="95" t="s">
        <v>128</v>
      </c>
      <c r="HE14" s="95">
        <v>8.1999999999999993</v>
      </c>
    </row>
    <row r="15" spans="1:214" s="95" customFormat="1" ht="13.5" thickBot="1" x14ac:dyDescent="0.25">
      <c r="A15" s="95" t="s">
        <v>409</v>
      </c>
      <c r="B15" s="353">
        <v>5.1800000000000001E-12</v>
      </c>
      <c r="C15" s="95" t="s">
        <v>64</v>
      </c>
      <c r="E15" s="95">
        <v>24</v>
      </c>
      <c r="F15" s="95" t="s">
        <v>85</v>
      </c>
      <c r="G15" s="95" t="s">
        <v>86</v>
      </c>
      <c r="H15" s="372">
        <f>H32*H29*H17+H33*H30*H18</f>
        <v>19138</v>
      </c>
      <c r="I15" s="95" t="s">
        <v>196</v>
      </c>
      <c r="J15" s="366" t="s">
        <v>134</v>
      </c>
      <c r="K15" s="354">
        <f>(K5/(K7*K20*(1/K10)*K47))*K11</f>
        <v>943772.63087114145</v>
      </c>
      <c r="L15" s="367" t="s">
        <v>23</v>
      </c>
      <c r="M15" s="95" t="s">
        <v>131</v>
      </c>
      <c r="N15" s="354">
        <f>B9</f>
        <v>2.5399999999999998E-6</v>
      </c>
      <c r="O15" s="95" t="s">
        <v>132</v>
      </c>
      <c r="P15" s="95" t="s">
        <v>131</v>
      </c>
      <c r="Q15" s="354">
        <f>B11</f>
        <v>3.2400000000000002E-10</v>
      </c>
      <c r="R15" s="95" t="s">
        <v>132</v>
      </c>
      <c r="S15" s="95" t="s">
        <v>131</v>
      </c>
      <c r="T15" s="354">
        <f>B13</f>
        <v>2.2699999999999999E-6</v>
      </c>
      <c r="U15" s="95" t="s">
        <v>132</v>
      </c>
      <c r="V15" s="95" t="s">
        <v>414</v>
      </c>
      <c r="W15" s="95">
        <v>1</v>
      </c>
      <c r="Y15" s="95" t="s">
        <v>414</v>
      </c>
      <c r="Z15" s="95">
        <v>1</v>
      </c>
      <c r="AB15" s="95" t="s">
        <v>136</v>
      </c>
      <c r="AC15" s="95">
        <v>25</v>
      </c>
      <c r="AD15" s="95">
        <v>25</v>
      </c>
      <c r="AE15" s="95">
        <v>25</v>
      </c>
      <c r="AF15" s="95">
        <v>1</v>
      </c>
      <c r="AG15" s="95">
        <v>1</v>
      </c>
      <c r="AI15" s="95" t="s">
        <v>131</v>
      </c>
      <c r="AJ15" s="354">
        <f>B9</f>
        <v>2.5399999999999998E-6</v>
      </c>
      <c r="AK15" s="95" t="s">
        <v>132</v>
      </c>
      <c r="AL15" s="95" t="s">
        <v>131</v>
      </c>
      <c r="AM15" s="354">
        <f>B11</f>
        <v>3.2400000000000002E-10</v>
      </c>
      <c r="AN15" s="95" t="s">
        <v>132</v>
      </c>
      <c r="AO15" s="95" t="s">
        <v>131</v>
      </c>
      <c r="AP15" s="354">
        <f>B13</f>
        <v>2.2699999999999999E-6</v>
      </c>
      <c r="AQ15" s="95" t="s">
        <v>132</v>
      </c>
      <c r="AR15" s="95" t="s">
        <v>131</v>
      </c>
      <c r="AS15" s="354">
        <f>B9</f>
        <v>2.5399999999999998E-6</v>
      </c>
      <c r="AT15" s="95" t="s">
        <v>132</v>
      </c>
      <c r="AU15" s="95" t="s">
        <v>131</v>
      </c>
      <c r="AV15" s="354">
        <f>B11</f>
        <v>3.2400000000000002E-10</v>
      </c>
      <c r="AW15" s="95" t="s">
        <v>132</v>
      </c>
      <c r="AX15" s="95" t="s">
        <v>131</v>
      </c>
      <c r="AY15" s="354">
        <f>B13</f>
        <v>2.2699999999999999E-6</v>
      </c>
      <c r="AZ15" s="95" t="s">
        <v>132</v>
      </c>
      <c r="BA15" s="95" t="s">
        <v>131</v>
      </c>
      <c r="BB15" s="354">
        <f>B9</f>
        <v>2.5399999999999998E-6</v>
      </c>
      <c r="BC15" s="95" t="s">
        <v>132</v>
      </c>
      <c r="BD15" s="95" t="s">
        <v>131</v>
      </c>
      <c r="BE15" s="354">
        <f>B11</f>
        <v>3.2400000000000002E-10</v>
      </c>
      <c r="BF15" s="95" t="s">
        <v>132</v>
      </c>
      <c r="BG15" s="95" t="s">
        <v>131</v>
      </c>
      <c r="BH15" s="354">
        <f>B13</f>
        <v>2.2699999999999999E-6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37.257439346201224</v>
      </c>
      <c r="CA15" s="95" t="s">
        <v>23</v>
      </c>
      <c r="CT15" s="95" t="s">
        <v>134</v>
      </c>
      <c r="CU15" s="354">
        <f>(CU5/(CU7*CU26*(1/CU10)*CU47))*CU11</f>
        <v>675749.46997877362</v>
      </c>
      <c r="CV15" s="95" t="s">
        <v>23</v>
      </c>
      <c r="CW15" s="95" t="s">
        <v>179</v>
      </c>
      <c r="CX15" s="95">
        <v>24</v>
      </c>
      <c r="CY15" s="95" t="s">
        <v>85</v>
      </c>
      <c r="CZ15" s="95" t="s">
        <v>256</v>
      </c>
      <c r="DA15" s="354">
        <f>DA5/(DA8*DA26*(DA48/DA49))</f>
        <v>176470.8015360212</v>
      </c>
      <c r="DB15" s="95" t="s">
        <v>25</v>
      </c>
      <c r="DC15" s="95" t="s">
        <v>269</v>
      </c>
      <c r="DD15" s="95">
        <v>350</v>
      </c>
      <c r="DE15" s="95" t="s">
        <v>55</v>
      </c>
      <c r="DF15" s="95" t="s">
        <v>137</v>
      </c>
      <c r="DG15" s="95">
        <v>0.42</v>
      </c>
      <c r="DH15" s="95" t="s">
        <v>80</v>
      </c>
      <c r="DO15" s="95" t="s">
        <v>137</v>
      </c>
      <c r="DP15" s="95">
        <v>0.42</v>
      </c>
      <c r="DQ15" s="95" t="s">
        <v>80</v>
      </c>
      <c r="DR15" s="95" t="s">
        <v>248</v>
      </c>
      <c r="DS15" s="95">
        <v>40</v>
      </c>
      <c r="DT15" s="95" t="s">
        <v>129</v>
      </c>
      <c r="ED15" s="95" t="s">
        <v>58</v>
      </c>
      <c r="EE15" s="95">
        <v>92</v>
      </c>
      <c r="EF15" s="95" t="s">
        <v>59</v>
      </c>
      <c r="EG15" s="95" t="s">
        <v>248</v>
      </c>
      <c r="EH15" s="95">
        <v>40</v>
      </c>
      <c r="EI15" s="95" t="s">
        <v>129</v>
      </c>
      <c r="ES15" s="95" t="s">
        <v>60</v>
      </c>
      <c r="ET15" s="95">
        <v>53</v>
      </c>
      <c r="EU15" s="95" t="s">
        <v>59</v>
      </c>
      <c r="EV15" s="95" t="s">
        <v>248</v>
      </c>
      <c r="EW15" s="95">
        <v>40</v>
      </c>
      <c r="EX15" s="95" t="s">
        <v>129</v>
      </c>
      <c r="FH15" s="95" t="s">
        <v>297</v>
      </c>
      <c r="FI15" s="95">
        <v>0.4</v>
      </c>
      <c r="FJ15" s="95" t="s">
        <v>59</v>
      </c>
      <c r="FK15" s="95" t="s">
        <v>248</v>
      </c>
      <c r="FL15" s="95">
        <v>40</v>
      </c>
      <c r="FM15" s="95" t="s">
        <v>129</v>
      </c>
      <c r="FT15" s="95" t="s">
        <v>322</v>
      </c>
      <c r="FU15" s="354">
        <v>8.1999999999999993</v>
      </c>
      <c r="FW15" s="95" t="s">
        <v>300</v>
      </c>
      <c r="FX15" s="357">
        <v>1</v>
      </c>
      <c r="FY15" s="95" t="s">
        <v>59</v>
      </c>
      <c r="FZ15" s="95" t="s">
        <v>248</v>
      </c>
      <c r="GA15" s="95">
        <v>40</v>
      </c>
      <c r="GB15" s="95" t="s">
        <v>129</v>
      </c>
      <c r="GL15" s="95" t="s">
        <v>298</v>
      </c>
      <c r="GM15" s="95">
        <v>0.4</v>
      </c>
      <c r="GN15" s="95" t="s">
        <v>59</v>
      </c>
      <c r="GO15" s="95" t="s">
        <v>248</v>
      </c>
      <c r="GP15" s="95">
        <v>40</v>
      </c>
      <c r="GQ15" s="95" t="s">
        <v>129</v>
      </c>
      <c r="HA15" s="95" t="s">
        <v>299</v>
      </c>
      <c r="HB15" s="95">
        <v>11.4</v>
      </c>
      <c r="HC15" s="95" t="s">
        <v>59</v>
      </c>
    </row>
    <row r="16" spans="1:214" s="95" customFormat="1" ht="13.5" thickTop="1" x14ac:dyDescent="0.2">
      <c r="A16" s="95" t="s">
        <v>415</v>
      </c>
      <c r="B16" s="353">
        <v>3.7400000000000001E-11</v>
      </c>
      <c r="C16" s="95" t="s">
        <v>64</v>
      </c>
      <c r="D16" s="95" t="s">
        <v>133</v>
      </c>
      <c r="E16" s="95">
        <v>6</v>
      </c>
      <c r="F16" s="95" t="s">
        <v>62</v>
      </c>
      <c r="G16" s="95" t="s">
        <v>82</v>
      </c>
      <c r="H16" s="373">
        <f>H29*H19*H32+H30*H20*H33</f>
        <v>161000</v>
      </c>
      <c r="I16" s="95" t="s">
        <v>444</v>
      </c>
      <c r="J16" s="366" t="s">
        <v>197</v>
      </c>
      <c r="K16" s="354">
        <f>(K5/(K8*K44*((K39*K43*(1/K37))+(K40*K42*(1/K37)))*K32*(1/K46)*K33))*K11</f>
        <v>6.0603804343324914E-2</v>
      </c>
      <c r="L16" s="367" t="s">
        <v>23</v>
      </c>
      <c r="M16" s="95" t="s">
        <v>151</v>
      </c>
      <c r="N16" s="95">
        <v>16.416</v>
      </c>
      <c r="O16" s="95" t="s">
        <v>127</v>
      </c>
      <c r="P16" s="95" t="s">
        <v>151</v>
      </c>
      <c r="Q16" s="95">
        <v>16.416</v>
      </c>
      <c r="R16" s="95" t="s">
        <v>127</v>
      </c>
      <c r="S16" s="95" t="s">
        <v>151</v>
      </c>
      <c r="T16" s="95">
        <v>16.416</v>
      </c>
      <c r="U16" s="95" t="s">
        <v>127</v>
      </c>
      <c r="V16" s="374" t="s">
        <v>134</v>
      </c>
      <c r="W16" s="375">
        <f>(W5)/((W11/W12)*W8*W9*W10*W13)</f>
        <v>0.74696545284780569</v>
      </c>
      <c r="X16" s="376" t="s">
        <v>37</v>
      </c>
      <c r="Y16" s="376" t="s">
        <v>134</v>
      </c>
      <c r="Z16" s="375">
        <f>(Z5)/((Z11/Z12)*Z8*Z9*Z10*Z13)</f>
        <v>0.67226890756302515</v>
      </c>
      <c r="AA16" s="377" t="s">
        <v>37</v>
      </c>
      <c r="AB16" s="95" t="s">
        <v>141</v>
      </c>
      <c r="AC16" s="95">
        <v>100</v>
      </c>
      <c r="AD16" s="95">
        <v>50</v>
      </c>
      <c r="AE16" s="95">
        <v>100</v>
      </c>
      <c r="AF16" s="95">
        <v>330</v>
      </c>
      <c r="AG16" s="95">
        <v>330</v>
      </c>
      <c r="AI16" s="95" t="s">
        <v>151</v>
      </c>
      <c r="AJ16" s="95">
        <f>8/24</f>
        <v>0.33333333333333331</v>
      </c>
      <c r="AK16" s="95" t="s">
        <v>125</v>
      </c>
      <c r="AL16" s="95" t="s">
        <v>151</v>
      </c>
      <c r="AM16" s="95">
        <f>8/24</f>
        <v>0.33333333333333331</v>
      </c>
      <c r="AN16" s="95" t="s">
        <v>125</v>
      </c>
      <c r="AO16" s="95" t="s">
        <v>151</v>
      </c>
      <c r="AP16" s="95">
        <f>8/24</f>
        <v>0.33333333333333331</v>
      </c>
      <c r="AQ16" s="95" t="s">
        <v>125</v>
      </c>
      <c r="AR16" s="95" t="s">
        <v>151</v>
      </c>
      <c r="AS16" s="95">
        <v>0</v>
      </c>
      <c r="AT16" s="95" t="s">
        <v>125</v>
      </c>
      <c r="AU16" s="95" t="s">
        <v>151</v>
      </c>
      <c r="AV16" s="95">
        <v>0</v>
      </c>
      <c r="AW16" s="95" t="s">
        <v>125</v>
      </c>
      <c r="AX16" s="95" t="s">
        <v>151</v>
      </c>
      <c r="AY16" s="95">
        <v>0</v>
      </c>
      <c r="AZ16" s="95" t="s">
        <v>125</v>
      </c>
      <c r="BA16" s="95" t="s">
        <v>151</v>
      </c>
      <c r="BB16" s="95">
        <v>0</v>
      </c>
      <c r="BC16" s="95" t="s">
        <v>125</v>
      </c>
      <c r="BD16" s="95" t="s">
        <v>151</v>
      </c>
      <c r="BE16" s="95">
        <v>0</v>
      </c>
      <c r="BF16" s="95" t="s">
        <v>125</v>
      </c>
      <c r="BG16" s="95" t="s">
        <v>151</v>
      </c>
      <c r="BH16" s="95">
        <v>0</v>
      </c>
      <c r="BI16" s="95" t="s">
        <v>125</v>
      </c>
      <c r="BJ16" s="95" t="s">
        <v>131</v>
      </c>
      <c r="BK16" s="354">
        <f>B9</f>
        <v>2.5399999999999998E-6</v>
      </c>
      <c r="BL16" s="95" t="s">
        <v>132</v>
      </c>
      <c r="BM16" s="95" t="s">
        <v>131</v>
      </c>
      <c r="BN16" s="354">
        <f>B9</f>
        <v>2.5399999999999998E-6</v>
      </c>
      <c r="BO16" s="95" t="s">
        <v>132</v>
      </c>
      <c r="BP16" s="95" t="s">
        <v>131</v>
      </c>
      <c r="BQ16" s="354">
        <f>B9</f>
        <v>2.5399999999999998E-6</v>
      </c>
      <c r="BR16" s="95" t="s">
        <v>132</v>
      </c>
      <c r="BS16" s="95" t="s">
        <v>182</v>
      </c>
      <c r="BT16" s="95">
        <v>1</v>
      </c>
      <c r="BU16" s="95" t="s">
        <v>85</v>
      </c>
      <c r="BV16" s="95" t="s">
        <v>263</v>
      </c>
      <c r="BW16" s="360">
        <f>((BW18*BW21*BW23*BW26)+(BW19*BW22*BW24*BW27))</f>
        <v>1170</v>
      </c>
      <c r="BX16" s="95" t="s">
        <v>445</v>
      </c>
      <c r="BY16" s="95" t="s">
        <v>87</v>
      </c>
      <c r="BZ16" s="360">
        <f>(BZ18*BZ22*BZ27+BZ19*BZ23*BZ26)</f>
        <v>240000</v>
      </c>
      <c r="CA16" s="95" t="s">
        <v>443</v>
      </c>
      <c r="CB16" s="378" t="s">
        <v>8</v>
      </c>
      <c r="CC16" s="42" t="s">
        <v>431</v>
      </c>
      <c r="CD16" s="43" t="s">
        <v>15</v>
      </c>
      <c r="CE16" s="41" t="s">
        <v>8</v>
      </c>
      <c r="CF16" s="42" t="s">
        <v>200</v>
      </c>
      <c r="CG16" s="43" t="s">
        <v>15</v>
      </c>
      <c r="CK16" s="379" t="s">
        <v>8</v>
      </c>
      <c r="CL16" s="380" t="s">
        <v>332</v>
      </c>
      <c r="CM16" s="381" t="s">
        <v>15</v>
      </c>
      <c r="CN16" s="42" t="s">
        <v>8</v>
      </c>
      <c r="CO16" s="42" t="s">
        <v>332</v>
      </c>
      <c r="CP16" s="43" t="s">
        <v>15</v>
      </c>
      <c r="CQ16" s="41" t="s">
        <v>8</v>
      </c>
      <c r="CR16" s="42" t="s">
        <v>332</v>
      </c>
      <c r="CS16" s="43" t="s">
        <v>15</v>
      </c>
      <c r="CT16" s="95" t="s">
        <v>197</v>
      </c>
      <c r="CU16" s="354">
        <f>(CU5/(CU8*CU44*((CU39*CU43*(1/CU37))+(CU40*CU42*(1/CU37)))*CU32*(1/CU46)*CU33))*CU11</f>
        <v>2.3340116465142682E-2</v>
      </c>
      <c r="CV16" s="95" t="s">
        <v>23</v>
      </c>
      <c r="CW16" s="95" t="s">
        <v>133</v>
      </c>
      <c r="CX16" s="95">
        <v>6</v>
      </c>
      <c r="CY16" s="95" t="s">
        <v>62</v>
      </c>
      <c r="CZ16" s="95" t="s">
        <v>277</v>
      </c>
      <c r="DA16" s="354">
        <f>DG3</f>
        <v>2.1885560977096019</v>
      </c>
      <c r="DB16" s="95" t="s">
        <v>25</v>
      </c>
      <c r="DC16" s="95" t="s">
        <v>246</v>
      </c>
      <c r="DD16" s="95">
        <v>6</v>
      </c>
      <c r="DE16" s="95" t="s">
        <v>129</v>
      </c>
      <c r="DF16" s="95" t="s">
        <v>143</v>
      </c>
      <c r="DG16" s="95">
        <f>DG20+(0.693/DG22)</f>
        <v>4.9562999999999996E-2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3.5" thickBot="1" x14ac:dyDescent="0.25">
      <c r="A17" s="95" t="s">
        <v>448</v>
      </c>
      <c r="B17" s="353">
        <v>30</v>
      </c>
      <c r="C17" s="95" t="s">
        <v>454</v>
      </c>
      <c r="D17" s="95" t="s">
        <v>138</v>
      </c>
      <c r="E17" s="95">
        <v>20</v>
      </c>
      <c r="F17" s="95" t="s">
        <v>62</v>
      </c>
      <c r="G17" s="95" t="s">
        <v>105</v>
      </c>
      <c r="H17" s="95">
        <f>B38</f>
        <v>0.78</v>
      </c>
      <c r="J17" s="368" t="s">
        <v>407</v>
      </c>
      <c r="K17" s="369">
        <f>K18/(K49+K50)</f>
        <v>0.55202105673280477</v>
      </c>
      <c r="L17" s="370" t="s">
        <v>23</v>
      </c>
      <c r="V17" s="383" t="s">
        <v>139</v>
      </c>
      <c r="W17" s="384">
        <f>(W5)/((W11/W12)*W8*W9*W14*(1/365))</f>
        <v>81.450488145048823</v>
      </c>
      <c r="X17" s="385" t="s">
        <v>37</v>
      </c>
      <c r="Y17" s="385" t="s">
        <v>139</v>
      </c>
      <c r="Z17" s="384">
        <f>(Z5)/((Z11/Z12)*Z8*Z9*Z14*(1/365))</f>
        <v>73.305439330543948</v>
      </c>
      <c r="AA17" s="386" t="s">
        <v>37</v>
      </c>
      <c r="BS17" s="95" t="s">
        <v>133</v>
      </c>
      <c r="BT17" s="95">
        <v>6</v>
      </c>
      <c r="BU17" s="95" t="s">
        <v>62</v>
      </c>
      <c r="BV17" s="95" t="s">
        <v>145</v>
      </c>
      <c r="BW17" s="95">
        <v>0.5</v>
      </c>
      <c r="BX17" s="95" t="s">
        <v>146</v>
      </c>
      <c r="BY17" s="95" t="s">
        <v>82</v>
      </c>
      <c r="BZ17" s="360">
        <f>(BZ27*BZ24*BZ20*(BZ29/24))+(BZ26*BZ23*BZ21*(BZ30/24))</f>
        <v>1437.5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f>DJ3</f>
        <v>8.4014290158641647E-2</v>
      </c>
      <c r="CV17" s="95" t="s">
        <v>23</v>
      </c>
      <c r="CW17" s="95" t="s">
        <v>138</v>
      </c>
      <c r="CX17" s="95">
        <v>34</v>
      </c>
      <c r="CY17" s="95" t="s">
        <v>62</v>
      </c>
      <c r="CZ17" s="95" t="s">
        <v>262</v>
      </c>
      <c r="DA17" s="354">
        <f>DD3</f>
        <v>2.5204287047592495E-2</v>
      </c>
      <c r="DB17" s="95" t="s">
        <v>23</v>
      </c>
      <c r="DC17" s="95" t="s">
        <v>247</v>
      </c>
      <c r="DD17" s="95">
        <v>34</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164</v>
      </c>
      <c r="B18" s="353">
        <f>PEF!D3</f>
        <v>1359344473.5814338</v>
      </c>
      <c r="D18" s="95" t="s">
        <v>115</v>
      </c>
      <c r="E18" s="354">
        <f>B14</f>
        <v>2.3899999999999998E-9</v>
      </c>
      <c r="F18" s="95" t="s">
        <v>116</v>
      </c>
      <c r="G18" s="95" t="s">
        <v>135</v>
      </c>
      <c r="H18" s="95">
        <f>B39</f>
        <v>2.5</v>
      </c>
      <c r="J18" s="95" t="s">
        <v>406</v>
      </c>
      <c r="K18" s="354">
        <f>K5/(K9*(K25+K28)*K38)</f>
        <v>0.16560631701984144</v>
      </c>
      <c r="L18" s="95" t="s">
        <v>23</v>
      </c>
      <c r="M18" s="21" t="s">
        <v>13</v>
      </c>
      <c r="N18" s="22" t="s">
        <v>158</v>
      </c>
      <c r="O18" s="22" t="s">
        <v>15</v>
      </c>
      <c r="P18" s="23" t="s">
        <v>13</v>
      </c>
      <c r="Q18" s="22" t="s">
        <v>200</v>
      </c>
      <c r="R18" s="24" t="s">
        <v>15</v>
      </c>
      <c r="V18" s="374" t="s">
        <v>134</v>
      </c>
      <c r="W18" s="375">
        <f>(W5*W6*W9)/((W11/W12)*(1-EXP(-W6*W9))*W10*W13*W8*W9)</f>
        <v>0.98329704791587558</v>
      </c>
      <c r="X18" s="376" t="s">
        <v>38</v>
      </c>
      <c r="Y18" s="376" t="s">
        <v>134</v>
      </c>
      <c r="Z18" s="375">
        <f>(Z5*Z6*Z9)/((Z11/Z12)*(1-EXP(-Z6*Z9))*Z10*Z13*Z8*Z9)</f>
        <v>0.88496734312428804</v>
      </c>
      <c r="AA18" s="377" t="s">
        <v>38</v>
      </c>
      <c r="AI18" s="33" t="s">
        <v>13</v>
      </c>
      <c r="AJ18" s="34" t="s">
        <v>158</v>
      </c>
      <c r="AK18" s="34" t="s">
        <v>15</v>
      </c>
      <c r="AL18" s="35" t="s">
        <v>13</v>
      </c>
      <c r="AM18" s="34" t="s">
        <v>200</v>
      </c>
      <c r="AN18" s="36" t="s">
        <v>15</v>
      </c>
      <c r="AR18" s="37" t="s">
        <v>13</v>
      </c>
      <c r="AS18" s="38" t="s">
        <v>158</v>
      </c>
      <c r="AT18" s="38" t="s">
        <v>15</v>
      </c>
      <c r="AU18" s="39" t="s">
        <v>13</v>
      </c>
      <c r="AV18" s="38" t="s">
        <v>200</v>
      </c>
      <c r="AW18" s="40" t="s">
        <v>15</v>
      </c>
      <c r="BA18" s="37" t="s">
        <v>13</v>
      </c>
      <c r="BB18" s="38" t="s">
        <v>158</v>
      </c>
      <c r="BC18" s="38" t="s">
        <v>15</v>
      </c>
      <c r="BD18" s="39" t="s">
        <v>13</v>
      </c>
      <c r="BE18" s="38" t="s">
        <v>200</v>
      </c>
      <c r="BF18" s="40" t="s">
        <v>15</v>
      </c>
      <c r="BJ18" s="37" t="s">
        <v>13</v>
      </c>
      <c r="BK18" s="38" t="s">
        <v>158</v>
      </c>
      <c r="BL18" s="38" t="s">
        <v>15</v>
      </c>
      <c r="BM18" s="39" t="s">
        <v>13</v>
      </c>
      <c r="BN18" s="38" t="s">
        <v>200</v>
      </c>
      <c r="BO18" s="40" t="s">
        <v>15</v>
      </c>
      <c r="BS18" s="95" t="s">
        <v>138</v>
      </c>
      <c r="BT18" s="95">
        <v>20</v>
      </c>
      <c r="BU18" s="95" t="s">
        <v>62</v>
      </c>
      <c r="BV18" s="95" t="s">
        <v>440</v>
      </c>
      <c r="BW18" s="95">
        <v>45</v>
      </c>
      <c r="BX18" s="95" t="s">
        <v>55</v>
      </c>
      <c r="BY18" s="95" t="s">
        <v>117</v>
      </c>
      <c r="BZ18" s="95">
        <f>B36</f>
        <v>200</v>
      </c>
      <c r="CA18" s="95" t="s">
        <v>96</v>
      </c>
      <c r="CB18" s="387" t="s">
        <v>39</v>
      </c>
      <c r="CC18" s="195">
        <f>(CC20*CC21*CC22)/((1-EXP(-CC22*CC21))*CC25*CC29*(CC24/365)*CC27*(CC28/24)*CC26)</f>
        <v>949.13461675190092</v>
      </c>
      <c r="CD18" s="129"/>
      <c r="CE18" s="126" t="s">
        <v>39</v>
      </c>
      <c r="CF18" s="195">
        <f>(CF20*CF21*CF22)/((1-EXP(-CF22*CF21))*CF25*CF29*(CF24/365)*CF27*(CF28/24)*CF26)</f>
        <v>112.52602632716327</v>
      </c>
      <c r="CG18" s="129"/>
      <c r="CK18" s="388" t="s">
        <v>17</v>
      </c>
      <c r="CL18" s="195">
        <f>CL20/(CL21*CL22*CL23*CL24)</f>
        <v>13.711778417660769</v>
      </c>
      <c r="CM18" s="389"/>
      <c r="CN18" s="127" t="s">
        <v>17</v>
      </c>
      <c r="CO18" s="195">
        <f>CL18/(CO20*((CO25*CO27*CO28*(CO21+CO22))+(CO26*CO27)))</f>
        <v>315.21329695771885</v>
      </c>
      <c r="CP18" s="129"/>
      <c r="CQ18" s="126" t="s">
        <v>17</v>
      </c>
      <c r="CR18" s="195">
        <f>CL18/(CR20*CR21*(1/CR22))</f>
        <v>457059.28058869229</v>
      </c>
      <c r="CS18" s="129"/>
      <c r="CT18" s="95" t="s">
        <v>406</v>
      </c>
      <c r="CU18" s="354">
        <f>DD3</f>
        <v>2.5204287047592495E-2</v>
      </c>
      <c r="CV18" s="95" t="s">
        <v>23</v>
      </c>
      <c r="CW18" s="95" t="s">
        <v>115</v>
      </c>
      <c r="CX18" s="354">
        <f>B14</f>
        <v>2.3899999999999998E-9</v>
      </c>
      <c r="CY18" s="95" t="s">
        <v>116</v>
      </c>
      <c r="CZ18" s="95" t="s">
        <v>323</v>
      </c>
      <c r="DA18" s="354">
        <f>EZ3</f>
        <v>8.3721298595603403E-3</v>
      </c>
      <c r="DC18" s="95" t="s">
        <v>248</v>
      </c>
      <c r="DD18" s="95">
        <v>40</v>
      </c>
      <c r="DE18" s="95" t="s">
        <v>129</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201</v>
      </c>
      <c r="B19" s="353">
        <f>PEF!G3</f>
        <v>773681.6396651821</v>
      </c>
      <c r="D19" s="95" t="s">
        <v>414</v>
      </c>
      <c r="E19" s="95">
        <v>1</v>
      </c>
      <c r="G19" s="95" t="s">
        <v>240</v>
      </c>
      <c r="H19" s="95">
        <f>B33</f>
        <v>10</v>
      </c>
      <c r="J19" s="95" t="s">
        <v>87</v>
      </c>
      <c r="K19" s="390">
        <f>K21*K31*K35+K22*K32*K34</f>
        <v>1120000</v>
      </c>
      <c r="L19" s="95" t="s">
        <v>443</v>
      </c>
      <c r="M19" s="103" t="s">
        <v>33</v>
      </c>
      <c r="N19" s="104" t="s">
        <v>34</v>
      </c>
      <c r="O19" s="105" t="s">
        <v>162</v>
      </c>
      <c r="P19" s="106" t="s">
        <v>33</v>
      </c>
      <c r="Q19" s="104" t="s">
        <v>34</v>
      </c>
      <c r="R19" s="107" t="s">
        <v>23</v>
      </c>
      <c r="V19" s="383" t="s">
        <v>139</v>
      </c>
      <c r="W19" s="384">
        <f>(W5*W6*W9)/((W11/W12)*(1-EXP(-W6*W9))*W14*W8*W9*(1/365))</f>
        <v>107.22052035872653</v>
      </c>
      <c r="X19" s="385" t="s">
        <v>38</v>
      </c>
      <c r="Y19" s="385" t="s">
        <v>139</v>
      </c>
      <c r="Z19" s="384">
        <f>(Z5*Z6*Z9)/((Z11/Z12)*(1-EXP(-Z6*Z9))*Z14*Z8*Z9*(1/365))</f>
        <v>96.498468322853867</v>
      </c>
      <c r="AA19" s="386" t="s">
        <v>38</v>
      </c>
      <c r="AB19" s="95" t="s">
        <v>102</v>
      </c>
      <c r="AC19" s="95">
        <v>1</v>
      </c>
      <c r="AD19" s="95">
        <v>1</v>
      </c>
      <c r="AE19" s="95">
        <v>1</v>
      </c>
      <c r="AF19" s="95">
        <v>1</v>
      </c>
      <c r="AG19" s="95">
        <v>1</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2.3899999999999998E-9</v>
      </c>
      <c r="BU19" s="95" t="s">
        <v>116</v>
      </c>
      <c r="BV19" s="95" t="s">
        <v>441</v>
      </c>
      <c r="BW19" s="95">
        <v>45</v>
      </c>
      <c r="BX19" s="95" t="s">
        <v>55</v>
      </c>
      <c r="BY19" s="95" t="s">
        <v>140</v>
      </c>
      <c r="BZ19" s="95">
        <f>B37</f>
        <v>100</v>
      </c>
      <c r="CA19" s="95" t="s">
        <v>96</v>
      </c>
      <c r="CB19" s="391"/>
      <c r="CC19" s="285"/>
      <c r="CD19" s="287"/>
      <c r="CE19" s="284"/>
      <c r="CF19" s="285"/>
      <c r="CG19" s="287"/>
      <c r="CK19" s="392"/>
      <c r="CL19" s="393"/>
      <c r="CM19" s="394"/>
      <c r="CN19" s="395"/>
      <c r="CO19" s="285"/>
      <c r="CP19" s="287"/>
      <c r="CQ19" s="284"/>
      <c r="CR19" s="285"/>
      <c r="CS19" s="287"/>
      <c r="CT19" s="95" t="s">
        <v>323</v>
      </c>
      <c r="CU19" s="354">
        <f>FC3</f>
        <v>2.9900463784144076E-5</v>
      </c>
      <c r="CV19" s="95" t="s">
        <v>23</v>
      </c>
      <c r="CW19" s="95" t="s">
        <v>414</v>
      </c>
      <c r="CX19" s="95">
        <v>1</v>
      </c>
      <c r="CZ19" s="95" t="s">
        <v>417</v>
      </c>
      <c r="DA19" s="354">
        <f>GS3</f>
        <v>0.26299228194011059</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202</v>
      </c>
      <c r="B20" s="353">
        <f>PEF!J3</f>
        <v>36055860.959050171</v>
      </c>
      <c r="D20" s="363" t="s">
        <v>134</v>
      </c>
      <c r="E20" s="364">
        <f>(E5)/((E14/E15)*E10*E11)</f>
        <v>0.52194790959862203</v>
      </c>
      <c r="F20" s="365" t="s">
        <v>37</v>
      </c>
      <c r="G20" s="95" t="s">
        <v>241</v>
      </c>
      <c r="H20" s="95">
        <f>B34</f>
        <v>20</v>
      </c>
      <c r="J20" s="95" t="s">
        <v>82</v>
      </c>
      <c r="K20" s="390">
        <f>K35*K31*K23+K34*K32*K24</f>
        <v>161000</v>
      </c>
      <c r="L20" s="95" t="s">
        <v>149</v>
      </c>
      <c r="M20" s="103" t="s">
        <v>39</v>
      </c>
      <c r="N20" s="185">
        <f>(N22*N23*N24)/((1-EXP(-N24*N23))*N27*N32*(N26/365)*N30*(((N31/24)*N29)+((N33/24)*N28)))</f>
        <v>0.30242369947356629</v>
      </c>
      <c r="O20" s="105"/>
      <c r="P20" s="106" t="s">
        <v>39</v>
      </c>
      <c r="Q20" s="185">
        <f>(Q22*Q23*Q24)/((1-EXP(-Q24*Q23))*Q27*Q32*(Q26/365)*Q30*(((Q31/24)*Q29)+((Q33/24)*Q28)))</f>
        <v>0.10543401577537347</v>
      </c>
      <c r="R20" s="107"/>
      <c r="AB20" s="95" t="s">
        <v>449</v>
      </c>
      <c r="AC20" s="95">
        <f>B35</f>
        <v>60</v>
      </c>
      <c r="AD20" s="95">
        <f>B35</f>
        <v>60</v>
      </c>
      <c r="AE20" s="95">
        <f>B35</f>
        <v>60</v>
      </c>
      <c r="AF20" s="95">
        <f>B35</f>
        <v>60</v>
      </c>
      <c r="AG20" s="95">
        <f>B35</f>
        <v>60</v>
      </c>
      <c r="AH20" s="95" t="s">
        <v>83</v>
      </c>
      <c r="AI20" s="116" t="s">
        <v>39</v>
      </c>
      <c r="AJ20" s="193">
        <f>(AJ22*AJ23*AJ24)/((1-EXP(-AJ24*AJ23))*AJ27*AJ32*(AJ26/365)*AJ30*((AJ31*AJ29)+(AJ33*AJ28)))</f>
        <v>1.1327668923949936</v>
      </c>
      <c r="AK20" s="118"/>
      <c r="AL20" s="119" t="s">
        <v>39</v>
      </c>
      <c r="AM20" s="193">
        <f>(AM22*AM23*AM24)/((1-EXP(-AM24*AM23))*AM27*AM32*(AM26/365)*AM30*((AM31*AM29)+(AM33*AM28)))</f>
        <v>0.39491667686921361</v>
      </c>
      <c r="AN20" s="120"/>
      <c r="AR20" s="121" t="s">
        <v>39</v>
      </c>
      <c r="AS20" s="194">
        <f>(AS22*AS23*AS24)/((1-EXP(-AS24*AS23))*AS27*AS32*(AS26/365)*AS30*((AS31*AS29)+(AS33*AS28)))</f>
        <v>0.50345195217555272</v>
      </c>
      <c r="AT20" s="123"/>
      <c r="AU20" s="124" t="s">
        <v>39</v>
      </c>
      <c r="AV20" s="194">
        <f>(AV22*AV23*AV24)/((1-EXP(-AV24*AV23))*AV27*AV32*(AV26/365)*AV30*((AV31*AV29)+(AV33*AV28)))</f>
        <v>0.17551852305298382</v>
      </c>
      <c r="AW20" s="125"/>
      <c r="BA20" s="121" t="s">
        <v>39</v>
      </c>
      <c r="BB20" s="194">
        <f>(BB22*BB23*BB24)/((1-EXP(-BB24*BB23))*BB27*BB32*(BB26/365)*BB30*((BB31*BB29)+(BB33*BB28)))</f>
        <v>0.45310675695799746</v>
      </c>
      <c r="BC20" s="123"/>
      <c r="BD20" s="124" t="s">
        <v>39</v>
      </c>
      <c r="BE20" s="194">
        <f>(BE22*BE23*BE24)/((1-EXP(-BE24*BE23))*BE27*BE32*(BE26/365)*BE30*((BE31*BE29)+(BE33*BE28)))</f>
        <v>0.15796667074768542</v>
      </c>
      <c r="BF20" s="125"/>
      <c r="BJ20" s="121" t="s">
        <v>39</v>
      </c>
      <c r="BK20" s="194">
        <f>(BK22*BK23*BK24)/((1-EXP(-BK24*BK23))*BK29*BK34*(BK26/365)*BK32*BK33*BK31)</f>
        <v>685353.44392185076</v>
      </c>
      <c r="BL20" s="123"/>
      <c r="BM20" s="124" t="s">
        <v>39</v>
      </c>
      <c r="BN20" s="194">
        <f>(BN22*BN23*BN24)/((1-EXP(-BN24*BN23))*BN29*BN34*(BN26/365)*BN32*BN33*BN31)</f>
        <v>31617.267295031565</v>
      </c>
      <c r="BO20" s="125"/>
      <c r="BS20" s="95" t="s">
        <v>414</v>
      </c>
      <c r="BT20" s="95">
        <v>1</v>
      </c>
      <c r="BV20" s="95" t="s">
        <v>108</v>
      </c>
      <c r="BW20" s="95">
        <v>26</v>
      </c>
      <c r="BX20" s="95" t="s">
        <v>129</v>
      </c>
      <c r="BY20" s="95" t="s">
        <v>240</v>
      </c>
      <c r="BZ20" s="95">
        <f>B33</f>
        <v>10</v>
      </c>
      <c r="CA20" s="95" t="s">
        <v>83</v>
      </c>
      <c r="CB20" s="95" t="s">
        <v>46</v>
      </c>
      <c r="CC20" s="354">
        <v>9.9999999999999995E-7</v>
      </c>
      <c r="CE20" s="95" t="s">
        <v>46</v>
      </c>
      <c r="CF20" s="354">
        <v>9.9999999999999995E-7</v>
      </c>
      <c r="CK20" s="95" t="s">
        <v>46</v>
      </c>
      <c r="CL20" s="354">
        <v>9.9999999999999995E-7</v>
      </c>
      <c r="CM20" s="355"/>
      <c r="CN20" s="95" t="s">
        <v>433</v>
      </c>
      <c r="CO20" s="354">
        <f>B28</f>
        <v>0.03</v>
      </c>
      <c r="CQ20" s="95" t="s">
        <v>433</v>
      </c>
      <c r="CR20" s="95">
        <f>CO20</f>
        <v>0.03</v>
      </c>
      <c r="CT20" s="95" t="s">
        <v>417</v>
      </c>
      <c r="CU20" s="354">
        <f>GV3</f>
        <v>1.2064837078942698E-3</v>
      </c>
      <c r="CV20" s="95" t="s">
        <v>23</v>
      </c>
      <c r="CW20" s="95" t="s">
        <v>134</v>
      </c>
      <c r="CX20" s="354">
        <f>(CX5)/((CX14/CX15)*CX10*CX11)</f>
        <v>0.32445410596671098</v>
      </c>
      <c r="CY20" s="95" t="s">
        <v>37</v>
      </c>
      <c r="CZ20" s="95" t="s">
        <v>326</v>
      </c>
      <c r="DA20" s="354">
        <f>EK3</f>
        <v>2.5269498509286514E-7</v>
      </c>
      <c r="DD20" s="354">
        <v>1000</v>
      </c>
      <c r="DE20" s="95" t="s">
        <v>195</v>
      </c>
      <c r="DF20" s="95" t="s">
        <v>154</v>
      </c>
      <c r="DG20" s="354">
        <f>0.693/DG23</f>
        <v>6.3E-5</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448</v>
      </c>
      <c r="B21" s="353">
        <v>11000</v>
      </c>
      <c r="C21" s="95" t="s">
        <v>416</v>
      </c>
      <c r="D21" s="368" t="s">
        <v>139</v>
      </c>
      <c r="E21" s="369">
        <f>(E5)/((E14/E15)*E8*E9*E18*(1/365)*E19)</f>
        <v>16.782380799117202</v>
      </c>
      <c r="F21" s="370" t="s">
        <v>37</v>
      </c>
      <c r="G21" s="95" t="s">
        <v>263</v>
      </c>
      <c r="H21" s="396">
        <f>(H29*H32*H38*H34)+(H30*H33*H39*H35)</f>
        <v>6104</v>
      </c>
      <c r="I21" s="95" t="s">
        <v>445</v>
      </c>
      <c r="J21" s="95" t="s">
        <v>117</v>
      </c>
      <c r="K21" s="95">
        <f>B36</f>
        <v>200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58.458165875045665</v>
      </c>
      <c r="BU21" s="95" t="s">
        <v>37</v>
      </c>
      <c r="BV21" s="95" t="s">
        <v>439</v>
      </c>
      <c r="BW21" s="95">
        <v>6</v>
      </c>
      <c r="BY21" s="95" t="s">
        <v>241</v>
      </c>
      <c r="BZ21" s="95">
        <f>B34</f>
        <v>20</v>
      </c>
      <c r="CA21" s="95" t="s">
        <v>83</v>
      </c>
      <c r="CB21" s="95" t="s">
        <v>61</v>
      </c>
      <c r="CC21" s="95">
        <v>26</v>
      </c>
      <c r="CD21" s="95" t="s">
        <v>62</v>
      </c>
      <c r="CE21" s="95" t="s">
        <v>61</v>
      </c>
      <c r="CF21" s="95">
        <v>26</v>
      </c>
      <c r="CG21" s="95" t="s">
        <v>62</v>
      </c>
      <c r="CK21" s="95" t="s">
        <v>415</v>
      </c>
      <c r="CL21" s="354">
        <f>E33</f>
        <v>3.7400000000000001E-11</v>
      </c>
      <c r="CM21" s="95" t="s">
        <v>23</v>
      </c>
      <c r="CN21" s="95" t="s">
        <v>50</v>
      </c>
      <c r="CO21" s="95">
        <f>CO23</f>
        <v>0.2</v>
      </c>
      <c r="CQ21" s="95" t="s">
        <v>346</v>
      </c>
      <c r="CR21" s="357">
        <v>1</v>
      </c>
      <c r="CS21" s="95" t="s">
        <v>59</v>
      </c>
      <c r="CT21" s="95" t="s">
        <v>326</v>
      </c>
      <c r="CU21" s="354">
        <f>EN3</f>
        <v>2.3551981376807971E-6</v>
      </c>
      <c r="CV21" s="95" t="s">
        <v>23</v>
      </c>
      <c r="CW21" s="95" t="s">
        <v>139</v>
      </c>
      <c r="CX21" s="354">
        <f>(CX5)/((CX14/CX15)*CX8*CX9*CX18*(1/365)*CX19)</f>
        <v>10.908547519426183</v>
      </c>
      <c r="CY21" s="95" t="s">
        <v>37</v>
      </c>
      <c r="CZ21" s="95" t="s">
        <v>418</v>
      </c>
      <c r="DA21" s="354">
        <f>DV3</f>
        <v>1.1560685567047637E-7</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15</v>
      </c>
      <c r="HF21" s="94" t="s">
        <v>159</v>
      </c>
    </row>
    <row r="22" spans="1:214" s="95" customFormat="1" ht="13.5" thickTop="1" x14ac:dyDescent="0.2">
      <c r="A22" s="95" t="s">
        <v>203</v>
      </c>
      <c r="B22" s="353">
        <v>2000</v>
      </c>
      <c r="C22" s="95" t="s">
        <v>48</v>
      </c>
      <c r="D22" s="363" t="s">
        <v>134</v>
      </c>
      <c r="E22" s="364">
        <f>(E5*E9*E6)/((E14/E15)*(1-EXP(-E6*E9))*E10*E11)</f>
        <v>0.69428511257680348</v>
      </c>
      <c r="F22" s="365" t="s">
        <v>38</v>
      </c>
      <c r="G22" s="95" t="s">
        <v>403</v>
      </c>
      <c r="H22" s="360">
        <f>(H29*H32*H23)+(H30*H33*H24)</f>
        <v>424480</v>
      </c>
      <c r="I22" s="95" t="s">
        <v>230</v>
      </c>
      <c r="J22" s="95" t="s">
        <v>140</v>
      </c>
      <c r="K22" s="95">
        <f>B37</f>
        <v>100</v>
      </c>
      <c r="L22" s="95" t="s">
        <v>96</v>
      </c>
      <c r="M22" s="95" t="s">
        <v>46</v>
      </c>
      <c r="N22" s="354">
        <v>9.9999999999999995E-7</v>
      </c>
      <c r="P22" s="95" t="s">
        <v>46</v>
      </c>
      <c r="Q22" s="354">
        <v>9.9999999999999995E-7</v>
      </c>
      <c r="V22" s="25" t="s">
        <v>1</v>
      </c>
      <c r="W22" s="26" t="s">
        <v>5</v>
      </c>
      <c r="X22" s="26" t="s">
        <v>15</v>
      </c>
      <c r="Y22" s="27" t="s">
        <v>1</v>
      </c>
      <c r="Z22" s="26" t="s">
        <v>239</v>
      </c>
      <c r="AA22" s="28" t="s">
        <v>15</v>
      </c>
      <c r="AB22" s="95" t="s">
        <v>113</v>
      </c>
      <c r="AC22" s="95">
        <v>1</v>
      </c>
      <c r="AD22" s="95">
        <v>1</v>
      </c>
      <c r="AE22" s="95">
        <v>1</v>
      </c>
      <c r="AF22" s="95">
        <v>1</v>
      </c>
      <c r="AG22" s="95">
        <v>1</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1879.6266495011264</v>
      </c>
      <c r="BU22" s="95" t="s">
        <v>37</v>
      </c>
      <c r="BV22" s="95" t="s">
        <v>438</v>
      </c>
      <c r="BW22" s="95">
        <f>BW20-BW21</f>
        <v>20</v>
      </c>
      <c r="BY22" s="95" t="s">
        <v>238</v>
      </c>
      <c r="BZ22" s="95">
        <v>75</v>
      </c>
      <c r="CA22" s="95" t="s">
        <v>55</v>
      </c>
      <c r="CB22" s="95" t="s">
        <v>52</v>
      </c>
      <c r="CC22" s="354">
        <f>0.693/CC23</f>
        <v>2.3099999999999999E-2</v>
      </c>
      <c r="CE22" s="95" t="s">
        <v>52</v>
      </c>
      <c r="CF22" s="354">
        <f>0.693/CF23</f>
        <v>2.3099999999999999E-2</v>
      </c>
      <c r="CK22" s="95" t="s">
        <v>238</v>
      </c>
      <c r="CL22" s="95">
        <v>75</v>
      </c>
      <c r="CM22" s="95" t="s">
        <v>268</v>
      </c>
      <c r="CN22" s="95" t="s">
        <v>57</v>
      </c>
      <c r="CO22" s="95">
        <f>CO24</f>
        <v>0.25</v>
      </c>
      <c r="CR22" s="95">
        <v>1000</v>
      </c>
      <c r="CS22" s="95" t="s">
        <v>230</v>
      </c>
      <c r="CT22" s="95" t="s">
        <v>418</v>
      </c>
      <c r="CU22" s="354">
        <f>DY3</f>
        <v>1.3269907325868778E-6</v>
      </c>
      <c r="CV22" s="95" t="s">
        <v>23</v>
      </c>
      <c r="CW22" s="95" t="s">
        <v>134</v>
      </c>
      <c r="CX22" s="354">
        <f>(CX5*CX9*CX6)/((CX14/CX15)*(1-EXP(-CX6*CX9))*CX10*CX11)</f>
        <v>0.49711422167950697</v>
      </c>
      <c r="CY22" s="95" t="s">
        <v>38</v>
      </c>
      <c r="CZ22" s="95" t="s">
        <v>324</v>
      </c>
      <c r="DA22" s="354">
        <f>GD3</f>
        <v>4.3688707735424428</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458</v>
      </c>
      <c r="B23" s="353">
        <v>8.0000000000000002E-3</v>
      </c>
      <c r="D23" s="368" t="s">
        <v>139</v>
      </c>
      <c r="E23" s="369">
        <f>(E5*E9*E6)/((E14/E15)*E8*E9*(1-EXP(-E6*E9))*E18*(1/365)*E19)</f>
        <v>22.323601509166064</v>
      </c>
      <c r="F23" s="370" t="s">
        <v>38</v>
      </c>
      <c r="G23" s="95" t="s">
        <v>404</v>
      </c>
      <c r="H23" s="354">
        <f>B40</f>
        <v>14.8</v>
      </c>
      <c r="I23" s="95" t="s">
        <v>413</v>
      </c>
      <c r="J23" s="95" t="s">
        <v>240</v>
      </c>
      <c r="K23" s="95">
        <f>B33</f>
        <v>10</v>
      </c>
      <c r="L23" s="95" t="s">
        <v>83</v>
      </c>
      <c r="M23" s="95" t="s">
        <v>61</v>
      </c>
      <c r="N23" s="95">
        <v>26</v>
      </c>
      <c r="O23" s="95" t="s">
        <v>62</v>
      </c>
      <c r="P23" s="95" t="s">
        <v>61</v>
      </c>
      <c r="Q23" s="95">
        <v>26</v>
      </c>
      <c r="R23" s="95" t="s">
        <v>62</v>
      </c>
      <c r="V23" s="108" t="s">
        <v>19</v>
      </c>
      <c r="W23" s="109" t="s">
        <v>17</v>
      </c>
      <c r="X23" s="109" t="s">
        <v>20</v>
      </c>
      <c r="Y23" s="110" t="s">
        <v>19</v>
      </c>
      <c r="Z23" s="109" t="s">
        <v>17</v>
      </c>
      <c r="AA23" s="111" t="s">
        <v>20</v>
      </c>
      <c r="AB23" s="95" t="s">
        <v>131</v>
      </c>
      <c r="AC23" s="354">
        <f>B9</f>
        <v>2.5399999999999998E-6</v>
      </c>
      <c r="AD23" s="354">
        <f>B9</f>
        <v>2.5399999999999998E-6</v>
      </c>
      <c r="AE23" s="354">
        <f>B9</f>
        <v>2.5399999999999998E-6</v>
      </c>
      <c r="AF23" s="354">
        <f>B9</f>
        <v>2.5399999999999998E-6</v>
      </c>
      <c r="AG23" s="354">
        <f>B9</f>
        <v>2.5399999999999998E-6</v>
      </c>
      <c r="AH23" s="95" t="s">
        <v>163</v>
      </c>
      <c r="AI23" s="95" t="s">
        <v>61</v>
      </c>
      <c r="AJ23" s="95">
        <v>25</v>
      </c>
      <c r="AK23" s="95" t="s">
        <v>62</v>
      </c>
      <c r="AL23" s="95" t="s">
        <v>61</v>
      </c>
      <c r="AM23" s="95">
        <v>25</v>
      </c>
      <c r="AN23" s="95" t="s">
        <v>62</v>
      </c>
      <c r="AR23" s="95" t="s">
        <v>61</v>
      </c>
      <c r="AS23" s="95">
        <v>25</v>
      </c>
      <c r="AT23" s="95" t="s">
        <v>62</v>
      </c>
      <c r="AU23" s="95" t="s">
        <v>61</v>
      </c>
      <c r="AV23" s="95">
        <v>25</v>
      </c>
      <c r="AW23" s="95" t="s">
        <v>62</v>
      </c>
      <c r="BA23" s="95" t="s">
        <v>61</v>
      </c>
      <c r="BB23" s="95">
        <v>25</v>
      </c>
      <c r="BC23" s="95" t="s">
        <v>62</v>
      </c>
      <c r="BD23" s="95" t="s">
        <v>61</v>
      </c>
      <c r="BE23" s="95">
        <v>25</v>
      </c>
      <c r="BF23" s="95" t="s">
        <v>62</v>
      </c>
      <c r="BJ23" s="95" t="s">
        <v>61</v>
      </c>
      <c r="BK23" s="95">
        <v>1</v>
      </c>
      <c r="BL23" s="95" t="s">
        <v>62</v>
      </c>
      <c r="BM23" s="95" t="s">
        <v>61</v>
      </c>
      <c r="BN23" s="95">
        <v>1</v>
      </c>
      <c r="BO23" s="95" t="s">
        <v>62</v>
      </c>
      <c r="BS23" s="95" t="s">
        <v>134</v>
      </c>
      <c r="BT23" s="354">
        <f>(BT5*BT28*BT6)/((1-EXP(-BT6*BT28))*BT10*BT11)</f>
        <v>77.759932608601972</v>
      </c>
      <c r="BU23" s="95" t="s">
        <v>38</v>
      </c>
      <c r="BV23" s="95" t="s">
        <v>436</v>
      </c>
      <c r="BW23" s="95">
        <v>1</v>
      </c>
      <c r="BX23" s="95" t="s">
        <v>180</v>
      </c>
      <c r="BY23" s="95" t="s">
        <v>78</v>
      </c>
      <c r="BZ23" s="95">
        <v>75</v>
      </c>
      <c r="CA23" s="95" t="s">
        <v>55</v>
      </c>
      <c r="CB23" s="95" t="s">
        <v>448</v>
      </c>
      <c r="CC23" s="354">
        <f>B17</f>
        <v>30</v>
      </c>
      <c r="CD23" s="95" t="s">
        <v>129</v>
      </c>
      <c r="CE23" s="95" t="s">
        <v>448</v>
      </c>
      <c r="CF23" s="354">
        <f>B17</f>
        <v>30</v>
      </c>
      <c r="CG23" s="95" t="s">
        <v>129</v>
      </c>
      <c r="CK23" s="95" t="s">
        <v>107</v>
      </c>
      <c r="CL23" s="95">
        <v>26</v>
      </c>
      <c r="CM23" s="95" t="s">
        <v>276</v>
      </c>
      <c r="CN23" s="95" t="s">
        <v>67</v>
      </c>
      <c r="CO23" s="354">
        <f>B31</f>
        <v>0.2</v>
      </c>
      <c r="CT23" s="95" t="s">
        <v>324</v>
      </c>
      <c r="CU23" s="354">
        <f>GG3</f>
        <v>4.9904430254228922E-7</v>
      </c>
      <c r="CV23" s="95" t="s">
        <v>23</v>
      </c>
      <c r="CW23" s="95" t="s">
        <v>139</v>
      </c>
      <c r="CX23" s="354">
        <f>(CX5*CX9*CX6)/((CX14/CX15)*CX8*CX9*(1-EXP(-CX6*CX9))*CX18*(1/365)*CX19)</f>
        <v>16.713593725732792</v>
      </c>
      <c r="CY23" s="95" t="s">
        <v>38</v>
      </c>
      <c r="CZ23" s="95" t="s">
        <v>325</v>
      </c>
      <c r="DA23" s="354">
        <f>FO3</f>
        <v>8.7377415470848863E-3</v>
      </c>
      <c r="DF23" s="95" t="s">
        <v>46</v>
      </c>
      <c r="DG23" s="354">
        <f>B21</f>
        <v>11000</v>
      </c>
      <c r="DH23" s="95" t="s">
        <v>416</v>
      </c>
      <c r="DO23" s="95" t="s">
        <v>49</v>
      </c>
      <c r="DP23" s="95">
        <f>DP25</f>
        <v>0.04</v>
      </c>
      <c r="ED23" s="95" t="s">
        <v>49</v>
      </c>
      <c r="EE23" s="95">
        <f>EE25</f>
        <v>0.2</v>
      </c>
      <c r="ES23" s="95" t="s">
        <v>49</v>
      </c>
      <c r="ET23" s="95">
        <f>ET25</f>
        <v>0.2</v>
      </c>
      <c r="FH23" s="95" t="s">
        <v>49</v>
      </c>
      <c r="FI23" s="95">
        <v>0.2</v>
      </c>
      <c r="FW23" s="95" t="s">
        <v>49</v>
      </c>
      <c r="FX23" s="95">
        <f>FX25</f>
        <v>0.2</v>
      </c>
      <c r="GL23" s="95" t="s">
        <v>49</v>
      </c>
      <c r="GM23" s="95">
        <f>GM25</f>
        <v>0.2</v>
      </c>
      <c r="HA23" s="95" t="s">
        <v>49</v>
      </c>
      <c r="HB23" s="95">
        <f>HB25</f>
        <v>0.2</v>
      </c>
      <c r="HD23" s="247">
        <f>(HE25*HE33*HE38*HE32*10^-3*HE31*HE27)/(HE30*HE41*(1-EXP(-HE27*HE31)))</f>
        <v>0.55845394219543287</v>
      </c>
      <c r="HE23" s="248"/>
      <c r="HF23" s="180" t="s">
        <v>40</v>
      </c>
    </row>
    <row r="24" spans="1:214" s="95" customFormat="1" ht="13.5" thickBot="1" x14ac:dyDescent="0.25">
      <c r="A24" s="95" t="s">
        <v>455</v>
      </c>
      <c r="B24" s="353">
        <v>0.03</v>
      </c>
      <c r="D24" s="95" t="s">
        <v>244</v>
      </c>
      <c r="E24" s="95">
        <v>350</v>
      </c>
      <c r="F24" s="95" t="s">
        <v>55</v>
      </c>
      <c r="G24" s="95" t="s">
        <v>405</v>
      </c>
      <c r="H24" s="354">
        <f>B41</f>
        <v>56.2</v>
      </c>
      <c r="I24" s="95" t="s">
        <v>413</v>
      </c>
      <c r="J24" s="95" t="s">
        <v>241</v>
      </c>
      <c r="K24" s="95">
        <f>B34</f>
        <v>20</v>
      </c>
      <c r="L24" s="95" t="s">
        <v>83</v>
      </c>
      <c r="M24" s="95" t="s">
        <v>52</v>
      </c>
      <c r="N24" s="354">
        <f>0.693/N25</f>
        <v>2.3099999999999999E-2</v>
      </c>
      <c r="P24" s="95" t="s">
        <v>52</v>
      </c>
      <c r="Q24" s="354">
        <f>0.693/Q25</f>
        <v>2.3099999999999999E-2</v>
      </c>
      <c r="V24" s="108" t="s">
        <v>38</v>
      </c>
      <c r="W24" s="186">
        <f>1/((1/W39)+(1/W40))</f>
        <v>0.87692524445483144</v>
      </c>
      <c r="X24" s="187"/>
      <c r="Y24" s="188" t="s">
        <v>38</v>
      </c>
      <c r="Z24" s="186">
        <f>1/((1/Z37)+(1/Z38))</f>
        <v>16.847086562425332</v>
      </c>
      <c r="AA24" s="189"/>
      <c r="AB24" s="95" t="s">
        <v>75</v>
      </c>
      <c r="AC24" s="354">
        <f>B5</f>
        <v>1.1900000000000001E-11</v>
      </c>
      <c r="AD24" s="354">
        <f>B5</f>
        <v>1.1900000000000001E-11</v>
      </c>
      <c r="AE24" s="354">
        <f>B5</f>
        <v>1.1900000000000001E-11</v>
      </c>
      <c r="AF24" s="354">
        <f>B5</f>
        <v>1.1900000000000001E-11</v>
      </c>
      <c r="AG24" s="354">
        <f>B5</f>
        <v>1.1900000000000001E-11</v>
      </c>
      <c r="AH24" s="95" t="s">
        <v>64</v>
      </c>
      <c r="AI24" s="95" t="s">
        <v>52</v>
      </c>
      <c r="AJ24" s="354">
        <f>0.693/AJ25</f>
        <v>2.3099999999999999E-2</v>
      </c>
      <c r="AL24" s="95" t="s">
        <v>52</v>
      </c>
      <c r="AM24" s="354">
        <f>0.693/AM25</f>
        <v>2.3099999999999999E-2</v>
      </c>
      <c r="AR24" s="95" t="s">
        <v>52</v>
      </c>
      <c r="AS24" s="354">
        <f>0.693/AS25</f>
        <v>2.3099999999999999E-2</v>
      </c>
      <c r="AU24" s="95" t="s">
        <v>52</v>
      </c>
      <c r="AV24" s="354">
        <f>0.693/AV25</f>
        <v>2.3099999999999999E-2</v>
      </c>
      <c r="BA24" s="95" t="s">
        <v>52</v>
      </c>
      <c r="BB24" s="354">
        <f>0.693/BB25</f>
        <v>2.3099999999999999E-2</v>
      </c>
      <c r="BD24" s="95" t="s">
        <v>52</v>
      </c>
      <c r="BE24" s="354">
        <f>0.693/BE25</f>
        <v>2.3099999999999999E-2</v>
      </c>
      <c r="BJ24" s="95" t="s">
        <v>52</v>
      </c>
      <c r="BK24" s="354">
        <f>0.693/BK25</f>
        <v>2.3099999999999999E-2</v>
      </c>
      <c r="BM24" s="95" t="s">
        <v>52</v>
      </c>
      <c r="BN24" s="354">
        <f>0.693/BN25</f>
        <v>2.3099999999999999E-2</v>
      </c>
      <c r="BS24" s="95" t="s">
        <v>139</v>
      </c>
      <c r="BT24" s="354">
        <f>(BT5*BT9*BT6)/((BT14/24)*BT8*BT9*(1-EXP(-BT6*BT9))*BT19*(1/365)*BT20)</f>
        <v>2500.2433690265989</v>
      </c>
      <c r="BU24" s="95" t="s">
        <v>38</v>
      </c>
      <c r="BV24" s="95" t="s">
        <v>435</v>
      </c>
      <c r="BW24" s="95">
        <v>1</v>
      </c>
      <c r="BX24" s="95" t="s">
        <v>180</v>
      </c>
      <c r="BY24" s="95" t="s">
        <v>70</v>
      </c>
      <c r="BZ24" s="95">
        <v>75</v>
      </c>
      <c r="CA24" s="95" t="s">
        <v>55</v>
      </c>
      <c r="CB24" s="95" t="s">
        <v>54</v>
      </c>
      <c r="CC24" s="95">
        <v>75</v>
      </c>
      <c r="CD24" s="95" t="s">
        <v>63</v>
      </c>
      <c r="CE24" s="95" t="s">
        <v>54</v>
      </c>
      <c r="CF24" s="95">
        <v>75</v>
      </c>
      <c r="CG24" s="95" t="s">
        <v>63</v>
      </c>
      <c r="CK24" s="95" t="s">
        <v>334</v>
      </c>
      <c r="CL24" s="357">
        <v>1</v>
      </c>
      <c r="CM24" s="95" t="s">
        <v>413</v>
      </c>
      <c r="CN24" s="95" t="s">
        <v>341</v>
      </c>
      <c r="CO24" s="357">
        <v>0.25</v>
      </c>
      <c r="CT24" s="95" t="s">
        <v>325</v>
      </c>
      <c r="CU24" s="354">
        <f>FR3</f>
        <v>7.1649480686096061E-5</v>
      </c>
      <c r="CV24" s="95" t="s">
        <v>23</v>
      </c>
      <c r="CW24" s="95" t="s">
        <v>244</v>
      </c>
      <c r="CX24" s="95">
        <v>350</v>
      </c>
      <c r="CY24" s="95" t="s">
        <v>55</v>
      </c>
      <c r="CZ24" s="95" t="s">
        <v>86</v>
      </c>
      <c r="DA24" s="360">
        <f>(DA35*DA37*DA27)+(DA36*DA38*DA28)</f>
        <v>31388</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5.7159523044436104E-2</v>
      </c>
      <c r="HE24" s="351"/>
      <c r="HF24" s="352" t="s">
        <v>45</v>
      </c>
    </row>
    <row r="25" spans="1:214" s="95" customFormat="1" ht="14.25" thickTop="1" thickBot="1" x14ac:dyDescent="0.25">
      <c r="A25" s="95" t="s">
        <v>456</v>
      </c>
      <c r="B25" s="353">
        <v>10</v>
      </c>
      <c r="D25" s="95" t="s">
        <v>245</v>
      </c>
      <c r="E25" s="95">
        <v>350</v>
      </c>
      <c r="F25" s="95" t="s">
        <v>55</v>
      </c>
      <c r="G25" s="95" t="s">
        <v>402</v>
      </c>
      <c r="H25" s="360">
        <f>(H29*H32*H26)+(H30*H33*H27)</f>
        <v>221340</v>
      </c>
      <c r="I25" s="95" t="s">
        <v>230</v>
      </c>
      <c r="J25" s="95" t="s">
        <v>403</v>
      </c>
      <c r="K25" s="360">
        <f>(K31*K35*K26)+(K32*K34*K27)</f>
        <v>424480</v>
      </c>
      <c r="L25" s="95" t="s">
        <v>230</v>
      </c>
      <c r="M25" s="95" t="s">
        <v>448</v>
      </c>
      <c r="N25" s="354">
        <f>B17</f>
        <v>30</v>
      </c>
      <c r="O25" s="95" t="s">
        <v>129</v>
      </c>
      <c r="P25" s="95" t="s">
        <v>448</v>
      </c>
      <c r="Q25" s="354">
        <f>B17</f>
        <v>30</v>
      </c>
      <c r="R25" s="95" t="s">
        <v>129</v>
      </c>
      <c r="V25" s="263" t="s">
        <v>37</v>
      </c>
      <c r="W25" s="264">
        <f>1/((1/W37)+(1/W38))</f>
        <v>0.66615969581749046</v>
      </c>
      <c r="X25" s="265"/>
      <c r="Y25" s="266" t="s">
        <v>37</v>
      </c>
      <c r="Z25" s="398">
        <f>1/((1/Z39)+(1/Z40))</f>
        <v>16.653992395437264</v>
      </c>
      <c r="AA25" s="267"/>
      <c r="AC25" s="354"/>
      <c r="AD25" s="354"/>
      <c r="AE25" s="354"/>
      <c r="AI25" s="95" t="s">
        <v>448</v>
      </c>
      <c r="AJ25" s="354">
        <f>B17</f>
        <v>30</v>
      </c>
      <c r="AK25" s="95" t="s">
        <v>129</v>
      </c>
      <c r="AL25" s="95" t="s">
        <v>448</v>
      </c>
      <c r="AM25" s="354">
        <f>B17</f>
        <v>30</v>
      </c>
      <c r="AN25" s="95" t="s">
        <v>129</v>
      </c>
      <c r="AR25" s="95" t="s">
        <v>448</v>
      </c>
      <c r="AS25" s="354">
        <f>B17</f>
        <v>30</v>
      </c>
      <c r="AT25" s="95" t="s">
        <v>129</v>
      </c>
      <c r="AU25" s="95" t="s">
        <v>448</v>
      </c>
      <c r="AV25" s="354">
        <f>B17</f>
        <v>30</v>
      </c>
      <c r="AW25" s="95" t="s">
        <v>129</v>
      </c>
      <c r="BA25" s="95" t="s">
        <v>448</v>
      </c>
      <c r="BB25" s="354">
        <f>B17</f>
        <v>30</v>
      </c>
      <c r="BC25" s="95" t="s">
        <v>129</v>
      </c>
      <c r="BD25" s="95" t="s">
        <v>448</v>
      </c>
      <c r="BE25" s="354">
        <f>B17</f>
        <v>30</v>
      </c>
      <c r="BF25" s="95" t="s">
        <v>129</v>
      </c>
      <c r="BJ25" s="95" t="s">
        <v>448</v>
      </c>
      <c r="BK25" s="354">
        <f>B17</f>
        <v>30</v>
      </c>
      <c r="BL25" s="95" t="s">
        <v>129</v>
      </c>
      <c r="BM25" s="95" t="s">
        <v>448</v>
      </c>
      <c r="BN25" s="354">
        <f>B17</f>
        <v>30</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1</v>
      </c>
      <c r="CP25" s="95" t="s">
        <v>479</v>
      </c>
      <c r="CT25" s="95" t="s">
        <v>87</v>
      </c>
      <c r="CU25" s="399">
        <f>(CU27*CU31*CU35+CU28*CU32*CU34)</f>
        <v>1610000</v>
      </c>
      <c r="CV25" s="95" t="s">
        <v>443</v>
      </c>
      <c r="CW25" s="95" t="s">
        <v>245</v>
      </c>
      <c r="CX25" s="95">
        <v>350</v>
      </c>
      <c r="CY25" s="95" t="s">
        <v>55</v>
      </c>
      <c r="CZ25" s="95" t="s">
        <v>82</v>
      </c>
      <c r="DA25" s="360">
        <f>(DA35*DA37*DA29*(DA40/24))+(DA36*DA38*DA30*(DA41/24))</f>
        <v>259000</v>
      </c>
      <c r="DB25" s="95" t="s">
        <v>444</v>
      </c>
      <c r="DO25" s="95" t="s">
        <v>66</v>
      </c>
      <c r="DP25" s="354">
        <f>B30</f>
        <v>0.04</v>
      </c>
      <c r="ED25" s="95" t="s">
        <v>67</v>
      </c>
      <c r="EE25" s="354">
        <f>B31</f>
        <v>0.2</v>
      </c>
      <c r="ES25" s="95" t="s">
        <v>67</v>
      </c>
      <c r="ET25" s="354">
        <f>B31</f>
        <v>0.2</v>
      </c>
      <c r="FH25" s="95" t="s">
        <v>67</v>
      </c>
      <c r="FI25" s="354">
        <f>B31</f>
        <v>0.2</v>
      </c>
      <c r="FW25" s="95" t="s">
        <v>67</v>
      </c>
      <c r="FX25" s="354">
        <f>B31</f>
        <v>0.2</v>
      </c>
      <c r="GL25" s="95" t="s">
        <v>67</v>
      </c>
      <c r="GM25" s="354">
        <f>B31</f>
        <v>0.2</v>
      </c>
      <c r="HA25" s="95" t="s">
        <v>67</v>
      </c>
      <c r="HB25" s="354">
        <f>B31</f>
        <v>0.2</v>
      </c>
      <c r="HD25" s="355" t="s">
        <v>51</v>
      </c>
      <c r="HE25" s="354">
        <v>15</v>
      </c>
      <c r="HF25" s="95" t="s">
        <v>25</v>
      </c>
    </row>
    <row r="26" spans="1:214" s="95" customFormat="1" ht="14.25" thickTop="1" thickBot="1" x14ac:dyDescent="0.25">
      <c r="A26" s="95" t="s">
        <v>349</v>
      </c>
      <c r="B26" s="353">
        <v>0.4</v>
      </c>
      <c r="G26" s="95" t="s">
        <v>400</v>
      </c>
      <c r="H26" s="354">
        <f>B42</f>
        <v>10.4</v>
      </c>
      <c r="I26" s="95" t="s">
        <v>413</v>
      </c>
      <c r="J26" s="95" t="s">
        <v>404</v>
      </c>
      <c r="K26" s="354">
        <f>B40</f>
        <v>14.8</v>
      </c>
      <c r="L26" s="95" t="s">
        <v>413</v>
      </c>
      <c r="M26" s="95" t="s">
        <v>54</v>
      </c>
      <c r="N26" s="95">
        <v>350</v>
      </c>
      <c r="O26" s="95" t="s">
        <v>63</v>
      </c>
      <c r="P26" s="95" t="s">
        <v>54</v>
      </c>
      <c r="Q26" s="95">
        <v>350</v>
      </c>
      <c r="R26" s="95" t="s">
        <v>63</v>
      </c>
      <c r="V26" s="95" t="s">
        <v>46</v>
      </c>
      <c r="W26" s="354">
        <v>9.9999999999999995E-7</v>
      </c>
      <c r="Y26" s="95" t="s">
        <v>46</v>
      </c>
      <c r="Z26" s="354">
        <v>9.9999999999999995E-7</v>
      </c>
      <c r="AC26" s="354"/>
      <c r="AD26" s="354"/>
      <c r="AE26" s="354"/>
      <c r="AI26" s="95" t="s">
        <v>54</v>
      </c>
      <c r="AJ26" s="95">
        <v>250</v>
      </c>
      <c r="AK26" s="95" t="s">
        <v>63</v>
      </c>
      <c r="AL26" s="95" t="s">
        <v>54</v>
      </c>
      <c r="AM26" s="95">
        <v>250</v>
      </c>
      <c r="AN26" s="95" t="s">
        <v>63</v>
      </c>
      <c r="AR26" s="95" t="s">
        <v>54</v>
      </c>
      <c r="AS26" s="95">
        <v>225</v>
      </c>
      <c r="AT26" s="95" t="s">
        <v>63</v>
      </c>
      <c r="AU26" s="95" t="s">
        <v>54</v>
      </c>
      <c r="AV26" s="95">
        <v>225</v>
      </c>
      <c r="AW26" s="95" t="s">
        <v>63</v>
      </c>
      <c r="BA26" s="95" t="s">
        <v>54</v>
      </c>
      <c r="BB26" s="95">
        <v>250</v>
      </c>
      <c r="BC26" s="95" t="s">
        <v>63</v>
      </c>
      <c r="BD26" s="95" t="s">
        <v>54</v>
      </c>
      <c r="BE26" s="95">
        <v>250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95">
        <v>2.6599999999999999E-2</v>
      </c>
      <c r="CE26" s="95" t="s">
        <v>102</v>
      </c>
      <c r="CF26" s="95">
        <v>5.0099999999999999E-2</v>
      </c>
      <c r="CN26" s="95" t="s">
        <v>342</v>
      </c>
      <c r="CO26" s="357">
        <v>1</v>
      </c>
      <c r="CP26" s="95" t="s">
        <v>479</v>
      </c>
      <c r="CT26" s="95" t="s">
        <v>82</v>
      </c>
      <c r="CU26" s="399">
        <f>((CU35*CU31*CU29*CU36/24))+(CU34*CU32*CU30*(CU37/24))</f>
        <v>259000</v>
      </c>
      <c r="CV26" s="95" t="s">
        <v>444</v>
      </c>
      <c r="CZ26" s="95" t="s">
        <v>263</v>
      </c>
      <c r="DA26" s="360">
        <f>(DA35*DA37*DA42*DA44)+(DA36*DA38*DA43*DA45)</f>
        <v>9583</v>
      </c>
      <c r="DB26" s="95" t="s">
        <v>445</v>
      </c>
      <c r="DF26" s="95" t="s">
        <v>67</v>
      </c>
      <c r="DG26" s="354">
        <f>B31</f>
        <v>0.2</v>
      </c>
      <c r="DO26" s="95" t="s">
        <v>73</v>
      </c>
      <c r="DP26" s="95">
        <v>0.26</v>
      </c>
      <c r="ED26" s="95" t="s">
        <v>73</v>
      </c>
      <c r="EE26" s="95">
        <v>0.25</v>
      </c>
      <c r="EJ26" s="95" t="s">
        <v>67</v>
      </c>
      <c r="EK26" s="354">
        <f>B31</f>
        <v>0.2</v>
      </c>
      <c r="ES26" s="95" t="s">
        <v>73</v>
      </c>
      <c r="ET26" s="95">
        <v>0.25</v>
      </c>
      <c r="FH26" s="95" t="s">
        <v>316</v>
      </c>
      <c r="FI26" s="95">
        <v>0.25</v>
      </c>
      <c r="FW26" s="95" t="s">
        <v>311</v>
      </c>
      <c r="FX26" s="95">
        <v>0.25</v>
      </c>
      <c r="GL26" s="95" t="s">
        <v>305</v>
      </c>
      <c r="GM26" s="95">
        <v>0.25</v>
      </c>
      <c r="HA26" s="95" t="s">
        <v>310</v>
      </c>
      <c r="HB26" s="95">
        <v>0.25</v>
      </c>
      <c r="HD26" s="95" t="s">
        <v>17</v>
      </c>
      <c r="HE26" s="354">
        <f>H3</f>
        <v>1.5352973287213254</v>
      </c>
      <c r="HF26" s="95" t="s">
        <v>25</v>
      </c>
    </row>
    <row r="27" spans="1:214" s="95" customFormat="1" ht="12.75" customHeight="1" thickTop="1" x14ac:dyDescent="0.2">
      <c r="A27" s="95" t="s">
        <v>457</v>
      </c>
      <c r="B27" s="353">
        <v>0.24</v>
      </c>
      <c r="D27" s="401" t="s">
        <v>3</v>
      </c>
      <c r="E27" s="19"/>
      <c r="F27" s="20" t="s">
        <v>15</v>
      </c>
      <c r="G27" s="95" t="s">
        <v>401</v>
      </c>
      <c r="H27" s="354">
        <f>B43</f>
        <v>28.5</v>
      </c>
      <c r="I27" s="95" t="s">
        <v>413</v>
      </c>
      <c r="J27" s="95" t="s">
        <v>405</v>
      </c>
      <c r="K27" s="354">
        <f>B41</f>
        <v>56.2</v>
      </c>
      <c r="L27" s="95" t="s">
        <v>413</v>
      </c>
      <c r="M27" s="95" t="s">
        <v>68</v>
      </c>
      <c r="N27" s="95">
        <v>26</v>
      </c>
      <c r="O27" s="95" t="s">
        <v>62</v>
      </c>
      <c r="P27" s="95" t="s">
        <v>68</v>
      </c>
      <c r="Q27" s="95">
        <v>26</v>
      </c>
      <c r="R27" s="95" t="s">
        <v>62</v>
      </c>
      <c r="V27" s="95" t="s">
        <v>52</v>
      </c>
      <c r="W27" s="354">
        <f>0.693/W28</f>
        <v>2.3099999999999999E-2</v>
      </c>
      <c r="Y27" s="95" t="s">
        <v>52</v>
      </c>
      <c r="Z27" s="354">
        <f>0.693/Z28</f>
        <v>2.3099999999999999E-2</v>
      </c>
      <c r="AB27" s="95" t="s">
        <v>68</v>
      </c>
      <c r="AC27" s="95">
        <v>25</v>
      </c>
      <c r="AD27" s="95">
        <v>25</v>
      </c>
      <c r="AE27" s="95">
        <v>25</v>
      </c>
      <c r="AF27" s="95">
        <v>1</v>
      </c>
      <c r="AG27" s="95">
        <v>1</v>
      </c>
      <c r="AH27" s="95" t="s">
        <v>129</v>
      </c>
      <c r="AI27" s="95" t="s">
        <v>68</v>
      </c>
      <c r="AJ27" s="95">
        <v>25</v>
      </c>
      <c r="AK27" s="95" t="s">
        <v>62</v>
      </c>
      <c r="AL27" s="95" t="s">
        <v>68</v>
      </c>
      <c r="AM27" s="95">
        <v>25</v>
      </c>
      <c r="AN27" s="95" t="s">
        <v>62</v>
      </c>
      <c r="AR27" s="95" t="s">
        <v>68</v>
      </c>
      <c r="AS27" s="95">
        <v>25</v>
      </c>
      <c r="AT27" s="95" t="s">
        <v>62</v>
      </c>
      <c r="AU27" s="95" t="s">
        <v>68</v>
      </c>
      <c r="AV27" s="95">
        <v>25</v>
      </c>
      <c r="AW27" s="95" t="s">
        <v>62</v>
      </c>
      <c r="BA27" s="95" t="s">
        <v>68</v>
      </c>
      <c r="BB27" s="95">
        <v>25</v>
      </c>
      <c r="BC27" s="95" t="s">
        <v>62</v>
      </c>
      <c r="BD27" s="95" t="s">
        <v>68</v>
      </c>
      <c r="BE27" s="95">
        <v>25</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95">
        <v>0.46500000000000002</v>
      </c>
      <c r="CE27" s="95" t="s">
        <v>113</v>
      </c>
      <c r="CF27" s="95">
        <v>0.72599999999999998</v>
      </c>
      <c r="CN27" s="95" t="s">
        <v>343</v>
      </c>
      <c r="CO27" s="357">
        <v>1</v>
      </c>
      <c r="CP27" s="95" t="s">
        <v>80</v>
      </c>
      <c r="CT27" s="95" t="s">
        <v>117</v>
      </c>
      <c r="CU27" s="95">
        <f>B36</f>
        <v>200</v>
      </c>
      <c r="CV27" s="95" t="s">
        <v>96</v>
      </c>
      <c r="CZ27" s="95" t="s">
        <v>105</v>
      </c>
      <c r="DA27" s="95">
        <f>B38</f>
        <v>0.78</v>
      </c>
      <c r="DB27" s="95" t="s">
        <v>59</v>
      </c>
      <c r="EB27" s="354"/>
      <c r="ED27" s="95" t="s">
        <v>347</v>
      </c>
      <c r="EE27" s="354">
        <f>B23</f>
        <v>8.0000000000000002E-3</v>
      </c>
      <c r="EQ27" s="354"/>
      <c r="ES27" s="95" t="s">
        <v>348</v>
      </c>
      <c r="ET27" s="354">
        <f>B24</f>
        <v>0.03</v>
      </c>
      <c r="FH27" s="95" t="s">
        <v>349</v>
      </c>
      <c r="FI27" s="356">
        <f>B26</f>
        <v>0.4</v>
      </c>
      <c r="FW27" s="95" t="s">
        <v>350</v>
      </c>
      <c r="FX27" s="357">
        <v>1</v>
      </c>
      <c r="GL27" s="95" t="s">
        <v>351</v>
      </c>
      <c r="GM27" s="356">
        <f>B25</f>
        <v>10</v>
      </c>
      <c r="HA27" s="95" t="s">
        <v>352</v>
      </c>
      <c r="HB27" s="356">
        <f>B27</f>
        <v>0.24</v>
      </c>
      <c r="HD27" s="95" t="s">
        <v>52</v>
      </c>
      <c r="HE27" s="354">
        <f>0.693/HE28</f>
        <v>2.3099999999999999E-2</v>
      </c>
    </row>
    <row r="28" spans="1:214" s="95" customFormat="1" ht="14.25" x14ac:dyDescent="0.2">
      <c r="A28" s="95" t="s">
        <v>433</v>
      </c>
      <c r="B28" s="353">
        <f>B24</f>
        <v>0.03</v>
      </c>
      <c r="D28" s="402" t="s">
        <v>166</v>
      </c>
      <c r="E28" s="101" t="s">
        <v>17</v>
      </c>
      <c r="F28" s="102" t="s">
        <v>23</v>
      </c>
      <c r="G28" s="95" t="s">
        <v>145</v>
      </c>
      <c r="H28" s="95">
        <v>0.5</v>
      </c>
      <c r="I28" s="95" t="s">
        <v>146</v>
      </c>
      <c r="J28" s="95" t="s">
        <v>402</v>
      </c>
      <c r="K28" s="360">
        <f>(K31*K35*K29)+(K32*K34*K30)</f>
        <v>221340</v>
      </c>
      <c r="L28" s="95" t="s">
        <v>230</v>
      </c>
      <c r="M28" s="95" t="s">
        <v>91</v>
      </c>
      <c r="N28" s="95">
        <v>0.4</v>
      </c>
      <c r="P28" s="95" t="s">
        <v>91</v>
      </c>
      <c r="Q28" s="95">
        <v>0.4</v>
      </c>
      <c r="V28" s="95" t="s">
        <v>448</v>
      </c>
      <c r="W28" s="354">
        <f>B17</f>
        <v>30</v>
      </c>
      <c r="X28" s="95" t="s">
        <v>129</v>
      </c>
      <c r="Y28" s="95" t="s">
        <v>448</v>
      </c>
      <c r="Z28" s="354">
        <f>B17</f>
        <v>30</v>
      </c>
      <c r="AA28" s="95" t="s">
        <v>129</v>
      </c>
      <c r="AB28" s="95" t="s">
        <v>171</v>
      </c>
      <c r="AC28" s="354">
        <f t="shared" ref="AC28:AF29" si="0">8/24</f>
        <v>0.33333333333333331</v>
      </c>
      <c r="AD28" s="354">
        <f t="shared" si="0"/>
        <v>0.33333333333333331</v>
      </c>
      <c r="AE28" s="354">
        <f t="shared" si="0"/>
        <v>0.33333333333333331</v>
      </c>
      <c r="AF28" s="354">
        <f t="shared" si="0"/>
        <v>0.33333333333333331</v>
      </c>
      <c r="AG28" s="354">
        <f>8/24</f>
        <v>0.33333333333333331</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1</v>
      </c>
      <c r="CA28" s="95" t="s">
        <v>85</v>
      </c>
      <c r="CB28" s="95" t="s">
        <v>182</v>
      </c>
      <c r="CC28" s="95">
        <v>1</v>
      </c>
      <c r="CD28" s="95" t="s">
        <v>127</v>
      </c>
      <c r="CE28" s="95" t="s">
        <v>182</v>
      </c>
      <c r="CF28" s="95">
        <v>1</v>
      </c>
      <c r="CG28" s="95" t="s">
        <v>127</v>
      </c>
      <c r="CN28" s="95" t="s">
        <v>344</v>
      </c>
      <c r="CO28" s="357">
        <v>1</v>
      </c>
      <c r="CP28" s="95" t="s">
        <v>80</v>
      </c>
      <c r="CT28" s="95" t="s">
        <v>140</v>
      </c>
      <c r="CU28" s="95">
        <f>B37</f>
        <v>100</v>
      </c>
      <c r="CV28" s="95" t="s">
        <v>96</v>
      </c>
      <c r="CZ28" s="95" t="s">
        <v>135</v>
      </c>
      <c r="DA28" s="95">
        <f>B39</f>
        <v>2.5</v>
      </c>
      <c r="DB28" s="95" t="s">
        <v>59</v>
      </c>
      <c r="FW28" s="95" t="s">
        <v>203</v>
      </c>
      <c r="FX28" s="354">
        <v>30</v>
      </c>
      <c r="HD28" s="95" t="s">
        <v>448</v>
      </c>
      <c r="HE28" s="354">
        <f>B17</f>
        <v>30</v>
      </c>
      <c r="HF28" s="95" t="s">
        <v>129</v>
      </c>
    </row>
    <row r="29" spans="1:214" s="95" customFormat="1" ht="15" x14ac:dyDescent="0.2">
      <c r="A29" s="95" t="s">
        <v>432</v>
      </c>
      <c r="B29" s="353">
        <f>B25</f>
        <v>10</v>
      </c>
      <c r="D29" s="402" t="s">
        <v>166</v>
      </c>
      <c r="E29" s="403">
        <f>E36</f>
        <v>5.4411819117701467E-2</v>
      </c>
      <c r="F29" s="184"/>
      <c r="G29" s="95" t="s">
        <v>70</v>
      </c>
      <c r="H29" s="95">
        <v>350</v>
      </c>
      <c r="I29" s="95" t="s">
        <v>55</v>
      </c>
      <c r="J29" s="95" t="s">
        <v>400</v>
      </c>
      <c r="K29" s="354">
        <f>B42</f>
        <v>10.4</v>
      </c>
      <c r="L29" s="95" t="s">
        <v>413</v>
      </c>
      <c r="M29" s="95" t="s">
        <v>102</v>
      </c>
      <c r="N29" s="95">
        <v>1</v>
      </c>
      <c r="P29" s="95" t="s">
        <v>102</v>
      </c>
      <c r="Q29" s="95">
        <v>1</v>
      </c>
      <c r="V29" s="95" t="s">
        <v>54</v>
      </c>
      <c r="W29" s="95">
        <v>250</v>
      </c>
      <c r="X29" s="95" t="s">
        <v>63</v>
      </c>
      <c r="Y29" s="95" t="s">
        <v>54</v>
      </c>
      <c r="Z29" s="95">
        <f>Z41*Z42</f>
        <v>250</v>
      </c>
      <c r="AA29" s="95" t="s">
        <v>63</v>
      </c>
      <c r="AB29" s="95" t="s">
        <v>174</v>
      </c>
      <c r="AC29" s="354">
        <f t="shared" si="0"/>
        <v>0.33333333333333331</v>
      </c>
      <c r="AD29" s="354">
        <f t="shared" si="0"/>
        <v>0.33333333333333331</v>
      </c>
      <c r="AE29" s="354">
        <f t="shared" si="0"/>
        <v>0.33333333333333331</v>
      </c>
      <c r="AF29" s="354">
        <f t="shared" si="0"/>
        <v>0.33333333333333331</v>
      </c>
      <c r="AG29" s="354">
        <f>8/24</f>
        <v>0.33333333333333331</v>
      </c>
      <c r="AI29" s="95" t="s">
        <v>102</v>
      </c>
      <c r="AJ29" s="95">
        <v>1</v>
      </c>
      <c r="AL29" s="95" t="s">
        <v>102</v>
      </c>
      <c r="AM29" s="95">
        <v>1</v>
      </c>
      <c r="AR29" s="95" t="s">
        <v>102</v>
      </c>
      <c r="AS29" s="95">
        <v>1</v>
      </c>
      <c r="AU29" s="95" t="s">
        <v>91</v>
      </c>
      <c r="AV29" s="95">
        <v>1</v>
      </c>
      <c r="BA29" s="95" t="s">
        <v>102</v>
      </c>
      <c r="BB29" s="95">
        <v>1</v>
      </c>
      <c r="BD29" s="95" t="s">
        <v>102</v>
      </c>
      <c r="BE29" s="95">
        <v>1</v>
      </c>
      <c r="BJ29" s="95" t="s">
        <v>68</v>
      </c>
      <c r="BK29" s="95">
        <v>1</v>
      </c>
      <c r="BL29" s="95" t="s">
        <v>62</v>
      </c>
      <c r="BM29" s="95" t="s">
        <v>68</v>
      </c>
      <c r="BN29" s="95">
        <v>1</v>
      </c>
      <c r="BO29" s="95" t="s">
        <v>62</v>
      </c>
      <c r="BT29" s="404"/>
      <c r="BU29" s="355"/>
      <c r="BW29" s="95">
        <v>1000</v>
      </c>
      <c r="BX29" s="95" t="s">
        <v>173</v>
      </c>
      <c r="BY29" s="95" t="s">
        <v>259</v>
      </c>
      <c r="BZ29" s="95">
        <v>1</v>
      </c>
      <c r="CA29" s="95" t="s">
        <v>85</v>
      </c>
      <c r="CB29" s="95" t="s">
        <v>131</v>
      </c>
      <c r="CC29" s="354">
        <f>B10</f>
        <v>5.0900000000000002E-7</v>
      </c>
      <c r="CD29" s="95" t="s">
        <v>132</v>
      </c>
      <c r="CE29" s="95" t="s">
        <v>131</v>
      </c>
      <c r="CF29" s="354">
        <f>B12</f>
        <v>1.46E-6</v>
      </c>
      <c r="CG29" s="95" t="s">
        <v>132</v>
      </c>
      <c r="CT29" s="95" t="s">
        <v>240</v>
      </c>
      <c r="CU29" s="95">
        <f>B33</f>
        <v>10</v>
      </c>
      <c r="CV29" s="95" t="s">
        <v>83</v>
      </c>
      <c r="CZ29" s="95" t="s">
        <v>240</v>
      </c>
      <c r="DA29" s="95">
        <f>B33</f>
        <v>10</v>
      </c>
      <c r="DB29" s="95" t="s">
        <v>264</v>
      </c>
      <c r="FW29" s="95" t="s">
        <v>322</v>
      </c>
      <c r="FX29" s="354">
        <v>8.1999999999999993</v>
      </c>
      <c r="HD29" s="95" t="s">
        <v>172</v>
      </c>
      <c r="HE29" s="95">
        <v>0.3</v>
      </c>
    </row>
    <row r="30" spans="1:214" s="95" customFormat="1" ht="15.75" thickBot="1" x14ac:dyDescent="0.25">
      <c r="A30" s="95" t="s">
        <v>66</v>
      </c>
      <c r="B30" s="353">
        <v>0.04</v>
      </c>
      <c r="D30" s="405"/>
      <c r="E30" s="256" t="s">
        <v>34</v>
      </c>
      <c r="F30" s="257"/>
      <c r="G30" s="95" t="s">
        <v>78</v>
      </c>
      <c r="H30" s="95">
        <v>350</v>
      </c>
      <c r="I30" s="95" t="s">
        <v>55</v>
      </c>
      <c r="J30" s="95" t="s">
        <v>401</v>
      </c>
      <c r="K30" s="354">
        <f>B43</f>
        <v>28.5</v>
      </c>
      <c r="L30" s="95" t="s">
        <v>413</v>
      </c>
      <c r="M30" s="95" t="s">
        <v>113</v>
      </c>
      <c r="N30" s="95">
        <v>1</v>
      </c>
      <c r="P30" s="95" t="s">
        <v>113</v>
      </c>
      <c r="Q30" s="95">
        <v>1</v>
      </c>
      <c r="V30" s="95" t="s">
        <v>68</v>
      </c>
      <c r="W30" s="95">
        <v>25</v>
      </c>
      <c r="X30" s="95" t="s">
        <v>62</v>
      </c>
      <c r="Y30" s="95" t="s">
        <v>68</v>
      </c>
      <c r="Z30" s="95">
        <v>1</v>
      </c>
      <c r="AA30" s="95" t="s">
        <v>62</v>
      </c>
      <c r="AB30" s="95" t="s">
        <v>177</v>
      </c>
      <c r="AC30" s="95">
        <v>0.4</v>
      </c>
      <c r="AD30" s="95">
        <v>0.4</v>
      </c>
      <c r="AE30" s="95">
        <v>0.4</v>
      </c>
      <c r="AF30" s="95">
        <v>0.4</v>
      </c>
      <c r="AG30" s="95">
        <v>0.4</v>
      </c>
      <c r="AI30" s="95" t="s">
        <v>113</v>
      </c>
      <c r="AJ30" s="95">
        <f>N30</f>
        <v>1</v>
      </c>
      <c r="AL30" s="95" t="s">
        <v>113</v>
      </c>
      <c r="AM30" s="95">
        <f>Q30</f>
        <v>1</v>
      </c>
      <c r="AR30" s="95" t="s">
        <v>113</v>
      </c>
      <c r="AS30" s="95">
        <f>AJ30</f>
        <v>1</v>
      </c>
      <c r="AU30" s="95" t="s">
        <v>113</v>
      </c>
      <c r="AV30" s="95">
        <f>AM30</f>
        <v>1</v>
      </c>
      <c r="BA30" s="95" t="s">
        <v>113</v>
      </c>
      <c r="BB30" s="95">
        <f>AS30</f>
        <v>1</v>
      </c>
      <c r="BD30" s="95" t="s">
        <v>113</v>
      </c>
      <c r="BE30" s="95">
        <f>AV30</f>
        <v>1</v>
      </c>
      <c r="BT30" s="354"/>
      <c r="BW30" s="95">
        <v>1000</v>
      </c>
      <c r="BX30" s="95" t="s">
        <v>408</v>
      </c>
      <c r="BY30" s="95" t="s">
        <v>260</v>
      </c>
      <c r="BZ30" s="95">
        <v>1</v>
      </c>
      <c r="CA30" s="95" t="s">
        <v>85</v>
      </c>
      <c r="CT30" s="95" t="s">
        <v>241</v>
      </c>
      <c r="CU30" s="95">
        <f>B34</f>
        <v>20</v>
      </c>
      <c r="CV30" s="95" t="s">
        <v>83</v>
      </c>
      <c r="CZ30" s="95" t="s">
        <v>241</v>
      </c>
      <c r="DA30" s="95">
        <f>B34</f>
        <v>20</v>
      </c>
      <c r="DB30" s="95" t="s">
        <v>264</v>
      </c>
      <c r="FX30" s="95">
        <v>1000</v>
      </c>
      <c r="FY30" s="95" t="s">
        <v>230</v>
      </c>
      <c r="HD30" s="95" t="s">
        <v>175</v>
      </c>
      <c r="HE30" s="354">
        <v>1.5</v>
      </c>
    </row>
    <row r="31" spans="1:214" s="95" customFormat="1" ht="13.5" thickTop="1" x14ac:dyDescent="0.2">
      <c r="A31" s="95" t="s">
        <v>67</v>
      </c>
      <c r="B31" s="353">
        <v>0.2</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B5</f>
        <v>1.1900000000000001E-11</v>
      </c>
      <c r="X31" s="95" t="s">
        <v>76</v>
      </c>
      <c r="Y31" s="95" t="s">
        <v>75</v>
      </c>
      <c r="Z31" s="354">
        <f>B5</f>
        <v>1.1900000000000001E-11</v>
      </c>
      <c r="AA31" s="95" t="s">
        <v>76</v>
      </c>
      <c r="AB31" s="95" t="s">
        <v>160</v>
      </c>
      <c r="AC31" s="95">
        <v>25</v>
      </c>
      <c r="AD31" s="95">
        <v>25</v>
      </c>
      <c r="AE31" s="95">
        <v>25</v>
      </c>
      <c r="AF31" s="95">
        <v>1</v>
      </c>
      <c r="AG31" s="95">
        <v>1</v>
      </c>
      <c r="AH31" s="95" t="s">
        <v>94</v>
      </c>
      <c r="AI31" s="95" t="s">
        <v>124</v>
      </c>
      <c r="AJ31" s="95">
        <v>0</v>
      </c>
      <c r="AK31" s="95" t="s">
        <v>125</v>
      </c>
      <c r="AL31" s="95" t="s">
        <v>124</v>
      </c>
      <c r="AM31" s="95">
        <v>0</v>
      </c>
      <c r="AN31" s="95" t="s">
        <v>125</v>
      </c>
      <c r="AR31" s="95" t="s">
        <v>126</v>
      </c>
      <c r="AS31" s="95">
        <f>8/24</f>
        <v>0.33333333333333331</v>
      </c>
      <c r="AT31" s="95" t="s">
        <v>127</v>
      </c>
      <c r="AU31" s="95" t="s">
        <v>124</v>
      </c>
      <c r="AV31" s="95">
        <f>8/24</f>
        <v>0.33333333333333331</v>
      </c>
      <c r="AW31" s="95" t="s">
        <v>125</v>
      </c>
      <c r="BA31" s="95" t="s">
        <v>126</v>
      </c>
      <c r="BB31" s="95">
        <f>8/24</f>
        <v>0.33333333333333331</v>
      </c>
      <c r="BC31" s="95" t="s">
        <v>127</v>
      </c>
      <c r="BD31" s="95" t="s">
        <v>124</v>
      </c>
      <c r="BE31" s="95">
        <f>8/24</f>
        <v>0.33333333333333331</v>
      </c>
      <c r="BF31" s="95" t="s">
        <v>125</v>
      </c>
      <c r="BJ31" s="95" t="s">
        <v>102</v>
      </c>
      <c r="BK31" s="95">
        <v>1.5699999999999999E-5</v>
      </c>
      <c r="BM31" s="95" t="s">
        <v>102</v>
      </c>
      <c r="BN31" s="95">
        <v>1.35E-4</v>
      </c>
      <c r="BW31" s="95">
        <v>365</v>
      </c>
      <c r="BX31" s="95" t="s">
        <v>55</v>
      </c>
      <c r="BY31" s="95" t="s">
        <v>243</v>
      </c>
      <c r="BZ31" s="354">
        <v>8.5099999999999995E-2</v>
      </c>
      <c r="CT31" s="95" t="s">
        <v>70</v>
      </c>
      <c r="CU31" s="95">
        <v>350</v>
      </c>
      <c r="CV31" s="95" t="s">
        <v>55</v>
      </c>
      <c r="CZ31" s="95" t="s">
        <v>265</v>
      </c>
      <c r="DA31" s="354">
        <f>B40</f>
        <v>14.8</v>
      </c>
      <c r="DB31" s="95" t="s">
        <v>413</v>
      </c>
      <c r="HD31" s="95" t="s">
        <v>61</v>
      </c>
      <c r="HE31" s="95">
        <v>26</v>
      </c>
    </row>
    <row r="32" spans="1:214" s="95" customFormat="1" x14ac:dyDescent="0.2">
      <c r="D32" s="95" t="s">
        <v>54</v>
      </c>
      <c r="E32" s="95">
        <v>350</v>
      </c>
      <c r="F32" s="95" t="s">
        <v>55</v>
      </c>
      <c r="G32" s="95" t="s">
        <v>88</v>
      </c>
      <c r="H32" s="95">
        <v>6</v>
      </c>
      <c r="J32" s="95" t="s">
        <v>78</v>
      </c>
      <c r="K32" s="95">
        <v>350</v>
      </c>
      <c r="L32" s="95" t="s">
        <v>55</v>
      </c>
      <c r="M32" s="95" t="s">
        <v>131</v>
      </c>
      <c r="N32" s="354">
        <f>B10</f>
        <v>5.0900000000000002E-7</v>
      </c>
      <c r="O32" s="95" t="s">
        <v>478</v>
      </c>
      <c r="P32" s="95" t="s">
        <v>131</v>
      </c>
      <c r="Q32" s="354">
        <f>B12</f>
        <v>1.46E-6</v>
      </c>
      <c r="R32" s="95" t="s">
        <v>132</v>
      </c>
      <c r="V32" s="95" t="s">
        <v>84</v>
      </c>
      <c r="W32" s="95">
        <v>8</v>
      </c>
      <c r="X32" s="95" t="s">
        <v>85</v>
      </c>
      <c r="Y32" s="95" t="s">
        <v>84</v>
      </c>
      <c r="Z32" s="95">
        <v>8</v>
      </c>
      <c r="AA32" s="95" t="s">
        <v>85</v>
      </c>
      <c r="AB32" s="95" t="s">
        <v>52</v>
      </c>
      <c r="AC32" s="354">
        <f>0.693/AC33</f>
        <v>2.3099999999999999E-2</v>
      </c>
      <c r="AD32" s="354">
        <f>0.693/AD33</f>
        <v>2.3099999999999999E-2</v>
      </c>
      <c r="AE32" s="354">
        <f>0.693/AE33</f>
        <v>2.3099999999999999E-2</v>
      </c>
      <c r="AF32" s="354">
        <f>0.693/AF33</f>
        <v>2.3099999999999999E-2</v>
      </c>
      <c r="AG32" s="354">
        <f>0.693/AG33</f>
        <v>2.3099999999999999E-2</v>
      </c>
      <c r="AI32" s="95" t="s">
        <v>131</v>
      </c>
      <c r="AJ32" s="354">
        <f>B10</f>
        <v>5.0900000000000002E-7</v>
      </c>
      <c r="AK32" s="95" t="s">
        <v>132</v>
      </c>
      <c r="AL32" s="95" t="s">
        <v>131</v>
      </c>
      <c r="AM32" s="354">
        <f>B12</f>
        <v>1.46E-6</v>
      </c>
      <c r="AN32" s="95" t="s">
        <v>132</v>
      </c>
      <c r="AR32" s="95" t="s">
        <v>131</v>
      </c>
      <c r="AS32" s="354">
        <f>B10</f>
        <v>5.0900000000000002E-7</v>
      </c>
      <c r="AT32" s="95" t="s">
        <v>132</v>
      </c>
      <c r="AU32" s="95" t="s">
        <v>131</v>
      </c>
      <c r="AV32" s="354">
        <f>B12</f>
        <v>1.46E-6</v>
      </c>
      <c r="AW32" s="95" t="s">
        <v>132</v>
      </c>
      <c r="BA32" s="95" t="s">
        <v>131</v>
      </c>
      <c r="BB32" s="354">
        <f>B10</f>
        <v>5.0900000000000002E-7</v>
      </c>
      <c r="BC32" s="95" t="s">
        <v>132</v>
      </c>
      <c r="BD32" s="95" t="s">
        <v>131</v>
      </c>
      <c r="BE32" s="354">
        <f>B12</f>
        <v>1.46E-6</v>
      </c>
      <c r="BF32" s="95" t="s">
        <v>132</v>
      </c>
      <c r="BJ32" s="95" t="s">
        <v>113</v>
      </c>
      <c r="BK32" s="95">
        <v>0.80900000000000005</v>
      </c>
      <c r="BM32" s="95" t="s">
        <v>113</v>
      </c>
      <c r="BN32" s="95">
        <v>0.71099999999999997</v>
      </c>
      <c r="BT32" s="354"/>
      <c r="BW32" s="95">
        <v>8760</v>
      </c>
      <c r="BX32" s="95" t="s">
        <v>258</v>
      </c>
      <c r="BY32" s="95" t="s">
        <v>113</v>
      </c>
      <c r="BZ32" s="95">
        <v>0.74199999999999999</v>
      </c>
      <c r="CT32" s="95" t="s">
        <v>78</v>
      </c>
      <c r="CU32" s="95">
        <v>350</v>
      </c>
      <c r="CV32" s="95" t="s">
        <v>55</v>
      </c>
      <c r="CZ32" s="95" t="s">
        <v>178</v>
      </c>
      <c r="DA32" s="354">
        <f>B41</f>
        <v>56.2</v>
      </c>
      <c r="DB32" s="95" t="s">
        <v>413</v>
      </c>
      <c r="DY32" s="406"/>
      <c r="HD32" s="95" t="s">
        <v>68</v>
      </c>
      <c r="HE32" s="354">
        <v>70</v>
      </c>
    </row>
    <row r="33" spans="1:214" s="95" customFormat="1" ht="13.15" customHeight="1" x14ac:dyDescent="0.2">
      <c r="A33" s="95" t="s">
        <v>93</v>
      </c>
      <c r="B33" s="397">
        <v>10</v>
      </c>
      <c r="C33" s="95" t="s">
        <v>83</v>
      </c>
      <c r="D33" s="95" t="s">
        <v>415</v>
      </c>
      <c r="E33" s="354">
        <f>B16</f>
        <v>3.7400000000000001E-11</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B17</f>
        <v>30</v>
      </c>
      <c r="AD33" s="354">
        <f>B17</f>
        <v>30</v>
      </c>
      <c r="AE33" s="354">
        <f>B17</f>
        <v>30</v>
      </c>
      <c r="AF33" s="354">
        <f>B17</f>
        <v>30</v>
      </c>
      <c r="AG33" s="354">
        <f>B17</f>
        <v>30</v>
      </c>
      <c r="AH33" s="95" t="s">
        <v>129</v>
      </c>
      <c r="AI33" s="95" t="s">
        <v>151</v>
      </c>
      <c r="AJ33" s="95">
        <f>8/24</f>
        <v>0.33333333333333331</v>
      </c>
      <c r="AK33" s="95" t="s">
        <v>125</v>
      </c>
      <c r="AL33" s="95" t="s">
        <v>151</v>
      </c>
      <c r="AM33" s="95">
        <f>8/24</f>
        <v>0.33333333333333331</v>
      </c>
      <c r="AN33" s="95" t="s">
        <v>125</v>
      </c>
      <c r="AR33" s="95" t="s">
        <v>151</v>
      </c>
      <c r="AS33" s="95">
        <v>0</v>
      </c>
      <c r="AT33" s="95" t="s">
        <v>125</v>
      </c>
      <c r="AU33" s="95" t="s">
        <v>151</v>
      </c>
      <c r="AV33" s="95">
        <v>0</v>
      </c>
      <c r="AW33" s="95" t="s">
        <v>125</v>
      </c>
      <c r="BA33" s="95" t="s">
        <v>151</v>
      </c>
      <c r="BB33" s="95">
        <v>0</v>
      </c>
      <c r="BC33" s="95" t="s">
        <v>125</v>
      </c>
      <c r="BD33" s="95" t="s">
        <v>151</v>
      </c>
      <c r="BE33" s="95">
        <v>0</v>
      </c>
      <c r="BF33" s="95" t="s">
        <v>125</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266</v>
      </c>
      <c r="DA33" s="354">
        <f>B42</f>
        <v>10.4</v>
      </c>
      <c r="DB33" s="95" t="s">
        <v>413</v>
      </c>
      <c r="DY33" s="406"/>
      <c r="HD33" s="95" t="s">
        <v>428</v>
      </c>
      <c r="HE33" s="354">
        <f>1+((HE35*HE36*HE37)/(HE38*HE39))</f>
        <v>16.660043458695149</v>
      </c>
    </row>
    <row r="34" spans="1:214" s="95" customFormat="1" x14ac:dyDescent="0.2">
      <c r="A34" s="95" t="s">
        <v>103</v>
      </c>
      <c r="B34" s="397">
        <v>20</v>
      </c>
      <c r="C34" s="95" t="s">
        <v>83</v>
      </c>
      <c r="D34" s="95" t="s">
        <v>68</v>
      </c>
      <c r="E34" s="95">
        <v>26</v>
      </c>
      <c r="F34" s="95" t="s">
        <v>129</v>
      </c>
      <c r="G34" s="95" t="s">
        <v>179</v>
      </c>
      <c r="H34" s="95">
        <v>0.54</v>
      </c>
      <c r="I34" s="95" t="s">
        <v>180</v>
      </c>
      <c r="J34" s="95" t="s">
        <v>106</v>
      </c>
      <c r="K34" s="95">
        <v>20</v>
      </c>
      <c r="L34" s="95" t="s">
        <v>129</v>
      </c>
      <c r="V34" s="95" t="s">
        <v>104</v>
      </c>
      <c r="W34" s="95">
        <f>B35</f>
        <v>60</v>
      </c>
      <c r="X34" s="95" t="s">
        <v>83</v>
      </c>
      <c r="Y34" s="95" t="s">
        <v>104</v>
      </c>
      <c r="Z34" s="95">
        <f>B35</f>
        <v>60</v>
      </c>
      <c r="AA34" s="95" t="s">
        <v>83</v>
      </c>
      <c r="AC34" s="95">
        <v>365</v>
      </c>
      <c r="AD34" s="95">
        <v>365</v>
      </c>
      <c r="AE34" s="95">
        <v>365</v>
      </c>
      <c r="AF34" s="95">
        <v>365</v>
      </c>
      <c r="AG34" s="95">
        <v>365</v>
      </c>
      <c r="AH34" s="95" t="s">
        <v>189</v>
      </c>
      <c r="BJ34" s="95" t="s">
        <v>131</v>
      </c>
      <c r="BK34" s="354">
        <f>B10</f>
        <v>5.0900000000000002E-7</v>
      </c>
      <c r="BL34" s="95" t="s">
        <v>132</v>
      </c>
      <c r="BM34" s="95" t="s">
        <v>131</v>
      </c>
      <c r="BN34" s="354">
        <f>B12</f>
        <v>1.46E-6</v>
      </c>
      <c r="BO34" s="95" t="s">
        <v>132</v>
      </c>
      <c r="BZ34" s="95">
        <v>365</v>
      </c>
      <c r="CA34" s="95" t="s">
        <v>189</v>
      </c>
      <c r="CH34" s="483" t="s">
        <v>430</v>
      </c>
      <c r="CI34" s="483"/>
      <c r="CJ34" s="483"/>
      <c r="CK34" s="483"/>
      <c r="CL34" s="483"/>
      <c r="CT34" s="95" t="s">
        <v>106</v>
      </c>
      <c r="CU34" s="95">
        <v>34</v>
      </c>
      <c r="CV34" s="95" t="s">
        <v>129</v>
      </c>
      <c r="CZ34" s="95" t="s">
        <v>267</v>
      </c>
      <c r="DA34" s="354">
        <f>B43</f>
        <v>28.5</v>
      </c>
      <c r="DB34" s="95" t="s">
        <v>413</v>
      </c>
      <c r="DS34" s="354"/>
      <c r="DY34" s="406"/>
      <c r="EH34" s="354"/>
      <c r="HD34" s="95" t="s">
        <v>183</v>
      </c>
      <c r="HE34" s="95">
        <v>8.1999999999999993</v>
      </c>
    </row>
    <row r="35" spans="1:214" s="95" customFormat="1" ht="13.15" customHeight="1" x14ac:dyDescent="0.2">
      <c r="A35" s="95" t="s">
        <v>104</v>
      </c>
      <c r="B35" s="397">
        <v>60</v>
      </c>
      <c r="C35" s="95" t="s">
        <v>83</v>
      </c>
      <c r="D35" s="95" t="s">
        <v>178</v>
      </c>
      <c r="E35" s="95">
        <f>B44</f>
        <v>54</v>
      </c>
      <c r="F35" s="95" t="s">
        <v>96</v>
      </c>
      <c r="G35" s="95" t="s">
        <v>181</v>
      </c>
      <c r="H35" s="95">
        <v>0.71</v>
      </c>
      <c r="I35" s="95" t="s">
        <v>180</v>
      </c>
      <c r="J35" s="95" t="s">
        <v>88</v>
      </c>
      <c r="K35" s="95">
        <v>6</v>
      </c>
      <c r="L35" s="95" t="s">
        <v>129</v>
      </c>
      <c r="M35" s="407"/>
      <c r="N35" s="407"/>
      <c r="O35" s="407"/>
      <c r="P35" s="407"/>
      <c r="Q35" s="407"/>
      <c r="R35" s="407"/>
      <c r="V35" s="95" t="s">
        <v>115</v>
      </c>
      <c r="W35" s="354">
        <f>B14</f>
        <v>2.3899999999999998E-9</v>
      </c>
      <c r="X35" s="95" t="s">
        <v>116</v>
      </c>
      <c r="Y35" s="95" t="s">
        <v>115</v>
      </c>
      <c r="Z35" s="354">
        <f>B14</f>
        <v>2.3899999999999998E-9</v>
      </c>
      <c r="AA35" s="95" t="s">
        <v>116</v>
      </c>
      <c r="AB35" s="95" t="s">
        <v>38</v>
      </c>
      <c r="AC35" s="95">
        <f>(AC31*AC32)/(1-EXP(-AC32*AC31))</f>
        <v>1.3163889228973786</v>
      </c>
      <c r="AD35" s="95">
        <f>(AD31*AD32)/(1-EXP(-AD32*AD31))</f>
        <v>1.3163889228973786</v>
      </c>
      <c r="AE35" s="95">
        <f>(AE31*AE32)/(1-EXP(-AE32*AE31))</f>
        <v>1.3163889228973786</v>
      </c>
      <c r="AF35" s="95">
        <f>(AF31*AF32)/(1-EXP(-AF32*AF31))</f>
        <v>1.0115944671045347</v>
      </c>
      <c r="AG35" s="95">
        <f>(AG31*AG32)/(1-EXP(-AG32*AG31))</f>
        <v>1.0115944671045347</v>
      </c>
      <c r="BT35" s="354"/>
      <c r="BZ35" s="95">
        <v>1000</v>
      </c>
      <c r="CA35" s="95" t="s">
        <v>195</v>
      </c>
      <c r="CH35" s="483"/>
      <c r="CI35" s="483"/>
      <c r="CJ35" s="483"/>
      <c r="CK35" s="483"/>
      <c r="CL35" s="483"/>
      <c r="CT35" s="95" t="s">
        <v>88</v>
      </c>
      <c r="CU35" s="95">
        <v>6</v>
      </c>
      <c r="CV35" s="95" t="s">
        <v>129</v>
      </c>
      <c r="CZ35" s="95" t="s">
        <v>269</v>
      </c>
      <c r="DA35" s="95">
        <v>350</v>
      </c>
      <c r="DB35" s="95" t="s">
        <v>268</v>
      </c>
      <c r="DS35" s="354"/>
      <c r="DY35" s="406"/>
      <c r="EH35" s="354"/>
      <c r="HD35" s="95" t="s">
        <v>145</v>
      </c>
      <c r="HE35" s="408">
        <v>5</v>
      </c>
      <c r="HF35" s="95" t="s">
        <v>186</v>
      </c>
    </row>
    <row r="36" spans="1:214" s="95" customFormat="1" ht="13.5" thickBot="1" x14ac:dyDescent="0.25">
      <c r="A36" s="95" t="s">
        <v>117</v>
      </c>
      <c r="B36" s="397">
        <v>200</v>
      </c>
      <c r="C36" s="95" t="s">
        <v>96</v>
      </c>
      <c r="D36" s="95" t="s">
        <v>142</v>
      </c>
      <c r="E36" s="354">
        <f>E31/(E33*E32*E34*E35)</f>
        <v>5.4411819117701467E-2</v>
      </c>
      <c r="F36" s="95" t="s">
        <v>23</v>
      </c>
      <c r="G36" s="95" t="s">
        <v>184</v>
      </c>
      <c r="H36" s="95">
        <v>24</v>
      </c>
      <c r="I36" s="95" t="s">
        <v>85</v>
      </c>
      <c r="J36" s="95" t="s">
        <v>259</v>
      </c>
      <c r="K36" s="95">
        <v>24</v>
      </c>
      <c r="L36" s="95" t="s">
        <v>85</v>
      </c>
      <c r="M36" s="407"/>
      <c r="N36" s="407"/>
      <c r="O36" s="407"/>
      <c r="P36" s="407"/>
      <c r="Q36" s="407"/>
      <c r="R36" s="407"/>
      <c r="V36" s="95" t="s">
        <v>414</v>
      </c>
      <c r="W36" s="95">
        <v>1</v>
      </c>
      <c r="Y36" s="95" t="s">
        <v>414</v>
      </c>
      <c r="Z36" s="95">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270</v>
      </c>
      <c r="DA36" s="95">
        <v>350</v>
      </c>
      <c r="DB36" s="95" t="s">
        <v>268</v>
      </c>
      <c r="DS36" s="354"/>
      <c r="DY36" s="409"/>
      <c r="EH36" s="354"/>
      <c r="HD36" s="95" t="s">
        <v>187</v>
      </c>
      <c r="HE36" s="408">
        <v>5</v>
      </c>
      <c r="HF36" s="95" t="s">
        <v>188</v>
      </c>
    </row>
    <row r="37" spans="1:214" s="95" customFormat="1" ht="13.5" thickBot="1" x14ac:dyDescent="0.25">
      <c r="A37" s="95" t="s">
        <v>140</v>
      </c>
      <c r="B37" s="397">
        <v>100</v>
      </c>
      <c r="C37" s="95" t="s">
        <v>96</v>
      </c>
      <c r="G37" s="95" t="s">
        <v>184</v>
      </c>
      <c r="H37" s="95">
        <v>24</v>
      </c>
      <c r="I37" s="95" t="s">
        <v>85</v>
      </c>
      <c r="J37" s="95" t="s">
        <v>260</v>
      </c>
      <c r="K37" s="95">
        <v>24</v>
      </c>
      <c r="L37" s="95" t="s">
        <v>85</v>
      </c>
      <c r="V37" s="374" t="s">
        <v>134</v>
      </c>
      <c r="W37" s="375">
        <f>W26/((W32/W33)*W29*W30*W31*W34)</f>
        <v>0.67226890756302515</v>
      </c>
      <c r="X37" s="376" t="s">
        <v>37</v>
      </c>
      <c r="Y37" s="376" t="s">
        <v>134</v>
      </c>
      <c r="Z37" s="375">
        <f>(Z26*Z30*Z27)/((1-EXP(-Z27))*Z30*Z31*Z29*Z43*(Z32/Z33)*Z34)</f>
        <v>17.001587682429154</v>
      </c>
      <c r="AA37" s="377" t="s">
        <v>38</v>
      </c>
      <c r="AB37" s="374" t="s">
        <v>142</v>
      </c>
      <c r="AC37" s="375">
        <f>(AC5/(AC9*AC16*AC8*AC11*(1/AC6)))*AC35</f>
        <v>66.442343111539628</v>
      </c>
      <c r="AD37" s="375">
        <f>(AD5/(AD9*AD16*AD8*AD11*(1/AD6)))*AD35</f>
        <v>132.88468622307926</v>
      </c>
      <c r="AE37" s="375">
        <f>(AE5/(AE9*AE16*AE8*AE11*(1/AE6)))*AE35</f>
        <v>73.82482567948847</v>
      </c>
      <c r="AF37" s="375">
        <f>(AF5/(AF9*AF16*AF8*AF11*(1/AF6)))*AF35</f>
        <v>386.80602890910421</v>
      </c>
      <c r="AG37" s="410">
        <f>(AG5/(AG9*AG16*AG8*AG11*(1/AG6)))*AG35</f>
        <v>386.80602890910421</v>
      </c>
      <c r="BK37" s="483"/>
      <c r="BL37" s="483"/>
      <c r="BM37" s="483"/>
      <c r="BN37" s="483"/>
      <c r="BO37" s="483"/>
      <c r="CH37" s="483"/>
      <c r="CI37" s="483"/>
      <c r="CJ37" s="483"/>
      <c r="CK37" s="483"/>
      <c r="CL37" s="483"/>
      <c r="CT37" s="95" t="s">
        <v>260</v>
      </c>
      <c r="CU37" s="95">
        <v>24</v>
      </c>
      <c r="CV37" s="95" t="s">
        <v>85</v>
      </c>
      <c r="CZ37" s="95" t="s">
        <v>246</v>
      </c>
      <c r="DA37" s="95">
        <v>6</v>
      </c>
      <c r="DB37" s="95" t="s">
        <v>129</v>
      </c>
      <c r="DS37" s="354"/>
      <c r="DY37" s="406"/>
      <c r="EH37" s="354"/>
      <c r="HD37" s="95" t="s">
        <v>191</v>
      </c>
      <c r="HE37" s="408">
        <f>(0.0112*HE39*HE39)^0.5+HE40*(1-EXP((-HE38*HE39)/(HE35*HE36*HE40)))</f>
        <v>6.2013772096432787</v>
      </c>
      <c r="HF37" s="95" t="s">
        <v>192</v>
      </c>
    </row>
    <row r="38" spans="1:214" s="95" customFormat="1" ht="14.25" thickTop="1" thickBot="1" x14ac:dyDescent="0.25">
      <c r="A38" s="95" t="s">
        <v>451</v>
      </c>
      <c r="B38" s="397">
        <v>0.78</v>
      </c>
      <c r="D38" s="401" t="s">
        <v>3</v>
      </c>
      <c r="E38" s="19"/>
      <c r="F38" s="20" t="s">
        <v>15</v>
      </c>
      <c r="G38" s="95" t="s">
        <v>167</v>
      </c>
      <c r="H38" s="95">
        <v>1</v>
      </c>
      <c r="I38" s="95" t="s">
        <v>168</v>
      </c>
      <c r="J38" s="95" t="s">
        <v>399</v>
      </c>
      <c r="K38" s="95">
        <v>0.25</v>
      </c>
      <c r="V38" s="383" t="s">
        <v>139</v>
      </c>
      <c r="W38" s="384">
        <f>(W26)/((W32/W33)*W29*W30*W35*(1/365))</f>
        <v>73.305439330543948</v>
      </c>
      <c r="X38" s="385" t="s">
        <v>37</v>
      </c>
      <c r="Y38" s="385" t="s">
        <v>139</v>
      </c>
      <c r="Z38" s="384">
        <f>(Z26*Z30*Z27)/((1-EXP(-Z27*Z30))*Z35*Z29*Z43*(Z32/Z33)*Z36*(Z43/Z44))</f>
        <v>1853.8844208861349</v>
      </c>
      <c r="AA38" s="386" t="s">
        <v>38</v>
      </c>
      <c r="AB38" s="411" t="s">
        <v>134</v>
      </c>
      <c r="AC38" s="354">
        <f>(AC5/(AC24*AC20*AC8*AC11*(1/AC40)*((8/1)/(24/1))*AC36))*AC35</f>
        <v>1202975.4671760455</v>
      </c>
      <c r="AD38" s="354">
        <f>(AD5/(AD24*AD20*AD8*((8/1)/(24/1))*AD11*(1/AD40)*AD36))*AD35</f>
        <v>1202975.4671760453</v>
      </c>
      <c r="AE38" s="354">
        <f>(AE5/(AE24*AE20*AE8*((8/1)/(24/1))*AE11*(1/AE40)*AE36))*AE35</f>
        <v>1336639.4079733838</v>
      </c>
      <c r="AF38" s="354">
        <f>(AF5/(AF24*AF20*AF8*AF11*(1/AF41)*AF28*AF19*AF36))*AF35</f>
        <v>13153.816235053151</v>
      </c>
      <c r="AG38" s="413">
        <v>432</v>
      </c>
      <c r="BK38" s="483"/>
      <c r="BL38" s="483"/>
      <c r="BM38" s="483"/>
      <c r="BN38" s="483"/>
      <c r="BO38" s="483"/>
      <c r="CT38" s="95" t="s">
        <v>420</v>
      </c>
      <c r="CU38" s="95">
        <v>1</v>
      </c>
      <c r="CZ38" s="95" t="s">
        <v>247</v>
      </c>
      <c r="DA38" s="95">
        <v>34</v>
      </c>
      <c r="DB38" s="95" t="s">
        <v>129</v>
      </c>
      <c r="DY38" s="406"/>
      <c r="HD38" s="95" t="s">
        <v>194</v>
      </c>
      <c r="HE38" s="408">
        <v>0.18</v>
      </c>
      <c r="HF38" s="95" t="s">
        <v>186</v>
      </c>
    </row>
    <row r="39" spans="1:214" s="95" customFormat="1" ht="13.5" thickBot="1" x14ac:dyDescent="0.25">
      <c r="A39" s="95" t="s">
        <v>452</v>
      </c>
      <c r="B39" s="397">
        <v>2.5</v>
      </c>
      <c r="D39" s="402" t="s">
        <v>166</v>
      </c>
      <c r="E39" s="101" t="s">
        <v>17</v>
      </c>
      <c r="F39" s="102" t="s">
        <v>25</v>
      </c>
      <c r="G39" s="95" t="s">
        <v>169</v>
      </c>
      <c r="H39" s="95">
        <v>1</v>
      </c>
      <c r="I39" s="95" t="s">
        <v>168</v>
      </c>
      <c r="J39" s="95" t="s">
        <v>171</v>
      </c>
      <c r="K39" s="95">
        <v>1.752</v>
      </c>
      <c r="L39" s="95" t="s">
        <v>127</v>
      </c>
      <c r="V39" s="374" t="s">
        <v>134</v>
      </c>
      <c r="W39" s="375">
        <f>(W26*W27*W30)/((W32/W33)*(1-EXP(-W27*W30))*W31*W34*W29*W30)</f>
        <v>0.88496734312428804</v>
      </c>
      <c r="X39" s="376" t="s">
        <v>38</v>
      </c>
      <c r="Y39" s="376" t="s">
        <v>134</v>
      </c>
      <c r="Z39" s="375">
        <f>Z26/((Z31*Z29*Z43*(Z32/Z33)*Z34))</f>
        <v>16.806722689075631</v>
      </c>
      <c r="AA39" s="377" t="s">
        <v>37</v>
      </c>
      <c r="AB39" s="385" t="s">
        <v>197</v>
      </c>
      <c r="AC39" s="384">
        <f>(AC5/(AC23*AC22*AC29*AC19*AC8*(1/AC34)*AC11))*AC35</f>
        <v>9.0799739878590843E-2</v>
      </c>
      <c r="AD39" s="384">
        <f>(AD5/(AD23*AD22*AD29*AD21*AD8*(1/AD34)*AD11))*AD35</f>
        <v>0.22699934969647712</v>
      </c>
      <c r="AE39" s="384">
        <f>(AE5/(AE23*AE22*AE29*AE19*AE8*(1/AE34)*AE11))*AE35</f>
        <v>0.10088859986510094</v>
      </c>
      <c r="AF39" s="384">
        <f>(AF5/(AF23*AF22*(AF28+AF29*AF21)*AF8*(1/AF34)*AF11))*AF35</f>
        <v>1.2460021838914122</v>
      </c>
      <c r="AG39" s="414">
        <f>(AG5/(AG24*AG20*AG8*AG11*(1/AG42)*(AG28+(AG29*AG30))*AG36))*AG35</f>
        <v>437862.0582576897</v>
      </c>
      <c r="BK39" s="483"/>
      <c r="BL39" s="483"/>
      <c r="BM39" s="483"/>
      <c r="BN39" s="483"/>
      <c r="BO39" s="483"/>
      <c r="BT39" s="404"/>
      <c r="BU39" s="355"/>
      <c r="CT39" s="95" t="s">
        <v>171</v>
      </c>
      <c r="CU39" s="95">
        <v>12.167999999999999</v>
      </c>
      <c r="CV39" s="95" t="s">
        <v>127</v>
      </c>
      <c r="CZ39" s="95" t="s">
        <v>248</v>
      </c>
      <c r="DA39" s="95">
        <v>40</v>
      </c>
      <c r="DB39" s="95" t="s">
        <v>129</v>
      </c>
      <c r="DY39" s="406"/>
      <c r="HD39" s="95" t="s">
        <v>196</v>
      </c>
      <c r="HE39" s="408">
        <v>55</v>
      </c>
      <c r="HF39" s="95" t="s">
        <v>192</v>
      </c>
    </row>
    <row r="40" spans="1:214" s="95" customFormat="1" ht="15" customHeight="1" thickBot="1" x14ac:dyDescent="0.25">
      <c r="A40" s="95" t="s">
        <v>404</v>
      </c>
      <c r="B40" s="353">
        <v>14.8</v>
      </c>
      <c r="C40" s="95" t="s">
        <v>413</v>
      </c>
      <c r="D40" s="402" t="s">
        <v>193</v>
      </c>
      <c r="E40" s="403">
        <f>E50</f>
        <v>2.7205909558850733E-2</v>
      </c>
      <c r="F40" s="184"/>
      <c r="H40" s="95">
        <f>1/1000</f>
        <v>1E-3</v>
      </c>
      <c r="I40" s="95" t="s">
        <v>170</v>
      </c>
      <c r="J40" s="95" t="s">
        <v>174</v>
      </c>
      <c r="K40" s="95">
        <v>16.416</v>
      </c>
      <c r="L40" s="95" t="s">
        <v>127</v>
      </c>
      <c r="V40" s="383" t="s">
        <v>139</v>
      </c>
      <c r="W40" s="384">
        <f>(W26*W27*W30)/((W32/W33)*(1-EXP(-W27*W30))*W35*W29*W30*(1/365))</f>
        <v>96.498468322853867</v>
      </c>
      <c r="X40" s="385" t="s">
        <v>38</v>
      </c>
      <c r="Y40" s="385" t="s">
        <v>139</v>
      </c>
      <c r="Z40" s="384">
        <f>Z26/(Z35*Z29*(1/Z44)*Z43*(Z32/Z33)*Z36)</f>
        <v>1832.6359832635983</v>
      </c>
      <c r="AA40" s="386" t="s">
        <v>37</v>
      </c>
      <c r="AB40" s="95" t="s">
        <v>164</v>
      </c>
      <c r="AC40" s="354">
        <f>B18</f>
        <v>1359344473.5814338</v>
      </c>
      <c r="AD40" s="354">
        <f>B18</f>
        <v>1359344473.5814338</v>
      </c>
      <c r="AE40" s="354">
        <f>B18</f>
        <v>1359344473.5814338</v>
      </c>
      <c r="AG40" s="354">
        <f>(AG5/(AG23*AG22*(AG28+AG29*AG21)*AG8*(1/AG34)*AG11))*AG35</f>
        <v>1.2460021838914122</v>
      </c>
      <c r="BT40" s="404"/>
      <c r="BU40" s="355"/>
      <c r="CT40" s="95" t="s">
        <v>174</v>
      </c>
      <c r="CU40" s="95">
        <v>10.007999999999999</v>
      </c>
      <c r="CV40" s="95" t="s">
        <v>127</v>
      </c>
      <c r="CZ40" s="95" t="s">
        <v>446</v>
      </c>
      <c r="DA40" s="95">
        <v>24</v>
      </c>
      <c r="DB40" s="95" t="s">
        <v>85</v>
      </c>
      <c r="DY40" s="406"/>
      <c r="HD40" s="95" t="s">
        <v>198</v>
      </c>
      <c r="HE40" s="408">
        <v>5</v>
      </c>
      <c r="HF40" s="95" t="s">
        <v>192</v>
      </c>
    </row>
    <row r="41" spans="1:214" s="95" customFormat="1" ht="15" thickBot="1" x14ac:dyDescent="0.25">
      <c r="A41" s="95" t="s">
        <v>405</v>
      </c>
      <c r="B41" s="353">
        <v>56.2</v>
      </c>
      <c r="C41" s="95" t="s">
        <v>413</v>
      </c>
      <c r="D41" s="405" t="s">
        <v>10</v>
      </c>
      <c r="E41" s="256" t="s">
        <v>34</v>
      </c>
      <c r="F41" s="257"/>
      <c r="H41" s="95">
        <v>1000</v>
      </c>
      <c r="I41" s="95" t="s">
        <v>173</v>
      </c>
      <c r="J41" s="95" t="s">
        <v>177</v>
      </c>
      <c r="K41" s="95">
        <v>0.4</v>
      </c>
      <c r="Y41" s="95" t="s">
        <v>411</v>
      </c>
      <c r="Z41" s="95">
        <v>50</v>
      </c>
      <c r="AA41" s="95" t="s">
        <v>211</v>
      </c>
      <c r="AB41" s="415" t="s">
        <v>201</v>
      </c>
      <c r="AF41" s="416">
        <f>B19</f>
        <v>773681.6396651821</v>
      </c>
      <c r="AH41" s="415" t="s">
        <v>165</v>
      </c>
      <c r="BT41" s="354"/>
      <c r="CT41" s="95" t="s">
        <v>177</v>
      </c>
      <c r="CU41" s="95">
        <v>0.4</v>
      </c>
      <c r="CZ41" s="95" t="s">
        <v>447</v>
      </c>
      <c r="DA41" s="95">
        <v>24</v>
      </c>
      <c r="DB41" s="95" t="s">
        <v>85</v>
      </c>
      <c r="DY41" s="406"/>
      <c r="HD41" s="95" t="s">
        <v>199</v>
      </c>
      <c r="HE41" s="408">
        <v>5</v>
      </c>
      <c r="HF41" s="95" t="s">
        <v>192</v>
      </c>
    </row>
    <row r="42" spans="1:214" s="95" customFormat="1" ht="13.9" customHeight="1" thickTop="1" x14ac:dyDescent="0.2">
      <c r="A42" s="95" t="s">
        <v>400</v>
      </c>
      <c r="B42" s="353">
        <v>10.4</v>
      </c>
      <c r="C42" s="95" t="s">
        <v>413</v>
      </c>
      <c r="D42" s="95" t="s">
        <v>46</v>
      </c>
      <c r="E42" s="354">
        <v>9.9999999999999995E-7</v>
      </c>
      <c r="H42" s="95">
        <v>1000</v>
      </c>
      <c r="I42" s="95" t="s">
        <v>408</v>
      </c>
      <c r="J42" s="95" t="s">
        <v>242</v>
      </c>
      <c r="K42" s="95">
        <v>0.4</v>
      </c>
      <c r="Y42" s="95" t="s">
        <v>410</v>
      </c>
      <c r="Z42" s="95">
        <v>5</v>
      </c>
      <c r="AA42" s="95" t="s">
        <v>327</v>
      </c>
      <c r="AB42" s="415" t="s">
        <v>202</v>
      </c>
      <c r="AF42" s="415"/>
      <c r="AG42" s="416">
        <f>B20</f>
        <v>36055860.959050171</v>
      </c>
      <c r="AH42" s="415"/>
      <c r="AI42" s="415"/>
      <c r="AJ42" s="415"/>
      <c r="AK42" s="415"/>
      <c r="CT42" s="95" t="s">
        <v>242</v>
      </c>
      <c r="CU42" s="95">
        <v>0.4</v>
      </c>
      <c r="CZ42" s="95" t="s">
        <v>167</v>
      </c>
      <c r="DA42" s="95">
        <v>1</v>
      </c>
      <c r="DB42" s="95" t="s">
        <v>271</v>
      </c>
    </row>
    <row r="43" spans="1:214" s="95" customFormat="1" ht="13.15" customHeight="1" x14ac:dyDescent="0.2">
      <c r="A43" s="95" t="s">
        <v>401</v>
      </c>
      <c r="B43" s="353">
        <v>28.5</v>
      </c>
      <c r="C43" s="95" t="s">
        <v>413</v>
      </c>
      <c r="D43" s="95" t="s">
        <v>54</v>
      </c>
      <c r="E43" s="95">
        <v>350</v>
      </c>
      <c r="F43" s="95" t="s">
        <v>55</v>
      </c>
      <c r="G43" s="95" t="s">
        <v>399</v>
      </c>
      <c r="H43" s="95">
        <v>0.25</v>
      </c>
      <c r="J43" s="95" t="s">
        <v>243</v>
      </c>
      <c r="K43" s="95">
        <v>1</v>
      </c>
      <c r="Y43" s="95" t="s">
        <v>328</v>
      </c>
      <c r="Z43" s="95">
        <v>1</v>
      </c>
      <c r="AA43" s="95" t="s">
        <v>276</v>
      </c>
      <c r="AF43" s="483" t="s">
        <v>429</v>
      </c>
      <c r="AG43" s="483"/>
      <c r="AH43" s="483"/>
      <c r="AI43" s="415"/>
      <c r="AJ43" s="415"/>
      <c r="AK43" s="415"/>
      <c r="BT43" s="354"/>
      <c r="CT43" s="95" t="s">
        <v>243</v>
      </c>
      <c r="CU43" s="95">
        <v>1</v>
      </c>
      <c r="CZ43" s="95" t="s">
        <v>169</v>
      </c>
      <c r="DA43" s="95">
        <v>1</v>
      </c>
      <c r="DB43" s="95" t="s">
        <v>271</v>
      </c>
    </row>
    <row r="44" spans="1:214" s="95" customFormat="1" x14ac:dyDescent="0.2">
      <c r="A44" s="95" t="s">
        <v>178</v>
      </c>
      <c r="B44" s="397">
        <v>54</v>
      </c>
      <c r="C44" s="95" t="s">
        <v>96</v>
      </c>
      <c r="D44" s="95" t="s">
        <v>415</v>
      </c>
      <c r="E44" s="354">
        <f>B16</f>
        <v>3.7400000000000001E-11</v>
      </c>
      <c r="F44" s="95" t="s">
        <v>176</v>
      </c>
      <c r="H44" s="95">
        <v>365</v>
      </c>
      <c r="I44" s="95" t="s">
        <v>55</v>
      </c>
      <c r="J44" s="95" t="s">
        <v>113</v>
      </c>
      <c r="K44" s="95">
        <v>1</v>
      </c>
      <c r="Z44" s="95">
        <v>365</v>
      </c>
      <c r="AA44" s="95" t="s">
        <v>161</v>
      </c>
      <c r="AF44" s="483"/>
      <c r="AG44" s="483"/>
      <c r="AH44" s="483"/>
      <c r="CT44" s="95" t="s">
        <v>113</v>
      </c>
      <c r="CU44" s="95">
        <v>1</v>
      </c>
      <c r="CZ44" s="95" t="s">
        <v>272</v>
      </c>
      <c r="DA44" s="95">
        <v>0.54</v>
      </c>
      <c r="DB44" s="95" t="s">
        <v>274</v>
      </c>
    </row>
    <row r="45" spans="1:214" s="95" customFormat="1" ht="12.75" customHeight="1" x14ac:dyDescent="0.2">
      <c r="A45" s="95" t="s">
        <v>278</v>
      </c>
      <c r="B45" s="397">
        <v>256</v>
      </c>
      <c r="C45" s="95" t="s">
        <v>413</v>
      </c>
      <c r="D45" s="95" t="s">
        <v>68</v>
      </c>
      <c r="E45" s="95">
        <v>26</v>
      </c>
      <c r="F45" s="95" t="s">
        <v>129</v>
      </c>
      <c r="H45" s="95">
        <v>8760</v>
      </c>
      <c r="I45" s="95" t="s">
        <v>258</v>
      </c>
      <c r="J45" s="95" t="s">
        <v>185</v>
      </c>
      <c r="K45" s="95">
        <v>26</v>
      </c>
      <c r="L45" s="95" t="s">
        <v>94</v>
      </c>
      <c r="AB45" s="415"/>
      <c r="AC45" s="415"/>
      <c r="AF45" s="483"/>
      <c r="AG45" s="483"/>
      <c r="AH45" s="483"/>
      <c r="AI45" s="415"/>
      <c r="AJ45" s="415"/>
      <c r="AK45" s="415"/>
      <c r="CT45" s="95" t="s">
        <v>329</v>
      </c>
      <c r="CU45" s="95">
        <v>40</v>
      </c>
      <c r="CV45" s="95" t="s">
        <v>94</v>
      </c>
      <c r="CZ45" s="95" t="s">
        <v>273</v>
      </c>
      <c r="DA45" s="95">
        <v>0.71</v>
      </c>
      <c r="DB45" s="95" t="s">
        <v>274</v>
      </c>
    </row>
    <row r="46" spans="1:214" s="95" customFormat="1" x14ac:dyDescent="0.2">
      <c r="A46" s="95" t="s">
        <v>279</v>
      </c>
      <c r="B46" s="397">
        <v>615</v>
      </c>
      <c r="C46" s="95" t="s">
        <v>413</v>
      </c>
      <c r="D46" s="95" t="s">
        <v>178</v>
      </c>
      <c r="E46" s="95">
        <f>B44</f>
        <v>54</v>
      </c>
      <c r="F46" s="95" t="s">
        <v>96</v>
      </c>
      <c r="G46" s="95" t="s">
        <v>49</v>
      </c>
      <c r="H46" s="95">
        <f>H48</f>
        <v>0.04</v>
      </c>
      <c r="K46" s="95">
        <v>365</v>
      </c>
      <c r="L46" s="95" t="s">
        <v>189</v>
      </c>
      <c r="AB46" s="415"/>
      <c r="AC46" s="417"/>
      <c r="AI46" s="415"/>
      <c r="AJ46" s="415"/>
      <c r="AK46" s="415"/>
      <c r="CU46" s="95">
        <v>365</v>
      </c>
      <c r="CV46" s="95" t="s">
        <v>189</v>
      </c>
      <c r="DA46" s="95">
        <v>365</v>
      </c>
      <c r="DB46" s="95" t="s">
        <v>268</v>
      </c>
    </row>
    <row r="47" spans="1:214" s="95" customFormat="1" ht="15" x14ac:dyDescent="0.2">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c r="CZ47" s="95" t="s">
        <v>145</v>
      </c>
      <c r="DA47" s="95">
        <v>0.5</v>
      </c>
      <c r="DB47" s="95" t="s">
        <v>275</v>
      </c>
    </row>
    <row r="48" spans="1:214" s="95" customFormat="1" x14ac:dyDescent="0.2">
      <c r="D48" s="95" t="s">
        <v>203</v>
      </c>
      <c r="E48" s="95">
        <f>B22</f>
        <v>2000</v>
      </c>
      <c r="F48" s="95" t="s">
        <v>48</v>
      </c>
      <c r="G48" s="95" t="s">
        <v>66</v>
      </c>
      <c r="H48" s="354">
        <f>B30</f>
        <v>0.04</v>
      </c>
      <c r="K48" s="95">
        <v>1000</v>
      </c>
      <c r="L48" s="95" t="s">
        <v>53</v>
      </c>
      <c r="W48" s="404"/>
      <c r="X48" s="355"/>
      <c r="Y48" s="355"/>
      <c r="Z48" s="355"/>
      <c r="AA48" s="355"/>
      <c r="AB48" s="415"/>
      <c r="AC48" s="415"/>
      <c r="AF48" s="418"/>
      <c r="AG48" s="415"/>
      <c r="AH48" s="415"/>
      <c r="AI48" s="415"/>
      <c r="AJ48" s="415"/>
      <c r="AK48" s="415"/>
      <c r="CU48" s="95">
        <v>1000</v>
      </c>
      <c r="CV48" s="95" t="s">
        <v>53</v>
      </c>
      <c r="DA48" s="95">
        <v>1</v>
      </c>
      <c r="DB48" s="95" t="s">
        <v>276</v>
      </c>
    </row>
    <row r="49" spans="4:106" s="95" customFormat="1" x14ac:dyDescent="0.2">
      <c r="D49" s="95" t="s">
        <v>205</v>
      </c>
      <c r="E49" s="95">
        <v>1</v>
      </c>
      <c r="F49" s="95" t="s">
        <v>206</v>
      </c>
      <c r="G49" s="95" t="s">
        <v>73</v>
      </c>
      <c r="H49" s="95">
        <v>0.26</v>
      </c>
      <c r="J49" s="95" t="s">
        <v>49</v>
      </c>
      <c r="K49" s="95">
        <f>K51</f>
        <v>0.04</v>
      </c>
      <c r="W49" s="354"/>
      <c r="AB49" s="415"/>
      <c r="AC49" s="415"/>
      <c r="AF49" s="418"/>
      <c r="AG49" s="415"/>
      <c r="AH49" s="415"/>
      <c r="AI49" s="415"/>
      <c r="AJ49" s="415"/>
      <c r="AK49" s="415"/>
      <c r="BT49" s="354"/>
      <c r="DA49" s="95">
        <v>8760</v>
      </c>
      <c r="DB49" s="95" t="s">
        <v>258</v>
      </c>
    </row>
    <row r="50" spans="4:106" s="95" customFormat="1" x14ac:dyDescent="0.2">
      <c r="D50" s="95" t="s">
        <v>142</v>
      </c>
      <c r="E50" s="354">
        <f>E42/(E44*E43*E45*E46*E48*E49*(1/E47))</f>
        <v>2.7205909558850733E-2</v>
      </c>
      <c r="G50" s="95" t="s">
        <v>47</v>
      </c>
      <c r="H50" s="354">
        <f>(H53*H54*H55*((1-EXP(-H56*H57))))/(H58*H56)</f>
        <v>1.0503822937671079</v>
      </c>
      <c r="I50" s="95" t="s">
        <v>48</v>
      </c>
      <c r="J50" s="95" t="s">
        <v>57</v>
      </c>
      <c r="K50" s="95">
        <f>K52</f>
        <v>0.26</v>
      </c>
      <c r="W50" s="354"/>
      <c r="AB50" s="415"/>
      <c r="AC50" s="415"/>
      <c r="AF50" s="418"/>
      <c r="AG50" s="415"/>
      <c r="AH50" s="415"/>
      <c r="AI50" s="415"/>
      <c r="AJ50" s="415"/>
      <c r="AK50" s="415"/>
      <c r="BW50" s="354"/>
      <c r="DA50" s="95">
        <v>1000</v>
      </c>
      <c r="DB50" s="95" t="s">
        <v>195</v>
      </c>
    </row>
    <row r="51" spans="4:106" s="95" customFormat="1" x14ac:dyDescent="0.2">
      <c r="G51" s="95" t="s">
        <v>56</v>
      </c>
      <c r="H51" s="354">
        <f>(H53*H54*H59*((1-EXP(-H56*H57))))/(H58*H56)</f>
        <v>6.8274849094862002</v>
      </c>
      <c r="I51" s="95" t="s">
        <v>48</v>
      </c>
      <c r="J51" s="95" t="s">
        <v>66</v>
      </c>
      <c r="K51" s="354">
        <f>B30</f>
        <v>0.04</v>
      </c>
      <c r="AB51" s="415"/>
      <c r="AC51" s="415"/>
      <c r="AF51" s="418"/>
      <c r="AG51" s="415"/>
      <c r="BW51" s="354"/>
    </row>
    <row r="52" spans="4:106" s="95" customFormat="1" x14ac:dyDescent="0.2">
      <c r="G52" s="95" t="s">
        <v>65</v>
      </c>
      <c r="H52" s="354">
        <f>(H53*H54*H60*H66*((1-EXP(-H61*H62))))/(H63*H61)</f>
        <v>3.6385326157733249</v>
      </c>
      <c r="I52" s="95" t="s">
        <v>48</v>
      </c>
      <c r="J52" s="95" t="s">
        <v>73</v>
      </c>
      <c r="K52" s="95">
        <v>0.26</v>
      </c>
      <c r="AB52" s="415"/>
      <c r="AC52" s="415"/>
      <c r="AF52" s="418"/>
      <c r="AG52" s="415"/>
      <c r="BW52" s="354"/>
    </row>
    <row r="53" spans="4:106" s="95" customFormat="1" x14ac:dyDescent="0.2">
      <c r="G53" s="95" t="s">
        <v>71</v>
      </c>
      <c r="H53" s="95">
        <v>3.62</v>
      </c>
      <c r="I53" s="95" t="s">
        <v>72</v>
      </c>
      <c r="W53" s="354"/>
      <c r="AB53" s="415"/>
      <c r="AC53" s="415"/>
      <c r="AF53" s="418"/>
      <c r="AG53" s="415"/>
    </row>
    <row r="54" spans="4:106" s="95" customFormat="1" x14ac:dyDescent="0.2">
      <c r="G54" s="95" t="s">
        <v>79</v>
      </c>
      <c r="H54" s="95">
        <v>0.25</v>
      </c>
      <c r="I54" s="95" t="s">
        <v>80</v>
      </c>
      <c r="AB54" s="415"/>
      <c r="AC54" s="415"/>
      <c r="AF54" s="418"/>
      <c r="AG54" s="415"/>
    </row>
    <row r="55" spans="4:106" s="95" customFormat="1" x14ac:dyDescent="0.2">
      <c r="G55" s="95" t="s">
        <v>66</v>
      </c>
      <c r="H55" s="354">
        <f>B30</f>
        <v>0.04</v>
      </c>
      <c r="AB55" s="415"/>
      <c r="AC55" s="415"/>
      <c r="AD55" s="415"/>
      <c r="AF55" s="418"/>
      <c r="AG55" s="415"/>
      <c r="AH55" s="415"/>
      <c r="AI55" s="415"/>
      <c r="AJ55" s="415"/>
      <c r="AK55" s="415"/>
    </row>
    <row r="56" spans="4:106" s="95" customFormat="1" x14ac:dyDescent="0.2">
      <c r="G56" s="95" t="s">
        <v>99</v>
      </c>
      <c r="H56" s="95">
        <f>H64+H65</f>
        <v>8.9999999999999992E-5</v>
      </c>
      <c r="AB56" s="415"/>
      <c r="AC56" s="415"/>
      <c r="AD56" s="415"/>
      <c r="AF56" s="418"/>
      <c r="AG56" s="415"/>
      <c r="AH56" s="415"/>
      <c r="AI56" s="415"/>
      <c r="AJ56" s="415"/>
      <c r="AK56" s="415"/>
    </row>
    <row r="57" spans="4:106" s="95" customFormat="1" x14ac:dyDescent="0.2">
      <c r="G57" s="95" t="s">
        <v>109</v>
      </c>
      <c r="H57" s="95">
        <v>10950</v>
      </c>
      <c r="I57" s="95" t="s">
        <v>110</v>
      </c>
      <c r="AB57" s="415"/>
      <c r="AC57" s="415"/>
      <c r="AD57" s="415"/>
      <c r="AF57" s="418"/>
      <c r="AG57" s="415"/>
      <c r="AH57" s="415"/>
      <c r="AI57" s="415"/>
      <c r="AJ57" s="415"/>
      <c r="AK57" s="415"/>
    </row>
    <row r="58" spans="4:106" s="95" customFormat="1" x14ac:dyDescent="0.2">
      <c r="G58" s="95" t="s">
        <v>120</v>
      </c>
      <c r="H58" s="95">
        <v>240</v>
      </c>
      <c r="I58" s="95" t="s">
        <v>121</v>
      </c>
      <c r="AB58" s="415"/>
      <c r="AC58" s="415"/>
      <c r="AF58" s="418"/>
      <c r="AG58" s="415"/>
      <c r="AH58" s="415"/>
      <c r="AI58" s="415"/>
      <c r="AJ58" s="415"/>
      <c r="AK58" s="415"/>
    </row>
    <row r="59" spans="4:106" s="95" customFormat="1" x14ac:dyDescent="0.2">
      <c r="G59" s="95" t="s">
        <v>130</v>
      </c>
      <c r="H59" s="95">
        <v>0.26</v>
      </c>
      <c r="AB59" s="415"/>
      <c r="AC59" s="415"/>
      <c r="AF59" s="415"/>
      <c r="AG59" s="415"/>
      <c r="AH59" s="415"/>
      <c r="AI59" s="415"/>
      <c r="AJ59" s="415"/>
      <c r="AK59" s="415"/>
    </row>
    <row r="60" spans="4:106" s="95" customFormat="1" x14ac:dyDescent="0.2">
      <c r="G60" s="95" t="s">
        <v>137</v>
      </c>
      <c r="H60" s="95">
        <v>0.42</v>
      </c>
      <c r="I60" s="95" t="s">
        <v>80</v>
      </c>
      <c r="AB60" s="415"/>
      <c r="AC60" s="415"/>
      <c r="AF60" s="415"/>
      <c r="AG60" s="415"/>
      <c r="AH60" s="415"/>
      <c r="AI60" s="415"/>
      <c r="AJ60" s="415"/>
      <c r="AK60" s="415"/>
    </row>
    <row r="61" spans="4:106" s="95" customFormat="1" x14ac:dyDescent="0.2">
      <c r="G61" s="95" t="s">
        <v>143</v>
      </c>
      <c r="H61" s="95">
        <f>H65+(0.693/H67)</f>
        <v>4.9562999999999996E-2</v>
      </c>
      <c r="I61" s="95" t="s">
        <v>144</v>
      </c>
      <c r="AB61" s="415"/>
      <c r="AC61" s="415"/>
      <c r="AD61" s="415"/>
      <c r="AF61" s="415"/>
      <c r="AG61" s="415"/>
      <c r="AH61" s="415"/>
      <c r="AI61" s="415"/>
      <c r="AJ61" s="415"/>
      <c r="AK61" s="415"/>
      <c r="DA61" s="354"/>
    </row>
    <row r="62" spans="4:106" s="95" customFormat="1" x14ac:dyDescent="0.2">
      <c r="G62" s="95" t="s">
        <v>148</v>
      </c>
      <c r="H62" s="95">
        <v>60</v>
      </c>
      <c r="I62" s="95" t="s">
        <v>110</v>
      </c>
      <c r="AB62" s="415"/>
      <c r="AC62" s="415"/>
      <c r="AD62" s="415"/>
      <c r="AF62" s="418"/>
      <c r="AG62" s="415"/>
      <c r="AH62" s="415"/>
      <c r="AI62" s="415"/>
      <c r="AJ62" s="415"/>
      <c r="AK62" s="415"/>
    </row>
    <row r="63" spans="4:106" s="95" customFormat="1" x14ac:dyDescent="0.2">
      <c r="G63" s="95" t="s">
        <v>150</v>
      </c>
      <c r="H63" s="95">
        <v>2</v>
      </c>
      <c r="I63" s="95" t="s">
        <v>121</v>
      </c>
      <c r="AB63" s="415"/>
      <c r="AC63" s="415"/>
      <c r="AD63" s="415"/>
      <c r="AF63" s="418"/>
      <c r="AG63" s="415"/>
      <c r="AH63" s="415"/>
      <c r="AI63" s="415"/>
      <c r="AJ63" s="415"/>
      <c r="AK63" s="415"/>
    </row>
    <row r="64" spans="4:106"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6.3E-5</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B31</f>
        <v>0.2</v>
      </c>
      <c r="AB68" s="415"/>
      <c r="AC68" s="420"/>
      <c r="AD68" s="415"/>
      <c r="AF68" s="418"/>
      <c r="AG68" s="415"/>
      <c r="AH68" s="415"/>
      <c r="AI68" s="415"/>
      <c r="AJ68" s="415"/>
      <c r="AK68" s="415"/>
    </row>
    <row r="69" spans="7:105" s="95" customFormat="1" x14ac:dyDescent="0.2">
      <c r="G69" s="95" t="s">
        <v>453</v>
      </c>
      <c r="H69" s="354">
        <f>B21</f>
        <v>11000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PgmrxBjd3KG3LjCzC7T8o3LMB++VGnypffg3oTG81EiOenN1KnnzRZHMWH9wZoEiKDyYSi0QG5CN9ou7Ql4XjA==" saltValue="wdxk9NPvrX0wXgoJOtyDXw==" spinCount="100000" sheet="1" objects="1" scenarios="1" formatColumns="0" formatRows="0"/>
  <mergeCells count="4">
    <mergeCell ref="A1:C4"/>
    <mergeCell ref="CH34:CL37"/>
    <mergeCell ref="BK36:BO39"/>
    <mergeCell ref="AF43:AH4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F86"/>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RowHeight="12.75" x14ac:dyDescent="0.2"/>
  <cols>
    <col min="1" max="1" width="14.42578125" bestFit="1" customWidth="1"/>
    <col min="2" max="2" width="9.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2" width="15.42578125"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5" thickTop="1" x14ac:dyDescent="0.2">
      <c r="A1" s="484" t="s">
        <v>450</v>
      </c>
      <c r="B1" s="485"/>
      <c r="C1" s="486"/>
      <c r="D1" s="14" t="s">
        <v>3</v>
      </c>
      <c r="E1" s="15"/>
      <c r="F1" s="15" t="s">
        <v>459</v>
      </c>
      <c r="G1" s="16" t="s">
        <v>3</v>
      </c>
      <c r="H1" s="17"/>
      <c r="I1" s="17" t="s">
        <v>459</v>
      </c>
      <c r="J1" s="18" t="s">
        <v>3</v>
      </c>
      <c r="K1" s="19"/>
      <c r="L1" s="20" t="s">
        <v>459</v>
      </c>
      <c r="M1" s="21" t="s">
        <v>13</v>
      </c>
      <c r="N1" s="22" t="s">
        <v>14</v>
      </c>
      <c r="O1" s="22" t="s">
        <v>459</v>
      </c>
      <c r="P1" s="23" t="s">
        <v>13</v>
      </c>
      <c r="Q1" s="22" t="s">
        <v>157</v>
      </c>
      <c r="R1" s="22" t="s">
        <v>459</v>
      </c>
      <c r="S1" s="23" t="s">
        <v>13</v>
      </c>
      <c r="T1" s="22" t="s">
        <v>16</v>
      </c>
      <c r="U1" s="24" t="s">
        <v>459</v>
      </c>
      <c r="V1" s="25" t="s">
        <v>1</v>
      </c>
      <c r="W1" s="26" t="s">
        <v>2</v>
      </c>
      <c r="X1" s="26" t="s">
        <v>459</v>
      </c>
      <c r="Y1" s="27" t="s">
        <v>1</v>
      </c>
      <c r="Z1" s="26" t="s">
        <v>4</v>
      </c>
      <c r="AA1" s="28" t="s">
        <v>459</v>
      </c>
      <c r="AB1" s="29" t="s">
        <v>1</v>
      </c>
      <c r="AC1" s="30" t="s">
        <v>4</v>
      </c>
      <c r="AD1" s="31" t="s">
        <v>5</v>
      </c>
      <c r="AE1" s="30" t="s">
        <v>2</v>
      </c>
      <c r="AF1" s="30" t="s">
        <v>7</v>
      </c>
      <c r="AG1" s="31" t="s">
        <v>6</v>
      </c>
      <c r="AH1" s="32" t="s">
        <v>15</v>
      </c>
      <c r="AI1" s="33" t="s">
        <v>13</v>
      </c>
      <c r="AJ1" s="34" t="s">
        <v>14</v>
      </c>
      <c r="AK1" s="34" t="s">
        <v>459</v>
      </c>
      <c r="AL1" s="35" t="s">
        <v>13</v>
      </c>
      <c r="AM1" s="34" t="s">
        <v>157</v>
      </c>
      <c r="AN1" s="34" t="s">
        <v>459</v>
      </c>
      <c r="AO1" s="35" t="s">
        <v>13</v>
      </c>
      <c r="AP1" s="34" t="s">
        <v>16</v>
      </c>
      <c r="AQ1" s="36" t="s">
        <v>459</v>
      </c>
      <c r="AR1" s="37" t="s">
        <v>13</v>
      </c>
      <c r="AS1" s="38" t="s">
        <v>14</v>
      </c>
      <c r="AT1" s="38" t="s">
        <v>459</v>
      </c>
      <c r="AU1" s="39" t="s">
        <v>13</v>
      </c>
      <c r="AV1" s="38" t="s">
        <v>157</v>
      </c>
      <c r="AW1" s="38" t="s">
        <v>459</v>
      </c>
      <c r="AX1" s="39" t="s">
        <v>13</v>
      </c>
      <c r="AY1" s="38" t="s">
        <v>16</v>
      </c>
      <c r="AZ1" s="40" t="s">
        <v>459</v>
      </c>
      <c r="BA1" s="37" t="s">
        <v>13</v>
      </c>
      <c r="BB1" s="38" t="s">
        <v>14</v>
      </c>
      <c r="BC1" s="38" t="s">
        <v>459</v>
      </c>
      <c r="BD1" s="39" t="s">
        <v>13</v>
      </c>
      <c r="BE1" s="38" t="s">
        <v>157</v>
      </c>
      <c r="BF1" s="38" t="s">
        <v>459</v>
      </c>
      <c r="BG1" s="39" t="s">
        <v>13</v>
      </c>
      <c r="BH1" s="38" t="s">
        <v>16</v>
      </c>
      <c r="BI1" s="40" t="s">
        <v>459</v>
      </c>
      <c r="BJ1" s="37" t="s">
        <v>13</v>
      </c>
      <c r="BK1" s="38" t="s">
        <v>14</v>
      </c>
      <c r="BL1" s="38" t="s">
        <v>459</v>
      </c>
      <c r="BM1" s="39" t="s">
        <v>13</v>
      </c>
      <c r="BN1" s="38" t="s">
        <v>157</v>
      </c>
      <c r="BO1" s="38" t="s">
        <v>459</v>
      </c>
      <c r="BP1" s="39" t="s">
        <v>13</v>
      </c>
      <c r="BQ1" s="38" t="s">
        <v>16</v>
      </c>
      <c r="BR1" s="40" t="s">
        <v>459</v>
      </c>
      <c r="BS1" s="41" t="s">
        <v>8</v>
      </c>
      <c r="BT1" s="42"/>
      <c r="BU1" s="42" t="s">
        <v>459</v>
      </c>
      <c r="BV1" s="41" t="s">
        <v>8</v>
      </c>
      <c r="BW1" s="42"/>
      <c r="BX1" s="42" t="s">
        <v>459</v>
      </c>
      <c r="BY1" s="41" t="s">
        <v>434</v>
      </c>
      <c r="BZ1" s="42"/>
      <c r="CA1" s="42" t="s">
        <v>459</v>
      </c>
      <c r="CB1" s="41" t="s">
        <v>8</v>
      </c>
      <c r="CC1" s="42" t="s">
        <v>14</v>
      </c>
      <c r="CD1" s="42" t="s">
        <v>459</v>
      </c>
      <c r="CE1" s="41" t="s">
        <v>8</v>
      </c>
      <c r="CF1" s="42" t="s">
        <v>157</v>
      </c>
      <c r="CG1" s="42" t="s">
        <v>459</v>
      </c>
      <c r="CH1" s="41" t="s">
        <v>8</v>
      </c>
      <c r="CI1" s="42" t="s">
        <v>16</v>
      </c>
      <c r="CJ1" s="43" t="s">
        <v>459</v>
      </c>
      <c r="CK1" s="41" t="s">
        <v>8</v>
      </c>
      <c r="CL1" s="42" t="s">
        <v>331</v>
      </c>
      <c r="CM1" s="43" t="s">
        <v>459</v>
      </c>
      <c r="CN1" s="41" t="s">
        <v>8</v>
      </c>
      <c r="CO1" s="42" t="s">
        <v>331</v>
      </c>
      <c r="CP1" s="43" t="s">
        <v>459</v>
      </c>
      <c r="CQ1" s="41" t="s">
        <v>8</v>
      </c>
      <c r="CR1" s="42" t="s">
        <v>331</v>
      </c>
      <c r="CS1" s="43" t="s">
        <v>459</v>
      </c>
      <c r="CT1" s="44" t="s">
        <v>321</v>
      </c>
      <c r="CU1" s="45"/>
      <c r="CV1" s="46" t="s">
        <v>459</v>
      </c>
      <c r="CW1" s="47" t="s">
        <v>321</v>
      </c>
      <c r="CX1" s="48"/>
      <c r="CY1" s="48" t="s">
        <v>459</v>
      </c>
      <c r="CZ1" s="49" t="s">
        <v>9</v>
      </c>
      <c r="DA1" s="50"/>
      <c r="DB1" s="51" t="s">
        <v>459</v>
      </c>
      <c r="DC1" s="52" t="s">
        <v>9</v>
      </c>
      <c r="DD1" s="52"/>
      <c r="DE1" s="52" t="s">
        <v>459</v>
      </c>
      <c r="DF1" s="53" t="s">
        <v>9</v>
      </c>
      <c r="DG1" s="54" t="s">
        <v>10</v>
      </c>
      <c r="DH1" s="54" t="s">
        <v>459</v>
      </c>
      <c r="DI1" s="55" t="s">
        <v>9</v>
      </c>
      <c r="DJ1" s="54" t="s">
        <v>11</v>
      </c>
      <c r="DK1" s="54" t="s">
        <v>459</v>
      </c>
      <c r="DL1" s="55" t="s">
        <v>9</v>
      </c>
      <c r="DM1" s="54" t="s">
        <v>12</v>
      </c>
      <c r="DN1" s="54" t="s">
        <v>459</v>
      </c>
      <c r="DO1" s="55" t="s">
        <v>9</v>
      </c>
      <c r="DP1" s="54" t="s">
        <v>12</v>
      </c>
      <c r="DQ1" s="56" t="s">
        <v>459</v>
      </c>
      <c r="DR1" s="57" t="s">
        <v>9</v>
      </c>
      <c r="DS1" s="57"/>
      <c r="DT1" s="57" t="s">
        <v>459</v>
      </c>
      <c r="DU1" s="58" t="s">
        <v>9</v>
      </c>
      <c r="DV1" s="59" t="s">
        <v>10</v>
      </c>
      <c r="DW1" s="59" t="s">
        <v>459</v>
      </c>
      <c r="DX1" s="60" t="s">
        <v>9</v>
      </c>
      <c r="DY1" s="59" t="s">
        <v>11</v>
      </c>
      <c r="DZ1" s="59" t="s">
        <v>459</v>
      </c>
      <c r="EA1" s="60" t="s">
        <v>9</v>
      </c>
      <c r="EB1" s="59" t="s">
        <v>12</v>
      </c>
      <c r="EC1" s="59" t="s">
        <v>459</v>
      </c>
      <c r="ED1" s="60" t="s">
        <v>9</v>
      </c>
      <c r="EE1" s="59" t="s">
        <v>12</v>
      </c>
      <c r="EF1" s="61" t="s">
        <v>459</v>
      </c>
      <c r="EG1" s="62" t="s">
        <v>9</v>
      </c>
      <c r="EH1" s="62"/>
      <c r="EI1" s="62" t="s">
        <v>459</v>
      </c>
      <c r="EJ1" s="63" t="s">
        <v>9</v>
      </c>
      <c r="EK1" s="64" t="s">
        <v>10</v>
      </c>
      <c r="EL1" s="64" t="s">
        <v>459</v>
      </c>
      <c r="EM1" s="65" t="s">
        <v>9</v>
      </c>
      <c r="EN1" s="64" t="s">
        <v>11</v>
      </c>
      <c r="EO1" s="64" t="s">
        <v>459</v>
      </c>
      <c r="EP1" s="65" t="s">
        <v>9</v>
      </c>
      <c r="EQ1" s="64" t="s">
        <v>12</v>
      </c>
      <c r="ER1" s="64" t="s">
        <v>459</v>
      </c>
      <c r="ES1" s="65" t="s">
        <v>9</v>
      </c>
      <c r="ET1" s="64" t="s">
        <v>12</v>
      </c>
      <c r="EU1" s="66" t="s">
        <v>459</v>
      </c>
      <c r="EV1" s="67" t="s">
        <v>9</v>
      </c>
      <c r="EW1" s="67"/>
      <c r="EX1" s="67" t="s">
        <v>459</v>
      </c>
      <c r="EY1" s="68" t="s">
        <v>9</v>
      </c>
      <c r="EZ1" s="69" t="s">
        <v>10</v>
      </c>
      <c r="FA1" s="69" t="s">
        <v>459</v>
      </c>
      <c r="FB1" s="70" t="s">
        <v>9</v>
      </c>
      <c r="FC1" s="69" t="s">
        <v>11</v>
      </c>
      <c r="FD1" s="69" t="s">
        <v>459</v>
      </c>
      <c r="FE1" s="70" t="s">
        <v>9</v>
      </c>
      <c r="FF1" s="69" t="s">
        <v>12</v>
      </c>
      <c r="FG1" s="69" t="s">
        <v>459</v>
      </c>
      <c r="FH1" s="70" t="s">
        <v>9</v>
      </c>
      <c r="FI1" s="69" t="s">
        <v>12</v>
      </c>
      <c r="FJ1" s="71" t="s">
        <v>459</v>
      </c>
      <c r="FK1" s="72" t="s">
        <v>9</v>
      </c>
      <c r="FL1" s="73"/>
      <c r="FM1" s="74" t="s">
        <v>459</v>
      </c>
      <c r="FN1" s="75" t="s">
        <v>9</v>
      </c>
      <c r="FO1" s="76" t="s">
        <v>10</v>
      </c>
      <c r="FP1" s="76" t="s">
        <v>459</v>
      </c>
      <c r="FQ1" s="77" t="s">
        <v>9</v>
      </c>
      <c r="FR1" s="76" t="s">
        <v>11</v>
      </c>
      <c r="FS1" s="76" t="s">
        <v>459</v>
      </c>
      <c r="FT1" s="77" t="s">
        <v>9</v>
      </c>
      <c r="FU1" s="76" t="s">
        <v>12</v>
      </c>
      <c r="FV1" s="76" t="s">
        <v>459</v>
      </c>
      <c r="FW1" s="77" t="s">
        <v>9</v>
      </c>
      <c r="FX1" s="76" t="s">
        <v>12</v>
      </c>
      <c r="FY1" s="78" t="s">
        <v>459</v>
      </c>
      <c r="FZ1" s="79" t="s">
        <v>9</v>
      </c>
      <c r="GA1" s="80"/>
      <c r="GB1" s="81" t="s">
        <v>459</v>
      </c>
      <c r="GC1" s="82" t="s">
        <v>9</v>
      </c>
      <c r="GD1" s="83" t="s">
        <v>10</v>
      </c>
      <c r="GE1" s="83" t="s">
        <v>459</v>
      </c>
      <c r="GF1" s="84" t="s">
        <v>9</v>
      </c>
      <c r="GG1" s="83" t="s">
        <v>11</v>
      </c>
      <c r="GH1" s="83" t="s">
        <v>459</v>
      </c>
      <c r="GI1" s="84" t="s">
        <v>9</v>
      </c>
      <c r="GJ1" s="83" t="s">
        <v>12</v>
      </c>
      <c r="GK1" s="83" t="s">
        <v>459</v>
      </c>
      <c r="GL1" s="84" t="s">
        <v>9</v>
      </c>
      <c r="GM1" s="83" t="s">
        <v>12</v>
      </c>
      <c r="GN1" s="85" t="s">
        <v>459</v>
      </c>
      <c r="GO1" s="86" t="s">
        <v>9</v>
      </c>
      <c r="GP1" s="87"/>
      <c r="GQ1" s="88" t="s">
        <v>459</v>
      </c>
      <c r="GR1" s="89" t="s">
        <v>9</v>
      </c>
      <c r="GS1" s="90" t="s">
        <v>10</v>
      </c>
      <c r="GT1" s="90" t="s">
        <v>459</v>
      </c>
      <c r="GU1" s="91" t="s">
        <v>9</v>
      </c>
      <c r="GV1" s="90" t="s">
        <v>11</v>
      </c>
      <c r="GW1" s="90" t="s">
        <v>459</v>
      </c>
      <c r="GX1" s="91" t="s">
        <v>9</v>
      </c>
      <c r="GY1" s="90" t="s">
        <v>12</v>
      </c>
      <c r="GZ1" s="90" t="s">
        <v>459</v>
      </c>
      <c r="HA1" s="91" t="s">
        <v>9</v>
      </c>
      <c r="HB1" s="90" t="s">
        <v>12</v>
      </c>
      <c r="HC1" s="90" t="s">
        <v>459</v>
      </c>
      <c r="HD1" s="92" t="s">
        <v>17</v>
      </c>
      <c r="HE1" s="93" t="s">
        <v>459</v>
      </c>
      <c r="HF1" s="94" t="s">
        <v>18</v>
      </c>
    </row>
    <row r="2" spans="1:214" s="95" customFormat="1" x14ac:dyDescent="0.2">
      <c r="A2" s="487"/>
      <c r="B2" s="488"/>
      <c r="C2" s="489"/>
      <c r="D2" s="96"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x14ac:dyDescent="0.2">
      <c r="A3" s="487"/>
      <c r="B3" s="488"/>
      <c r="C3" s="489"/>
      <c r="D3" s="96" t="s">
        <v>37</v>
      </c>
      <c r="E3" s="181">
        <f>1/((1/E20)+(1/E21))</f>
        <v>5.3539031406783495E-4</v>
      </c>
      <c r="F3" s="182"/>
      <c r="G3" s="98"/>
      <c r="H3" s="181">
        <f>1/((1/H10)+(1/H11)+(1/H12)+(1/H13))</f>
        <v>1.0611471838544945E-3</v>
      </c>
      <c r="I3" s="183"/>
      <c r="J3" s="100"/>
      <c r="K3" s="181">
        <f>1/((1/K14)+(1/K15)+(1/K16+(1/K17)))</f>
        <v>1.0130487111023365E-2</v>
      </c>
      <c r="L3" s="184"/>
      <c r="M3" s="103" t="s">
        <v>39</v>
      </c>
      <c r="N3" s="185">
        <f>(N5*N6*N7)/((1-EXP(-N7*N6))*N10*N15*(N9/365)*N13*(((N14/24)*N12)+((N16/24)*N11)))</f>
        <v>1.370750074235619E-2</v>
      </c>
      <c r="O3" s="105"/>
      <c r="P3" s="106" t="s">
        <v>39</v>
      </c>
      <c r="Q3" s="185">
        <f>(Q5*Q6*Q7)/((1-EXP(-Q7*Q6))*Q10*Q15*(Q9/365)*Q13*(((Q14/24)*Q12)+((Q16/24)*Q11)))</f>
        <v>117.90950486586024</v>
      </c>
      <c r="R3" s="105"/>
      <c r="S3" s="106" t="s">
        <v>39</v>
      </c>
      <c r="T3" s="185">
        <f>(T5*T6*T7)/((1-EXP(-T7*T6))*T10*T15*(T9/365)*T13*(((T14/24)*T12)+((T16/24)*T11)))</f>
        <v>1.616342795869501E-2</v>
      </c>
      <c r="U3" s="107"/>
      <c r="V3" s="108" t="s">
        <v>38</v>
      </c>
      <c r="W3" s="186">
        <f>1/((1/W18)+(1/W19))</f>
        <v>7.7041585190532058E-4</v>
      </c>
      <c r="X3" s="187"/>
      <c r="Y3" s="188" t="s">
        <v>38</v>
      </c>
      <c r="Z3" s="186">
        <f>1/((1/Z18)+(1/Z19))</f>
        <v>6.9337426671478857E-4</v>
      </c>
      <c r="AA3" s="189"/>
      <c r="AB3" s="112"/>
      <c r="AC3" s="190">
        <f>1/((1/AC37)+(1/AC38)+(1/AC39))</f>
        <v>2.0668873568600751E-2</v>
      </c>
      <c r="AD3" s="191">
        <f>1/((1/AD37)+(1/AD38)+(1/AD39))</f>
        <v>5.1621571088285738E-2</v>
      </c>
      <c r="AE3" s="190">
        <f>1/((1/AE37)+(1/AE38)+(1/AE39))</f>
        <v>2.2965415076223059E-2</v>
      </c>
      <c r="AF3" s="190">
        <f>1/((1/AF37)+(1/AF38)+(1/AF39))</f>
        <v>0.35556904976407722</v>
      </c>
      <c r="AG3" s="191">
        <f>1/((1/AG37)+(1/AG39)+(1/AG40))</f>
        <v>0.36500415589528401</v>
      </c>
      <c r="AH3" s="192"/>
      <c r="AI3" s="116" t="s">
        <v>39</v>
      </c>
      <c r="AJ3" s="193">
        <f>(AJ5*AJ6*AJ7)/((1-EXP(-AJ7*AJ6))*AJ10*AJ15*(AJ9/365)*AJ13*((AJ14*AJ12)+(AJ16*AJ11)))</f>
        <v>5.1869922135366293E-2</v>
      </c>
      <c r="AK3" s="118"/>
      <c r="AL3" s="119" t="s">
        <v>39</v>
      </c>
      <c r="AM3" s="193">
        <f>(AM5*AM6*AM7)/((1-EXP(-AM7*AM6))*AM10*AM15*(AM9/365)*AM13*((AM14*AM12)+(AM16*AM11)))</f>
        <v>446.17592596682857</v>
      </c>
      <c r="AN3" s="118"/>
      <c r="AO3" s="119" t="s">
        <v>39</v>
      </c>
      <c r="AP3" s="193">
        <f>(AP5*AP6*AP7)/((1-EXP(-AP7*AP6))*AP10*AP15*(AP9/365)*AP13*((AP14*AP12)+(AP16*AP11)))</f>
        <v>6.1163283184619423E-2</v>
      </c>
      <c r="AQ3" s="120"/>
      <c r="AR3" s="121" t="s">
        <v>39</v>
      </c>
      <c r="AS3" s="194">
        <f>(AS5*AS6*AS7)/((1-EXP(-AS7*AS6))*AS10*AS15*(AS9/365)*AS13*((AS14*AS12)+(AS16*AS11)))</f>
        <v>2.3053298726829465E-2</v>
      </c>
      <c r="AT3" s="123"/>
      <c r="AU3" s="124" t="s">
        <v>39</v>
      </c>
      <c r="AV3" s="194">
        <f>(AV5*AV6*AV7)/((1-EXP(-AV7*AV6))*AV10*AV15*(AV9/365)*AV13*((AV14*AV12)+(AV16*AV11)))</f>
        <v>198.30041154081272</v>
      </c>
      <c r="AW3" s="123"/>
      <c r="AX3" s="124" t="s">
        <v>39</v>
      </c>
      <c r="AY3" s="194">
        <f>(AY5*AY6*AY7)/((1-EXP(-AY7*AY6))*AY10*AY15*(AY9/365)*AY13*((AY14*AY12)+(AY16*AY11)))</f>
        <v>2.7183681415386411E-2</v>
      </c>
      <c r="AZ3" s="125"/>
      <c r="BA3" s="121" t="s">
        <v>39</v>
      </c>
      <c r="BB3" s="194">
        <f>(BB5*BB6*BB7)/((1-EXP(-BB7*BB6))*BB10*BB15*(BB9/365)*BB13*((BB14*BB12)+(BB16*BB11)))</f>
        <v>2.0747968854146519E-2</v>
      </c>
      <c r="BC3" s="123"/>
      <c r="BD3" s="124" t="s">
        <v>39</v>
      </c>
      <c r="BE3" s="194">
        <f>(BE5*BE6*BE7)/((1-EXP(-BE7*BE6))*BE10*BE15*(BE9/365)*BE13*((BE14*BE12)+(BE16*BE11)))</f>
        <v>178.47037038673145</v>
      </c>
      <c r="BF3" s="123"/>
      <c r="BG3" s="124" t="s">
        <v>39</v>
      </c>
      <c r="BH3" s="194">
        <f>(BH5*BH6*BH7)/((1-EXP(-BH7*BH6))*BH10*BH15*(BH9/365)*BH13*((BH14*BH12)+(BH16*BH11)))</f>
        <v>2.446531327384777E-2</v>
      </c>
      <c r="BI3" s="125"/>
      <c r="BJ3" s="121" t="s">
        <v>39</v>
      </c>
      <c r="BK3" s="194">
        <f>(BK5*BK6*BK7)/((1-EXP(-BK7*BK6))*BK12*BK16*(BK9/365)*BK14*BK15*BK13)</f>
        <v>2843.4686865766826</v>
      </c>
      <c r="BL3" s="123"/>
      <c r="BM3" s="124" t="s">
        <v>39</v>
      </c>
      <c r="BN3" s="194">
        <f>(BN5*BN6*BN7)/((1-EXP(-BN7*BN6))*BN12*BN16*(BN9/365)*BN14*BN15*BN13)</f>
        <v>5935.8893025402949</v>
      </c>
      <c r="BO3" s="123"/>
      <c r="BP3" s="124" t="s">
        <v>39</v>
      </c>
      <c r="BQ3" s="194">
        <f>(BQ5*BQ6*BQ7)/((1-EXP(-BQ7*BQ6))*BQ12*BQ16*(BQ9/365)*BQ14*BQ15*BQ13)</f>
        <v>3449.0067171024402</v>
      </c>
      <c r="BR3" s="125"/>
      <c r="BS3" s="126" t="s">
        <v>37</v>
      </c>
      <c r="BT3" s="195">
        <f>1/((1/BT21)+(1/BT22))</f>
        <v>5.996371517559753E-2</v>
      </c>
      <c r="BU3" s="128"/>
      <c r="BV3" s="126"/>
      <c r="BW3" s="195">
        <f>1/((1/BW10)+(1/BW12))</f>
        <v>44.280539723367028</v>
      </c>
      <c r="BX3" s="128"/>
      <c r="BY3" s="126"/>
      <c r="BZ3" s="195">
        <f>1/((1/BZ13)+(1/BZ14)+(1/BZ15))</f>
        <v>2.7871356926877704</v>
      </c>
      <c r="CA3" s="128"/>
      <c r="CB3" s="126" t="s">
        <v>39</v>
      </c>
      <c r="CC3" s="195">
        <f>(CC5*CC6*CC7)/((1-EXP(-CC7*CC6))*CC10*CC14*(CC9/365)*CC12*(CC13/24)*CC11)</f>
        <v>5.4182369340346348</v>
      </c>
      <c r="CD3" s="128"/>
      <c r="CE3" s="126" t="s">
        <v>39</v>
      </c>
      <c r="CF3" s="195">
        <f>(CF5*CF6*CF7)/((1-EXP(-CF7*CF6))*CF10*CF14*(CF9/365)*CF12*(CF13/24)*CF11)</f>
        <v>126250.95578161003</v>
      </c>
      <c r="CG3" s="128"/>
      <c r="CH3" s="126" t="s">
        <v>39</v>
      </c>
      <c r="CI3" s="195">
        <f>(CI5*CI6*CI7)/((1-EXP(-CI7*CI6))*CI10*CI14*(CI9/365)*CI12*(CI13/24)*CI11)</f>
        <v>8.2721564991123824</v>
      </c>
      <c r="CJ3" s="129"/>
      <c r="CK3" s="126" t="s">
        <v>17</v>
      </c>
      <c r="CL3" s="195">
        <f>CL5/(CL6*CL7*CL8*CL9)</f>
        <v>0.99576798605924821</v>
      </c>
      <c r="CM3" s="129"/>
      <c r="CN3" s="126" t="s">
        <v>17</v>
      </c>
      <c r="CO3" s="195" t="e">
        <f>CL3/(CO5*((CO10*CO12*CO13*(CO6+CO7))+(CO11*CO12)))</f>
        <v>#DIV/0!</v>
      </c>
      <c r="CP3" s="129"/>
      <c r="CQ3" s="126" t="s">
        <v>17</v>
      </c>
      <c r="CR3" s="195" t="e">
        <f>CL3/(CR5*CR6*(1/CR7))</f>
        <v>#DIV/0!</v>
      </c>
      <c r="CS3" s="129"/>
      <c r="CT3" s="130"/>
      <c r="CU3" s="196">
        <f>1/((1/CU14)+(1/CU15)+(1/CU16+(1/CU17)))</f>
        <v>2.6137113152263345E-3</v>
      </c>
      <c r="CV3" s="197"/>
      <c r="CW3" s="133" t="s">
        <v>37</v>
      </c>
      <c r="CX3" s="198">
        <f>1/((1/CX20)+(1/CX21))</f>
        <v>3.3281172162518839E-4</v>
      </c>
      <c r="CY3" s="199"/>
      <c r="CZ3" s="200"/>
      <c r="DA3" s="201">
        <f>1/((1/DA13)+(1/DA14)+(1/DA15)+(1/DA16))</f>
        <v>6.5697472013454721E-4</v>
      </c>
      <c r="DB3" s="202"/>
      <c r="DC3" s="138"/>
      <c r="DD3" s="203">
        <f>DD7</f>
        <v>1.8303695836504067E-3</v>
      </c>
      <c r="DE3" s="204" t="s">
        <v>421</v>
      </c>
      <c r="DF3" s="139"/>
      <c r="DG3" s="205">
        <f>DD7/((1/DG24)*(DG5+DG6+DG7))</f>
        <v>0.12799514135363926</v>
      </c>
      <c r="DH3" s="206" t="s">
        <v>421</v>
      </c>
      <c r="DI3" s="141"/>
      <c r="DJ3" s="205">
        <f>DD7/(DJ5+DJ6)</f>
        <v>6.1012319455013564E-3</v>
      </c>
      <c r="DK3" s="206" t="s">
        <v>421</v>
      </c>
      <c r="DL3" s="141"/>
      <c r="DM3" s="205">
        <f>(DD7)/(DM5+DM6)</f>
        <v>6.1012319455013564E-3</v>
      </c>
      <c r="DN3" s="206"/>
      <c r="DO3" s="141"/>
      <c r="DP3" s="205">
        <f>-(DP5+DP6+DP7)/(DP23+DP24)</f>
        <v>-47.887811831133448</v>
      </c>
      <c r="DQ3" s="207"/>
      <c r="DR3" s="143"/>
      <c r="DS3" s="208">
        <f>DS7</f>
        <v>2.4716431471283893E-4</v>
      </c>
      <c r="DT3" s="209" t="s">
        <v>421</v>
      </c>
      <c r="DU3" s="144"/>
      <c r="DV3" s="210">
        <f>DS7/(DV5*DV6)</f>
        <v>2.6865686381830319E-3</v>
      </c>
      <c r="DW3" s="211"/>
      <c r="DX3" s="146"/>
      <c r="DY3" s="210">
        <f>DS7/(DY9*((DY10*DY12*DY13*(DY5+DY6))+(DY11*DY12)))</f>
        <v>3.0837718616698557E-2</v>
      </c>
      <c r="DZ3" s="211" t="s">
        <v>421</v>
      </c>
      <c r="EA3" s="146"/>
      <c r="EB3" s="210">
        <f>DS7/(EB9*((EB10*EB12*EB13*(EB5+EB6))+(EB11*EB12)))</f>
        <v>3.0837718616698557E-2</v>
      </c>
      <c r="EC3" s="211"/>
      <c r="ED3" s="146"/>
      <c r="EE3" s="210">
        <f>-EE15/((EE10*EE12*EE13*(EE5+EE6))+(EE11*EE12))</f>
        <v>-11.478477854023707</v>
      </c>
      <c r="EF3" s="212"/>
      <c r="EG3" s="148"/>
      <c r="EH3" s="213">
        <f>EH7</f>
        <v>2.9178174725305469E-8</v>
      </c>
      <c r="EI3" s="214" t="s">
        <v>421</v>
      </c>
      <c r="EJ3" s="149"/>
      <c r="EK3" s="215">
        <f>EH7/(EK5*EK6)</f>
        <v>5.5053159859066923E-7</v>
      </c>
      <c r="EL3" s="216"/>
      <c r="EM3" s="151"/>
      <c r="EN3" s="215">
        <f>EH7/(EN9*((EN10*EN12*EN13*(EN5+EN6))+(EN11*EN12)))</f>
        <v>5.1311306999569985E-6</v>
      </c>
      <c r="EO3" s="216" t="s">
        <v>421</v>
      </c>
      <c r="EP3" s="151"/>
      <c r="EQ3" s="215">
        <f>EH7/(EQ9*((EQ10*EQ12*EQ13*(EQ5+EQ6))+(EQ11*EQ12)))</f>
        <v>5.1311306999569985E-6</v>
      </c>
      <c r="ER3" s="216"/>
      <c r="ES3" s="151"/>
      <c r="ET3" s="215">
        <f>-ET15/((ET10*ET12*ET13*(ET5+ET6))+(ET11*ET12))</f>
        <v>-9.3203200562736317</v>
      </c>
      <c r="EU3" s="217"/>
      <c r="EV3" s="218"/>
      <c r="EW3" s="219">
        <f>EW7</f>
        <v>3.8911708799696382E-3</v>
      </c>
      <c r="EX3" s="218" t="s">
        <v>421</v>
      </c>
      <c r="EY3" s="220"/>
      <c r="EZ3" s="221" t="e">
        <f>EW7/(EZ5*EZ6*(1/EZ7))</f>
        <v>#DIV/0!</v>
      </c>
      <c r="FA3" s="221"/>
      <c r="FB3" s="222"/>
      <c r="FC3" s="221" t="e">
        <f>EW7/(FC9*((FC10*FC12*FC13*(FC5+FC6))+(FC11*FC12)))</f>
        <v>#DIV/0!</v>
      </c>
      <c r="FD3" s="223" t="s">
        <v>421</v>
      </c>
      <c r="FE3" s="224"/>
      <c r="FF3" s="221">
        <f>EW7/(FF9*(FF10*FF12*FF13*(FF5*FF6))+(FF11*FF12))</f>
        <v>0.17687140363498358</v>
      </c>
      <c r="FG3" s="221"/>
      <c r="FH3" s="222"/>
      <c r="FI3" s="221">
        <f>FI15/((FI10*FI12*FI13*(FI5+FI6))+(FI11*FI12))</f>
        <v>3.5714285714285712</v>
      </c>
      <c r="FJ3" s="225"/>
      <c r="FK3" s="226"/>
      <c r="FL3" s="227">
        <f>FL7</f>
        <v>1.2690933353824265E-3</v>
      </c>
      <c r="FM3" s="228"/>
      <c r="FN3" s="229"/>
      <c r="FO3" s="230">
        <f>FL7/(FR5*(1/FO7))</f>
        <v>2.538186670764853E-2</v>
      </c>
      <c r="FP3" s="230"/>
      <c r="FQ3" s="231"/>
      <c r="FR3" s="230">
        <f>(FL7*FR6)/FR5</f>
        <v>2.0813130700271792E-4</v>
      </c>
      <c r="FS3" s="230"/>
      <c r="FT3" s="231"/>
      <c r="FU3" s="230">
        <f>(FL7*FU15)/FU14</f>
        <v>2.0813130700271792E-4</v>
      </c>
      <c r="FV3" s="230"/>
      <c r="FW3" s="231"/>
      <c r="FX3" s="230">
        <f>-FX29/FX30</f>
        <v>-8.199999999999999E-3</v>
      </c>
      <c r="FY3" s="232"/>
      <c r="FZ3" s="233"/>
      <c r="GA3" s="234">
        <f>GA7</f>
        <v>1.6236091452342849E-3</v>
      </c>
      <c r="GB3" s="235" t="s">
        <v>421</v>
      </c>
      <c r="GC3" s="236"/>
      <c r="GD3" s="237" t="e">
        <f>FL7/(GD5*GD6*(1/GD7))</f>
        <v>#DIV/0!</v>
      </c>
      <c r="GE3" s="237"/>
      <c r="GF3" s="238"/>
      <c r="GG3" s="237" t="e">
        <f>GA7/((GG9)*((GG10*GG12*GG13*(GG5+GG6))+(GG11*GG12)))</f>
        <v>#DIV/0!</v>
      </c>
      <c r="GH3" s="237" t="s">
        <v>421</v>
      </c>
      <c r="GI3" s="238"/>
      <c r="GJ3" s="237">
        <f>FL7/(GJ9*(GJ10*GJ12*GJ13*(GJ5*GJ6))+(GJ11*GJ12))</f>
        <v>5.7686060699201208E-2</v>
      </c>
      <c r="GK3" s="237"/>
      <c r="GL3" s="238"/>
      <c r="GM3" s="237">
        <f>GM15/((GM10*GM12*GM13*(GM5+GM6))+(GM11*GM12))</f>
        <v>3.5714285714285712</v>
      </c>
      <c r="GN3" s="239"/>
      <c r="GO3" s="240"/>
      <c r="GP3" s="241">
        <f>GP7</f>
        <v>2.0901789078614781E-3</v>
      </c>
      <c r="GQ3" s="242" t="s">
        <v>421</v>
      </c>
      <c r="GR3" s="243"/>
      <c r="GS3" s="244" t="e">
        <f>GP7/(GS5*GS6*(1/GS7))</f>
        <v>#DIV/0!</v>
      </c>
      <c r="GT3" s="244"/>
      <c r="GU3" s="245"/>
      <c r="GV3" s="244" t="e">
        <f>GP7/((GV9)*((GV10*GV12*GV13*(GV5+GV6))+(GV11*GV12)))</f>
        <v>#DIV/0!</v>
      </c>
      <c r="GW3" s="244" t="s">
        <v>421</v>
      </c>
      <c r="GX3" s="245"/>
      <c r="GY3" s="244" t="e">
        <f>GP7/((GY9*((GY10*GY12*GY13*(GY5+GY6))+(GY11*GY12))))</f>
        <v>#DIV/0!</v>
      </c>
      <c r="GZ3" s="244"/>
      <c r="HA3" s="245"/>
      <c r="HB3" s="244">
        <f>GP7/((HB10*HB12*HB13*(HB5+HB6))+(HB11*HB12))</f>
        <v>8.4111827278127876E-4</v>
      </c>
      <c r="HC3" s="246"/>
      <c r="HD3" s="247">
        <f>HE5*HE13*10^-3*(HE14+(HE9/HE10))*((HE11*HE7)/(1-EXP(-HE7*HE11)))</f>
        <v>1.2671079031257728</v>
      </c>
      <c r="HE3" s="248"/>
      <c r="HF3" s="180" t="s">
        <v>40</v>
      </c>
    </row>
    <row r="4" spans="1:214" s="95" customFormat="1" ht="13.5" thickBot="1" x14ac:dyDescent="0.25">
      <c r="A4" s="490"/>
      <c r="B4" s="491"/>
      <c r="C4" s="492"/>
      <c r="D4" s="249" t="s">
        <v>38</v>
      </c>
      <c r="E4" s="250">
        <f>1/((1/E22)+(1/E23))</f>
        <v>5.3841055413678053E-4</v>
      </c>
      <c r="F4" s="251"/>
      <c r="G4" s="252"/>
      <c r="H4" s="253"/>
      <c r="I4" s="254"/>
      <c r="J4" s="255" t="s">
        <v>459</v>
      </c>
      <c r="K4" s="256" t="s">
        <v>34</v>
      </c>
      <c r="L4" s="257"/>
      <c r="M4" s="258"/>
      <c r="N4" s="259"/>
      <c r="O4" s="260"/>
      <c r="P4" s="261"/>
      <c r="Q4" s="259"/>
      <c r="R4" s="260"/>
      <c r="S4" s="261"/>
      <c r="T4" s="259"/>
      <c r="U4" s="262"/>
      <c r="V4" s="263" t="s">
        <v>37</v>
      </c>
      <c r="W4" s="264">
        <f>1/((1/W16)+(1/W17))</f>
        <v>7.6625978665621828E-4</v>
      </c>
      <c r="X4" s="265"/>
      <c r="Y4" s="266" t="s">
        <v>37</v>
      </c>
      <c r="Z4" s="264">
        <f>1/((1/Z16)+(1/Z17))</f>
        <v>6.8963380799059656E-4</v>
      </c>
      <c r="AA4" s="267"/>
      <c r="AB4" s="268" t="s">
        <v>459</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6.030198206331943E-2</v>
      </c>
      <c r="BU4" s="286"/>
      <c r="BV4" s="284"/>
      <c r="BW4" s="285"/>
      <c r="BX4" s="286"/>
      <c r="BY4" s="284" t="s">
        <v>459</v>
      </c>
      <c r="BZ4" s="285" t="s">
        <v>34</v>
      </c>
      <c r="CA4" s="286"/>
      <c r="CB4" s="284"/>
      <c r="CC4" s="285"/>
      <c r="CD4" s="286"/>
      <c r="CE4" s="284"/>
      <c r="CF4" s="285"/>
      <c r="CG4" s="286"/>
      <c r="CH4" s="284"/>
      <c r="CI4" s="285"/>
      <c r="CJ4" s="287"/>
      <c r="CK4" s="284"/>
      <c r="CL4" s="285"/>
      <c r="CM4" s="287"/>
      <c r="CN4" s="284"/>
      <c r="CO4" s="285"/>
      <c r="CP4" s="287"/>
      <c r="CQ4" s="284"/>
      <c r="CR4" s="285"/>
      <c r="CS4" s="287"/>
      <c r="CT4" s="288" t="s">
        <v>459</v>
      </c>
      <c r="CU4" s="289" t="s">
        <v>9</v>
      </c>
      <c r="CV4" s="290"/>
      <c r="CW4" s="291" t="s">
        <v>38</v>
      </c>
      <c r="CX4" s="292">
        <f>1/((1/CX22)+(1/CX23))</f>
        <v>3.3570302773131504E-4</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8.9639198869445814E-5</v>
      </c>
      <c r="HE4" s="351"/>
      <c r="HF4" s="352" t="s">
        <v>45</v>
      </c>
    </row>
    <row r="5" spans="1:214" s="95" customFormat="1" ht="13.5" thickTop="1" x14ac:dyDescent="0.2">
      <c r="A5" s="95" t="s">
        <v>75</v>
      </c>
      <c r="B5" s="353">
        <v>1.16E-8</v>
      </c>
      <c r="C5" s="95" t="s">
        <v>64</v>
      </c>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B29</f>
        <v>0</v>
      </c>
      <c r="CQ5" s="95" t="s">
        <v>432</v>
      </c>
      <c r="CR5" s="95">
        <f>CO5</f>
        <v>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1.4210610877202989</v>
      </c>
      <c r="DH5" s="95" t="s">
        <v>48</v>
      </c>
      <c r="DI5" s="95" t="s">
        <v>49</v>
      </c>
      <c r="DJ5" s="95">
        <f>DJ7</f>
        <v>0.04</v>
      </c>
      <c r="DL5" s="95" t="s">
        <v>49</v>
      </c>
      <c r="DM5" s="95">
        <f>DM7</f>
        <v>0.04</v>
      </c>
      <c r="DO5" s="95" t="s">
        <v>47</v>
      </c>
      <c r="DP5" s="95">
        <f>(DP8*DP9*DP10*((1-EXP(-DP11*DP12))))/(DP13*DP11)</f>
        <v>1.4298564304940413</v>
      </c>
      <c r="DQ5" s="95" t="s">
        <v>48</v>
      </c>
      <c r="DR5" s="95" t="s">
        <v>46</v>
      </c>
      <c r="DS5" s="354">
        <v>9.9999999999999995E-7</v>
      </c>
      <c r="DU5" s="95" t="s">
        <v>347</v>
      </c>
      <c r="DV5" s="354">
        <f>B23</f>
        <v>1E-3</v>
      </c>
      <c r="DX5" s="95" t="s">
        <v>50</v>
      </c>
      <c r="DY5" s="95">
        <f>DY7</f>
        <v>0.2</v>
      </c>
      <c r="EA5" s="95" t="s">
        <v>50</v>
      </c>
      <c r="EB5" s="95">
        <f>EB7</f>
        <v>0.2</v>
      </c>
      <c r="ED5" s="95" t="s">
        <v>50</v>
      </c>
      <c r="EE5" s="95">
        <f>EE7</f>
        <v>0.2</v>
      </c>
      <c r="EG5" s="95" t="s">
        <v>46</v>
      </c>
      <c r="EH5" s="354">
        <v>9.9999999999999995E-7</v>
      </c>
      <c r="EJ5" s="95" t="s">
        <v>348</v>
      </c>
      <c r="EK5" s="354">
        <f>B24</f>
        <v>1E-3</v>
      </c>
      <c r="EM5" s="95" t="s">
        <v>50</v>
      </c>
      <c r="EN5" s="95">
        <f>EN7</f>
        <v>0.2</v>
      </c>
      <c r="EP5" s="95" t="s">
        <v>50</v>
      </c>
      <c r="EQ5" s="95">
        <f>EQ7</f>
        <v>0.2</v>
      </c>
      <c r="ES5" s="95" t="s">
        <v>50</v>
      </c>
      <c r="ET5" s="95">
        <f>ET7</f>
        <v>0.2</v>
      </c>
      <c r="EV5" s="95" t="s">
        <v>46</v>
      </c>
      <c r="EW5" s="354">
        <v>9.9999999999999995E-7</v>
      </c>
      <c r="EY5" s="95" t="s">
        <v>349</v>
      </c>
      <c r="EZ5" s="356">
        <f>B26</f>
        <v>0</v>
      </c>
      <c r="FB5" s="95" t="s">
        <v>50</v>
      </c>
      <c r="FC5" s="95">
        <f>FC7</f>
        <v>0.2</v>
      </c>
      <c r="FE5" s="95" t="s">
        <v>50</v>
      </c>
      <c r="FF5" s="95">
        <f>FF7</f>
        <v>0.2</v>
      </c>
      <c r="FH5" s="95" t="s">
        <v>50</v>
      </c>
      <c r="FI5" s="95">
        <f>FI7</f>
        <v>0.2</v>
      </c>
      <c r="FK5" s="95" t="s">
        <v>46</v>
      </c>
      <c r="FL5" s="354">
        <v>9.9999999999999995E-7</v>
      </c>
      <c r="FN5" s="95" t="s">
        <v>350</v>
      </c>
      <c r="FO5" s="357">
        <v>1</v>
      </c>
      <c r="FQ5" s="95" t="s">
        <v>203</v>
      </c>
      <c r="FR5" s="354">
        <f>B22</f>
        <v>50</v>
      </c>
      <c r="FT5" s="95" t="s">
        <v>50</v>
      </c>
      <c r="FU5" s="95">
        <f>FU7</f>
        <v>0.2</v>
      </c>
      <c r="FW5" s="95" t="s">
        <v>50</v>
      </c>
      <c r="FX5" s="95">
        <f>FX7</f>
        <v>0.2</v>
      </c>
      <c r="FZ5" s="95" t="s">
        <v>46</v>
      </c>
      <c r="GA5" s="354">
        <v>9.9999999999999995E-7</v>
      </c>
      <c r="GC5" s="95" t="s">
        <v>351</v>
      </c>
      <c r="GD5" s="356">
        <f>B25</f>
        <v>0</v>
      </c>
      <c r="GF5" s="95" t="s">
        <v>50</v>
      </c>
      <c r="GG5" s="95">
        <f>GG7</f>
        <v>0.2</v>
      </c>
      <c r="GI5" s="95" t="s">
        <v>50</v>
      </c>
      <c r="GJ5" s="95">
        <f>GJ7</f>
        <v>0.2</v>
      </c>
      <c r="GL5" s="95" t="s">
        <v>50</v>
      </c>
      <c r="GM5" s="95">
        <f>GM7</f>
        <v>0.2</v>
      </c>
      <c r="GO5" s="95" t="s">
        <v>46</v>
      </c>
      <c r="GP5" s="354">
        <v>9.9999999999999995E-7</v>
      </c>
      <c r="GR5" s="95" t="s">
        <v>352</v>
      </c>
      <c r="GS5" s="356">
        <f>B27</f>
        <v>0</v>
      </c>
      <c r="GU5" s="95" t="s">
        <v>50</v>
      </c>
      <c r="GV5" s="95">
        <f>GV7</f>
        <v>0.2</v>
      </c>
      <c r="GX5" s="95" t="s">
        <v>50</v>
      </c>
      <c r="GY5" s="95">
        <f>GY7</f>
        <v>0.2</v>
      </c>
      <c r="HA5" s="95" t="s">
        <v>50</v>
      </c>
      <c r="HB5" s="95">
        <f>HB7</f>
        <v>0.2</v>
      </c>
      <c r="HD5" s="355" t="s">
        <v>51</v>
      </c>
      <c r="HE5" s="95">
        <v>15</v>
      </c>
      <c r="HF5" s="95" t="s">
        <v>25</v>
      </c>
    </row>
    <row r="6" spans="1:214" s="95" customFormat="1" x14ac:dyDescent="0.2">
      <c r="A6" s="95" t="s">
        <v>261</v>
      </c>
      <c r="B6" s="353">
        <v>3.8600000000000001E-10</v>
      </c>
      <c r="C6" s="95" t="s">
        <v>64</v>
      </c>
      <c r="D6" s="95" t="s">
        <v>52</v>
      </c>
      <c r="E6" s="354">
        <f>0.693/E7</f>
        <v>4.3312499999999997E-4</v>
      </c>
      <c r="G6" s="95" t="s">
        <v>261</v>
      </c>
      <c r="H6" s="354">
        <f>B6</f>
        <v>3.8600000000000001E-10</v>
      </c>
      <c r="I6" s="95" t="s">
        <v>64</v>
      </c>
      <c r="J6" s="95" t="s">
        <v>77</v>
      </c>
      <c r="K6" s="354">
        <f>B7</f>
        <v>7.2999999999999996E-10</v>
      </c>
      <c r="L6" s="95" t="s">
        <v>64</v>
      </c>
      <c r="M6" s="95" t="s">
        <v>61</v>
      </c>
      <c r="N6" s="95">
        <v>26</v>
      </c>
      <c r="O6" s="95" t="s">
        <v>62</v>
      </c>
      <c r="P6" s="95" t="s">
        <v>61</v>
      </c>
      <c r="Q6" s="95">
        <v>26</v>
      </c>
      <c r="R6" s="95" t="s">
        <v>62</v>
      </c>
      <c r="S6" s="95" t="s">
        <v>61</v>
      </c>
      <c r="T6" s="95">
        <v>26</v>
      </c>
      <c r="U6" s="95" t="s">
        <v>62</v>
      </c>
      <c r="V6" s="95" t="s">
        <v>52</v>
      </c>
      <c r="W6" s="354">
        <f>0.693/W7</f>
        <v>4.3312499999999997E-4</v>
      </c>
      <c r="Y6" s="95" t="s">
        <v>52</v>
      </c>
      <c r="Z6" s="354">
        <f>0.693/Z7</f>
        <v>4.3312499999999997E-4</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25</v>
      </c>
      <c r="AT6" s="95" t="s">
        <v>62</v>
      </c>
      <c r="AU6" s="95" t="s">
        <v>61</v>
      </c>
      <c r="AV6" s="95">
        <v>25</v>
      </c>
      <c r="AW6" s="95" t="s">
        <v>62</v>
      </c>
      <c r="AX6" s="95" t="s">
        <v>61</v>
      </c>
      <c r="AY6" s="95">
        <v>25</v>
      </c>
      <c r="AZ6" s="95" t="s">
        <v>62</v>
      </c>
      <c r="BA6" s="95" t="s">
        <v>61</v>
      </c>
      <c r="BB6" s="95">
        <v>25</v>
      </c>
      <c r="BC6" s="95" t="s">
        <v>62</v>
      </c>
      <c r="BD6" s="95" t="s">
        <v>61</v>
      </c>
      <c r="BE6" s="95">
        <v>25</v>
      </c>
      <c r="BF6" s="95" t="s">
        <v>62</v>
      </c>
      <c r="BG6" s="95" t="s">
        <v>61</v>
      </c>
      <c r="BH6" s="95">
        <v>25</v>
      </c>
      <c r="BI6" s="95" t="s">
        <v>62</v>
      </c>
      <c r="BJ6" s="95" t="s">
        <v>61</v>
      </c>
      <c r="BK6" s="95">
        <v>1</v>
      </c>
      <c r="BL6" s="95" t="s">
        <v>62</v>
      </c>
      <c r="BM6" s="95" t="s">
        <v>61</v>
      </c>
      <c r="BN6" s="95">
        <v>1</v>
      </c>
      <c r="BO6" s="95" t="s">
        <v>62</v>
      </c>
      <c r="BP6" s="95" t="s">
        <v>61</v>
      </c>
      <c r="BQ6" s="95">
        <v>1</v>
      </c>
      <c r="BR6" s="95" t="s">
        <v>62</v>
      </c>
      <c r="BS6" s="95" t="s">
        <v>52</v>
      </c>
      <c r="BT6" s="354">
        <f>0.693/BT7</f>
        <v>4.3312499999999997E-4</v>
      </c>
      <c r="BV6" s="95" t="s">
        <v>261</v>
      </c>
      <c r="BW6" s="354">
        <f>H6</f>
        <v>3.8600000000000001E-10</v>
      </c>
      <c r="BX6" s="95" t="s">
        <v>64</v>
      </c>
      <c r="BY6" s="95" t="s">
        <v>77</v>
      </c>
      <c r="BZ6" s="354">
        <f>B7</f>
        <v>7.2999999999999996E-10</v>
      </c>
      <c r="CA6" s="95" t="s">
        <v>64</v>
      </c>
      <c r="CB6" s="95" t="s">
        <v>61</v>
      </c>
      <c r="CC6" s="95">
        <v>26</v>
      </c>
      <c r="CD6" s="95" t="s">
        <v>62</v>
      </c>
      <c r="CE6" s="95" t="s">
        <v>61</v>
      </c>
      <c r="CF6" s="95">
        <v>26</v>
      </c>
      <c r="CG6" s="95" t="s">
        <v>62</v>
      </c>
      <c r="CH6" s="95" t="s">
        <v>61</v>
      </c>
      <c r="CI6" s="95">
        <v>26</v>
      </c>
      <c r="CJ6" s="95" t="s">
        <v>62</v>
      </c>
      <c r="CK6" s="95" t="s">
        <v>415</v>
      </c>
      <c r="CL6" s="354">
        <f>E33</f>
        <v>5.1499999999999998E-10</v>
      </c>
      <c r="CM6" s="95" t="s">
        <v>23</v>
      </c>
      <c r="CN6" s="95" t="s">
        <v>50</v>
      </c>
      <c r="CO6" s="95">
        <f>CO8</f>
        <v>0.2</v>
      </c>
      <c r="CQ6" s="95" t="s">
        <v>345</v>
      </c>
      <c r="CR6" s="357">
        <v>1</v>
      </c>
      <c r="CS6" s="95" t="s">
        <v>59</v>
      </c>
      <c r="CT6" s="95" t="s">
        <v>77</v>
      </c>
      <c r="CU6" s="354">
        <f>B7</f>
        <v>7.2999999999999996E-10</v>
      </c>
      <c r="CV6" s="95" t="s">
        <v>64</v>
      </c>
      <c r="CW6" s="95" t="s">
        <v>52</v>
      </c>
      <c r="CX6" s="354">
        <f>0.693/CX7</f>
        <v>4.3312499999999997E-4</v>
      </c>
      <c r="CZ6" s="95" t="s">
        <v>261</v>
      </c>
      <c r="DA6" s="354">
        <f>B6</f>
        <v>3.8600000000000001E-10</v>
      </c>
      <c r="DB6" s="95" t="s">
        <v>64</v>
      </c>
      <c r="DC6" s="95" t="s">
        <v>415</v>
      </c>
      <c r="DD6" s="354">
        <f>B16</f>
        <v>5.1499999999999998E-10</v>
      </c>
      <c r="DE6" s="95" t="s">
        <v>64</v>
      </c>
      <c r="DF6" s="95" t="s">
        <v>56</v>
      </c>
      <c r="DG6" s="95">
        <f>(DG8*DG9*DG14*((1-EXP(-DG11*DG12))))/(DG13*DG11)</f>
        <v>9.2368970701819411</v>
      </c>
      <c r="DH6" s="95" t="s">
        <v>48</v>
      </c>
      <c r="DI6" s="95" t="s">
        <v>57</v>
      </c>
      <c r="DJ6" s="95">
        <f>DJ8</f>
        <v>0.26</v>
      </c>
      <c r="DL6" s="95" t="s">
        <v>57</v>
      </c>
      <c r="DM6" s="95">
        <f>DM8</f>
        <v>0.26</v>
      </c>
      <c r="DO6" s="95" t="s">
        <v>56</v>
      </c>
      <c r="DP6" s="95">
        <f>(DP8*DP9*DP14*((1-EXP(-DP11*DP12))))/(DP13*DP11)</f>
        <v>9.2940667982112686</v>
      </c>
      <c r="DQ6" s="95" t="s">
        <v>48</v>
      </c>
      <c r="DR6" s="95" t="s">
        <v>415</v>
      </c>
      <c r="DS6" s="354">
        <f>B16</f>
        <v>5.1499999999999998E-10</v>
      </c>
      <c r="DT6" s="95" t="s">
        <v>64</v>
      </c>
      <c r="DU6" s="95" t="s">
        <v>58</v>
      </c>
      <c r="DV6" s="95">
        <v>92</v>
      </c>
      <c r="DW6" s="95" t="s">
        <v>59</v>
      </c>
      <c r="DX6" s="95" t="s">
        <v>57</v>
      </c>
      <c r="DY6" s="95">
        <f>DY8</f>
        <v>0.25</v>
      </c>
      <c r="EA6" s="95" t="s">
        <v>57</v>
      </c>
      <c r="EB6" s="95">
        <f>EB8</f>
        <v>0.25</v>
      </c>
      <c r="ED6" s="95" t="s">
        <v>57</v>
      </c>
      <c r="EE6" s="95">
        <f>EE8</f>
        <v>0.25</v>
      </c>
      <c r="EG6" s="95" t="s">
        <v>415</v>
      </c>
      <c r="EH6" s="354">
        <f>B16</f>
        <v>5.1499999999999998E-10</v>
      </c>
      <c r="EI6" s="95" t="s">
        <v>64</v>
      </c>
      <c r="EJ6" s="95" t="s">
        <v>60</v>
      </c>
      <c r="EK6" s="95">
        <v>53</v>
      </c>
      <c r="EL6" s="95" t="s">
        <v>59</v>
      </c>
      <c r="EM6" s="95" t="s">
        <v>57</v>
      </c>
      <c r="EN6" s="95">
        <f>EN8</f>
        <v>0.25</v>
      </c>
      <c r="EP6" s="95" t="s">
        <v>57</v>
      </c>
      <c r="EQ6" s="95">
        <f>EQ8</f>
        <v>0.25</v>
      </c>
      <c r="ES6" s="95" t="s">
        <v>57</v>
      </c>
      <c r="ET6" s="95">
        <f>ET8</f>
        <v>0.25</v>
      </c>
      <c r="EV6" s="95" t="s">
        <v>415</v>
      </c>
      <c r="EW6" s="354">
        <f>B16</f>
        <v>5.1499999999999998E-10</v>
      </c>
      <c r="EX6" s="95" t="s">
        <v>64</v>
      </c>
      <c r="EY6" s="95" t="s">
        <v>297</v>
      </c>
      <c r="EZ6" s="95">
        <v>0.4</v>
      </c>
      <c r="FA6" s="95" t="s">
        <v>59</v>
      </c>
      <c r="FB6" s="95" t="s">
        <v>57</v>
      </c>
      <c r="FC6" s="95">
        <f>FC8</f>
        <v>0.25</v>
      </c>
      <c r="FE6" s="95" t="s">
        <v>57</v>
      </c>
      <c r="FF6" s="95">
        <f>FF8</f>
        <v>0.25</v>
      </c>
      <c r="FH6" s="95" t="s">
        <v>57</v>
      </c>
      <c r="FI6" s="95">
        <f>FI8</f>
        <v>0.25</v>
      </c>
      <c r="FK6" s="95" t="s">
        <v>415</v>
      </c>
      <c r="FL6" s="354">
        <f>B16</f>
        <v>5.1499999999999998E-10</v>
      </c>
      <c r="FM6" s="95" t="s">
        <v>64</v>
      </c>
      <c r="FN6" s="95" t="s">
        <v>300</v>
      </c>
      <c r="FO6" s="357">
        <v>1</v>
      </c>
      <c r="FP6" s="95" t="s">
        <v>59</v>
      </c>
      <c r="FQ6" s="95" t="s">
        <v>322</v>
      </c>
      <c r="FR6" s="354">
        <v>8.1999999999999993</v>
      </c>
      <c r="FT6" s="95" t="s">
        <v>57</v>
      </c>
      <c r="FU6" s="95">
        <f>FU8</f>
        <v>0.25</v>
      </c>
      <c r="FW6" s="95" t="s">
        <v>57</v>
      </c>
      <c r="FX6" s="95">
        <f>FX8</f>
        <v>0.25</v>
      </c>
      <c r="FZ6" s="95" t="s">
        <v>415</v>
      </c>
      <c r="GA6" s="354">
        <f>B16</f>
        <v>5.1499999999999998E-10</v>
      </c>
      <c r="GB6" s="95" t="s">
        <v>64</v>
      </c>
      <c r="GC6" s="95" t="s">
        <v>298</v>
      </c>
      <c r="GD6" s="95">
        <v>0.4</v>
      </c>
      <c r="GE6" s="95" t="s">
        <v>59</v>
      </c>
      <c r="GF6" s="95" t="s">
        <v>57</v>
      </c>
      <c r="GG6" s="95">
        <f>GG8</f>
        <v>0.25</v>
      </c>
      <c r="GI6" s="95" t="s">
        <v>57</v>
      </c>
      <c r="GJ6" s="95">
        <f>GJ8</f>
        <v>0.25</v>
      </c>
      <c r="GL6" s="95" t="s">
        <v>57</v>
      </c>
      <c r="GM6" s="95">
        <f>GM8</f>
        <v>0.25</v>
      </c>
      <c r="GO6" s="95" t="s">
        <v>415</v>
      </c>
      <c r="GP6" s="354">
        <f>B16</f>
        <v>5.1499999999999998E-10</v>
      </c>
      <c r="GQ6" s="95" t="s">
        <v>64</v>
      </c>
      <c r="GR6" s="95" t="s">
        <v>299</v>
      </c>
      <c r="GS6" s="95">
        <v>11.4</v>
      </c>
      <c r="GT6" s="95" t="s">
        <v>59</v>
      </c>
      <c r="GU6" s="95" t="s">
        <v>57</v>
      </c>
      <c r="GV6" s="95">
        <f>GV8</f>
        <v>0.25</v>
      </c>
      <c r="GX6" s="95" t="s">
        <v>57</v>
      </c>
      <c r="GY6" s="95">
        <f>GY8</f>
        <v>0.25</v>
      </c>
      <c r="HA6" s="95" t="s">
        <v>57</v>
      </c>
      <c r="HB6" s="95">
        <f>HB8</f>
        <v>0.25</v>
      </c>
      <c r="HD6" s="95" t="s">
        <v>17</v>
      </c>
      <c r="HE6" s="354">
        <f>H3</f>
        <v>1.0611471838544945E-3</v>
      </c>
      <c r="HF6" s="95" t="s">
        <v>25</v>
      </c>
    </row>
    <row r="7" spans="1:214" s="95" customFormat="1" x14ac:dyDescent="0.2">
      <c r="A7" s="95" t="s">
        <v>77</v>
      </c>
      <c r="B7" s="353">
        <v>7.2999999999999996E-10</v>
      </c>
      <c r="C7" s="95" t="s">
        <v>64</v>
      </c>
      <c r="D7" s="95" t="s">
        <v>448</v>
      </c>
      <c r="E7" s="354">
        <f>B17</f>
        <v>1600</v>
      </c>
      <c r="F7" s="95" t="s">
        <v>129</v>
      </c>
      <c r="G7" s="95" t="s">
        <v>75</v>
      </c>
      <c r="H7" s="354">
        <f>B5</f>
        <v>1.16E-8</v>
      </c>
      <c r="I7" s="95" t="s">
        <v>64</v>
      </c>
      <c r="J7" s="95" t="s">
        <v>75</v>
      </c>
      <c r="K7" s="354">
        <f>B5</f>
        <v>1.16E-8</v>
      </c>
      <c r="L7" s="95" t="s">
        <v>64</v>
      </c>
      <c r="M7" s="95" t="s">
        <v>52</v>
      </c>
      <c r="N7" s="354">
        <f>0.693/N8</f>
        <v>4.3312499999999997E-4</v>
      </c>
      <c r="P7" s="95" t="s">
        <v>52</v>
      </c>
      <c r="Q7" s="354">
        <f>0.693/Q8</f>
        <v>4.3312499999999997E-4</v>
      </c>
      <c r="S7" s="95" t="s">
        <v>52</v>
      </c>
      <c r="T7" s="354">
        <f>0.693/T8</f>
        <v>4.3312499999999997E-4</v>
      </c>
      <c r="V7" s="95" t="s">
        <v>448</v>
      </c>
      <c r="W7" s="354">
        <f>B17</f>
        <v>1600</v>
      </c>
      <c r="X7" s="95" t="s">
        <v>129</v>
      </c>
      <c r="Y7" s="95" t="s">
        <v>448</v>
      </c>
      <c r="Z7" s="354">
        <f>B17</f>
        <v>1600</v>
      </c>
      <c r="AA7" s="95" t="s">
        <v>129</v>
      </c>
      <c r="AI7" s="95" t="s">
        <v>52</v>
      </c>
      <c r="AJ7" s="354">
        <f>0.693/AJ8</f>
        <v>4.3312499999999997E-4</v>
      </c>
      <c r="AL7" s="95" t="s">
        <v>52</v>
      </c>
      <c r="AM7" s="354">
        <f>0.693/AM8</f>
        <v>4.3312499999999997E-4</v>
      </c>
      <c r="AO7" s="95" t="s">
        <v>52</v>
      </c>
      <c r="AP7" s="354">
        <f>0.693/AP8</f>
        <v>4.3312499999999997E-4</v>
      </c>
      <c r="AR7" s="95" t="s">
        <v>52</v>
      </c>
      <c r="AS7" s="354">
        <f>0.693/AS8</f>
        <v>4.3312499999999997E-4</v>
      </c>
      <c r="AU7" s="95" t="s">
        <v>52</v>
      </c>
      <c r="AV7" s="354">
        <f>0.693/AV8</f>
        <v>4.3312499999999997E-4</v>
      </c>
      <c r="AX7" s="95" t="s">
        <v>52</v>
      </c>
      <c r="AY7" s="354">
        <f>0.693/AY8</f>
        <v>4.3312499999999997E-4</v>
      </c>
      <c r="BA7" s="95" t="s">
        <v>52</v>
      </c>
      <c r="BB7" s="354">
        <f>0.693/BB8</f>
        <v>4.3312499999999997E-4</v>
      </c>
      <c r="BD7" s="95" t="s">
        <v>52</v>
      </c>
      <c r="BE7" s="354">
        <f>0.693/BE8</f>
        <v>4.3312499999999997E-4</v>
      </c>
      <c r="BG7" s="95" t="s">
        <v>52</v>
      </c>
      <c r="BH7" s="354">
        <f>0.693/BH8</f>
        <v>4.3312499999999997E-4</v>
      </c>
      <c r="BJ7" s="95" t="s">
        <v>52</v>
      </c>
      <c r="BK7" s="354">
        <f>0.693/BK8</f>
        <v>4.3312499999999997E-4</v>
      </c>
      <c r="BM7" s="95" t="s">
        <v>52</v>
      </c>
      <c r="BN7" s="354">
        <f>0.693/BN8</f>
        <v>4.3312499999999997E-4</v>
      </c>
      <c r="BP7" s="95" t="s">
        <v>52</v>
      </c>
      <c r="BQ7" s="354">
        <f>0.693/BQ8</f>
        <v>4.3312499999999997E-4</v>
      </c>
      <c r="BS7" s="95" t="s">
        <v>448</v>
      </c>
      <c r="BT7" s="354">
        <f>B17</f>
        <v>1600</v>
      </c>
      <c r="BU7" s="95" t="s">
        <v>129</v>
      </c>
      <c r="BV7" s="95" t="s">
        <v>75</v>
      </c>
      <c r="BW7" s="354">
        <f>E10</f>
        <v>1.16E-8</v>
      </c>
      <c r="BX7" s="95" t="s">
        <v>64</v>
      </c>
      <c r="BY7" s="95" t="s">
        <v>75</v>
      </c>
      <c r="BZ7" s="354">
        <f>B5</f>
        <v>1.16E-8</v>
      </c>
      <c r="CA7" s="95" t="s">
        <v>64</v>
      </c>
      <c r="CB7" s="95" t="s">
        <v>52</v>
      </c>
      <c r="CC7" s="354">
        <f>0.693/CC8</f>
        <v>4.3312499999999997E-4</v>
      </c>
      <c r="CE7" s="95" t="s">
        <v>52</v>
      </c>
      <c r="CF7" s="354">
        <f>0.693/CF8</f>
        <v>4.3312499999999997E-4</v>
      </c>
      <c r="CH7" s="95" t="s">
        <v>52</v>
      </c>
      <c r="CI7" s="354">
        <f>0.693/CI8</f>
        <v>4.3312499999999997E-4</v>
      </c>
      <c r="CK7" s="95" t="s">
        <v>238</v>
      </c>
      <c r="CL7" s="95">
        <v>75</v>
      </c>
      <c r="CM7" s="95" t="s">
        <v>268</v>
      </c>
      <c r="CN7" s="95" t="s">
        <v>57</v>
      </c>
      <c r="CO7" s="95">
        <f>CO9</f>
        <v>0.25</v>
      </c>
      <c r="CR7" s="95">
        <v>1000</v>
      </c>
      <c r="CS7" s="95" t="s">
        <v>230</v>
      </c>
      <c r="CT7" s="95" t="s">
        <v>75</v>
      </c>
      <c r="CU7" s="354">
        <f>B5</f>
        <v>1.16E-8</v>
      </c>
      <c r="CV7" s="95" t="s">
        <v>64</v>
      </c>
      <c r="CW7" s="95" t="s">
        <v>448</v>
      </c>
      <c r="CX7" s="354">
        <f>B17</f>
        <v>1600</v>
      </c>
      <c r="CY7" s="95" t="s">
        <v>129</v>
      </c>
      <c r="CZ7" s="95" t="s">
        <v>75</v>
      </c>
      <c r="DA7" s="354">
        <f>B5</f>
        <v>1.16E-8</v>
      </c>
      <c r="DB7" s="95" t="s">
        <v>64</v>
      </c>
      <c r="DC7" s="95" t="s">
        <v>142</v>
      </c>
      <c r="DD7" s="358">
        <f>(DD5)/(DD6*(DD8+DD11)*DD21)</f>
        <v>1.8303695836504067E-3</v>
      </c>
      <c r="DE7" s="95" t="s">
        <v>23</v>
      </c>
      <c r="DF7" s="95" t="s">
        <v>65</v>
      </c>
      <c r="DG7" s="95">
        <f>(DG8*DG9*DG15*DG21*((1-EXP(-DG16*DG17))))/(DG18*DG16)</f>
        <v>3.6423470278489711</v>
      </c>
      <c r="DH7" s="95" t="s">
        <v>48</v>
      </c>
      <c r="DI7" s="95" t="s">
        <v>66</v>
      </c>
      <c r="DJ7" s="354">
        <f>B30</f>
        <v>0.04</v>
      </c>
      <c r="DL7" s="95" t="s">
        <v>66</v>
      </c>
      <c r="DM7" s="354">
        <f>B30</f>
        <v>0.04</v>
      </c>
      <c r="DO7" s="95" t="s">
        <v>65</v>
      </c>
      <c r="DP7" s="95">
        <f>(DP8*DP9*DP15*DP21*((1-EXP(-DP16*DP17))))/(DP18*DP16)</f>
        <v>3.6424203206347228</v>
      </c>
      <c r="DQ7" s="95" t="s">
        <v>48</v>
      </c>
      <c r="DR7" s="95" t="s">
        <v>142</v>
      </c>
      <c r="DS7" s="358">
        <f>DS5/(DS6*DS8*DS17)</f>
        <v>2.4716431471283893E-4</v>
      </c>
      <c r="DT7" s="95" t="s">
        <v>23</v>
      </c>
      <c r="DX7" s="95" t="s">
        <v>67</v>
      </c>
      <c r="DY7" s="354">
        <f>B31</f>
        <v>0.2</v>
      </c>
      <c r="EA7" s="95" t="s">
        <v>67</v>
      </c>
      <c r="EB7" s="354">
        <f>B31</f>
        <v>0.2</v>
      </c>
      <c r="ED7" s="95" t="s">
        <v>67</v>
      </c>
      <c r="EE7" s="354">
        <f>B31</f>
        <v>0.2</v>
      </c>
      <c r="EG7" s="95" t="s">
        <v>142</v>
      </c>
      <c r="EH7" s="422">
        <f>EH5/(EH6*EH8*EH15*EH16)</f>
        <v>2.9178174725305469E-8</v>
      </c>
      <c r="EI7" s="95" t="s">
        <v>23</v>
      </c>
      <c r="EM7" s="95" t="s">
        <v>67</v>
      </c>
      <c r="EN7" s="354">
        <f>B31</f>
        <v>0.2</v>
      </c>
      <c r="EP7" s="95" t="s">
        <v>67</v>
      </c>
      <c r="EQ7" s="354">
        <f>B31</f>
        <v>0.2</v>
      </c>
      <c r="ES7" s="95" t="s">
        <v>67</v>
      </c>
      <c r="ET7" s="354">
        <f>B31</f>
        <v>0.2</v>
      </c>
      <c r="EV7" s="95" t="s">
        <v>142</v>
      </c>
      <c r="EW7" s="358">
        <f>EW5/(EW6*EW8*EW17)</f>
        <v>3.8911708799696382E-3</v>
      </c>
      <c r="EX7" s="95" t="s">
        <v>23</v>
      </c>
      <c r="EZ7" s="95">
        <v>1000</v>
      </c>
      <c r="FA7" s="95" t="s">
        <v>230</v>
      </c>
      <c r="FB7" s="95" t="s">
        <v>67</v>
      </c>
      <c r="FC7" s="354">
        <f>B31</f>
        <v>0.2</v>
      </c>
      <c r="FE7" s="95" t="s">
        <v>67</v>
      </c>
      <c r="FF7" s="354">
        <f>B31</f>
        <v>0.2</v>
      </c>
      <c r="FH7" s="95" t="s">
        <v>67</v>
      </c>
      <c r="FI7" s="354">
        <f>B31</f>
        <v>0.2</v>
      </c>
      <c r="FK7" s="95" t="s">
        <v>142</v>
      </c>
      <c r="FL7" s="358">
        <f>FL5/(FL6*FL8*FL17)</f>
        <v>1.2690933353824265E-3</v>
      </c>
      <c r="FM7" s="95" t="s">
        <v>23</v>
      </c>
      <c r="FO7" s="95">
        <v>1000</v>
      </c>
      <c r="FP7" s="95" t="s">
        <v>230</v>
      </c>
      <c r="FT7" s="95" t="s">
        <v>67</v>
      </c>
      <c r="FU7" s="354">
        <f>B31</f>
        <v>0.2</v>
      </c>
      <c r="FW7" s="95" t="s">
        <v>67</v>
      </c>
      <c r="FX7" s="354">
        <f>B31</f>
        <v>0.2</v>
      </c>
      <c r="FZ7" s="95" t="s">
        <v>142</v>
      </c>
      <c r="GA7" s="358">
        <f>GA5/(GA6*GA8*GA17)</f>
        <v>1.6236091452342849E-3</v>
      </c>
      <c r="GB7" s="95" t="s">
        <v>23</v>
      </c>
      <c r="GD7" s="95">
        <v>1000</v>
      </c>
      <c r="GE7" s="95" t="s">
        <v>230</v>
      </c>
      <c r="GF7" s="95" t="s">
        <v>67</v>
      </c>
      <c r="GG7" s="354">
        <f>B31</f>
        <v>0.2</v>
      </c>
      <c r="GI7" s="95" t="s">
        <v>67</v>
      </c>
      <c r="GJ7" s="354">
        <f>B31</f>
        <v>0.2</v>
      </c>
      <c r="GL7" s="95" t="s">
        <v>67</v>
      </c>
      <c r="GM7" s="354">
        <f>B31</f>
        <v>0.2</v>
      </c>
      <c r="GO7" s="95" t="s">
        <v>142</v>
      </c>
      <c r="GP7" s="358">
        <f>GP5/(GP6*GP8*GP16)</f>
        <v>2.0901789078614781E-3</v>
      </c>
      <c r="GQ7" s="95" t="s">
        <v>23</v>
      </c>
      <c r="GS7" s="95">
        <v>1000</v>
      </c>
      <c r="GT7" s="95" t="s">
        <v>230</v>
      </c>
      <c r="GU7" s="95" t="s">
        <v>67</v>
      </c>
      <c r="GV7" s="354">
        <f>B31</f>
        <v>0.2</v>
      </c>
      <c r="GX7" s="95" t="s">
        <v>67</v>
      </c>
      <c r="GY7" s="354">
        <f>B31</f>
        <v>0.2</v>
      </c>
      <c r="HA7" s="95" t="s">
        <v>67</v>
      </c>
      <c r="HB7" s="354">
        <f>B31</f>
        <v>0.2</v>
      </c>
      <c r="HD7" s="95" t="s">
        <v>52</v>
      </c>
      <c r="HE7" s="354">
        <f>0.693/HE8</f>
        <v>4.3312499999999997E-4</v>
      </c>
    </row>
    <row r="8" spans="1:214" s="95" customFormat="1" x14ac:dyDescent="0.2">
      <c r="A8" s="95" t="s">
        <v>461</v>
      </c>
      <c r="B8" s="353">
        <v>2.9500000000000002E-10</v>
      </c>
      <c r="C8" s="95" t="s">
        <v>64</v>
      </c>
      <c r="D8" s="95" t="s">
        <v>54</v>
      </c>
      <c r="E8" s="95">
        <v>350</v>
      </c>
      <c r="F8" s="95" t="s">
        <v>63</v>
      </c>
      <c r="G8" s="95" t="s">
        <v>409</v>
      </c>
      <c r="H8" s="354">
        <f>B15</f>
        <v>1.7100000000000001E-11</v>
      </c>
      <c r="I8" s="95" t="s">
        <v>64</v>
      </c>
      <c r="J8" s="95" t="s">
        <v>131</v>
      </c>
      <c r="K8" s="354">
        <f>B9</f>
        <v>8.49E-6</v>
      </c>
      <c r="L8" s="95" t="s">
        <v>163</v>
      </c>
      <c r="M8" s="95" t="s">
        <v>448</v>
      </c>
      <c r="N8" s="354">
        <f>B17</f>
        <v>1600</v>
      </c>
      <c r="O8" s="95" t="s">
        <v>129</v>
      </c>
      <c r="P8" s="95" t="s">
        <v>448</v>
      </c>
      <c r="Q8" s="354">
        <f>B17</f>
        <v>1600</v>
      </c>
      <c r="R8" s="95" t="s">
        <v>129</v>
      </c>
      <c r="S8" s="95" t="s">
        <v>448</v>
      </c>
      <c r="T8" s="354">
        <f>B17</f>
        <v>1600</v>
      </c>
      <c r="U8" s="95" t="s">
        <v>129</v>
      </c>
      <c r="V8" s="95" t="s">
        <v>54</v>
      </c>
      <c r="W8" s="95">
        <v>225</v>
      </c>
      <c r="X8" s="95" t="s">
        <v>63</v>
      </c>
      <c r="Y8" s="95" t="s">
        <v>54</v>
      </c>
      <c r="Z8" s="95">
        <v>250</v>
      </c>
      <c r="AA8" s="95" t="s">
        <v>63</v>
      </c>
      <c r="AB8" s="95" t="s">
        <v>69</v>
      </c>
      <c r="AC8" s="95">
        <v>250</v>
      </c>
      <c r="AD8" s="95">
        <v>250</v>
      </c>
      <c r="AE8" s="95">
        <v>225</v>
      </c>
      <c r="AF8" s="95">
        <f>AF12*AF13</f>
        <v>250</v>
      </c>
      <c r="AG8" s="95">
        <f>AG12*AG13</f>
        <v>250</v>
      </c>
      <c r="AH8" s="95" t="s">
        <v>55</v>
      </c>
      <c r="AI8" s="95" t="s">
        <v>448</v>
      </c>
      <c r="AJ8" s="354">
        <f>B17</f>
        <v>1600</v>
      </c>
      <c r="AK8" s="95" t="s">
        <v>129</v>
      </c>
      <c r="AL8" s="95" t="s">
        <v>448</v>
      </c>
      <c r="AM8" s="354">
        <f>B17</f>
        <v>1600</v>
      </c>
      <c r="AN8" s="95" t="s">
        <v>129</v>
      </c>
      <c r="AO8" s="95" t="s">
        <v>448</v>
      </c>
      <c r="AP8" s="354">
        <f>B17</f>
        <v>1600</v>
      </c>
      <c r="AQ8" s="95" t="s">
        <v>129</v>
      </c>
      <c r="AR8" s="95" t="s">
        <v>448</v>
      </c>
      <c r="AS8" s="354">
        <f>B17</f>
        <v>1600</v>
      </c>
      <c r="AT8" s="95" t="s">
        <v>129</v>
      </c>
      <c r="AU8" s="95" t="s">
        <v>448</v>
      </c>
      <c r="AV8" s="354">
        <f>B17</f>
        <v>1600</v>
      </c>
      <c r="AW8" s="95" t="s">
        <v>129</v>
      </c>
      <c r="AX8" s="95" t="s">
        <v>448</v>
      </c>
      <c r="AY8" s="354">
        <f>B17</f>
        <v>1600</v>
      </c>
      <c r="AZ8" s="95" t="s">
        <v>129</v>
      </c>
      <c r="BA8" s="95" t="s">
        <v>448</v>
      </c>
      <c r="BB8" s="354">
        <f>B17</f>
        <v>1600</v>
      </c>
      <c r="BC8" s="95" t="s">
        <v>129</v>
      </c>
      <c r="BD8" s="95" t="s">
        <v>448</v>
      </c>
      <c r="BE8" s="354">
        <f>B17</f>
        <v>1600</v>
      </c>
      <c r="BF8" s="95" t="s">
        <v>129</v>
      </c>
      <c r="BG8" s="95" t="s">
        <v>448</v>
      </c>
      <c r="BH8" s="354">
        <f>B17</f>
        <v>1600</v>
      </c>
      <c r="BI8" s="95" t="s">
        <v>129</v>
      </c>
      <c r="BJ8" s="95" t="s">
        <v>448</v>
      </c>
      <c r="BK8" s="354">
        <f>B17</f>
        <v>1600</v>
      </c>
      <c r="BL8" s="95" t="s">
        <v>129</v>
      </c>
      <c r="BM8" s="95" t="s">
        <v>448</v>
      </c>
      <c r="BN8" s="354">
        <f>B17</f>
        <v>1600</v>
      </c>
      <c r="BO8" s="95" t="s">
        <v>129</v>
      </c>
      <c r="BP8" s="95" t="s">
        <v>448</v>
      </c>
      <c r="BQ8" s="354">
        <f>B17</f>
        <v>1600</v>
      </c>
      <c r="BR8" s="95" t="s">
        <v>129</v>
      </c>
      <c r="BS8" s="95" t="s">
        <v>54</v>
      </c>
      <c r="BT8" s="95">
        <v>75</v>
      </c>
      <c r="BU8" s="95" t="s">
        <v>63</v>
      </c>
      <c r="BV8" s="95" t="s">
        <v>409</v>
      </c>
      <c r="BW8" s="354">
        <f>H8</f>
        <v>1.7100000000000001E-11</v>
      </c>
      <c r="BX8" s="95" t="s">
        <v>64</v>
      </c>
      <c r="BY8" s="95" t="s">
        <v>131</v>
      </c>
      <c r="BZ8" s="354">
        <f>B9</f>
        <v>8.49E-6</v>
      </c>
      <c r="CA8" s="95" t="s">
        <v>163</v>
      </c>
      <c r="CB8" s="95" t="s">
        <v>448</v>
      </c>
      <c r="CC8" s="354">
        <f>B17</f>
        <v>1600</v>
      </c>
      <c r="CD8" s="95" t="s">
        <v>129</v>
      </c>
      <c r="CE8" s="95" t="s">
        <v>448</v>
      </c>
      <c r="CF8" s="354">
        <f>B17</f>
        <v>1600</v>
      </c>
      <c r="CG8" s="95" t="s">
        <v>129</v>
      </c>
      <c r="CH8" s="95" t="s">
        <v>448</v>
      </c>
      <c r="CI8" s="354">
        <f>B17</f>
        <v>1600</v>
      </c>
      <c r="CJ8" s="95" t="s">
        <v>129</v>
      </c>
      <c r="CK8" s="95" t="s">
        <v>107</v>
      </c>
      <c r="CL8" s="95">
        <v>26</v>
      </c>
      <c r="CM8" s="95" t="s">
        <v>276</v>
      </c>
      <c r="CN8" s="95" t="s">
        <v>67</v>
      </c>
      <c r="CO8" s="354">
        <f>B31</f>
        <v>0.2</v>
      </c>
      <c r="CT8" s="95" t="s">
        <v>131</v>
      </c>
      <c r="CU8" s="354">
        <f>B9</f>
        <v>8.49E-6</v>
      </c>
      <c r="CV8" s="95" t="s">
        <v>163</v>
      </c>
      <c r="CW8" s="95" t="s">
        <v>54</v>
      </c>
      <c r="CX8" s="95">
        <v>350</v>
      </c>
      <c r="CY8" s="95" t="s">
        <v>63</v>
      </c>
      <c r="CZ8" s="95" t="s">
        <v>257</v>
      </c>
      <c r="DA8" s="359">
        <f>B15</f>
        <v>1.7100000000000001E-11</v>
      </c>
      <c r="DB8" s="95" t="s">
        <v>64</v>
      </c>
      <c r="DC8" s="95" t="s">
        <v>282</v>
      </c>
      <c r="DD8" s="360">
        <f>(DD9*DD15*DD16)+(DD10*DD14*DD17)</f>
        <v>699860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7856100</v>
      </c>
      <c r="DT8" s="95" t="s">
        <v>230</v>
      </c>
      <c r="DX8" s="95" t="s">
        <v>73</v>
      </c>
      <c r="DY8" s="95">
        <v>0.25</v>
      </c>
      <c r="EA8" s="95" t="s">
        <v>73</v>
      </c>
      <c r="EB8" s="95">
        <v>0.25</v>
      </c>
      <c r="ED8" s="95" t="s">
        <v>73</v>
      </c>
      <c r="EE8" s="95">
        <v>0.25</v>
      </c>
      <c r="EG8" s="95" t="s">
        <v>284</v>
      </c>
      <c r="EH8" s="360">
        <f>(EH13*EH11*EH9)+(EH14*EH12*EH10)</f>
        <v>1663698.6301369865</v>
      </c>
      <c r="EI8" s="95" t="s">
        <v>230</v>
      </c>
      <c r="EM8" s="95" t="s">
        <v>73</v>
      </c>
      <c r="EN8" s="95">
        <v>0.25</v>
      </c>
      <c r="EP8" s="95" t="s">
        <v>73</v>
      </c>
      <c r="EQ8" s="95">
        <v>0.25</v>
      </c>
      <c r="ES8" s="95" t="s">
        <v>73</v>
      </c>
      <c r="ET8" s="95">
        <v>0.25</v>
      </c>
      <c r="EV8" s="95" t="s">
        <v>286</v>
      </c>
      <c r="EW8" s="360">
        <f>(EW11*EW13*EW9)+(EW12*EW14*EW10)</f>
        <v>499013.69863013696</v>
      </c>
      <c r="EX8" s="95" t="s">
        <v>230</v>
      </c>
      <c r="FB8" s="95" t="s">
        <v>316</v>
      </c>
      <c r="FC8" s="95">
        <v>0.25</v>
      </c>
      <c r="FE8" s="95" t="s">
        <v>316</v>
      </c>
      <c r="FF8" s="95">
        <v>0.25</v>
      </c>
      <c r="FH8" s="95" t="s">
        <v>316</v>
      </c>
      <c r="FI8" s="95">
        <v>0.25</v>
      </c>
      <c r="FK8" s="95" t="s">
        <v>289</v>
      </c>
      <c r="FL8" s="361">
        <f>(FL13*FL9*FL11)+(FL14*FL10*FL12)</f>
        <v>1530027.397260274</v>
      </c>
      <c r="FM8" s="95" t="s">
        <v>230</v>
      </c>
      <c r="FT8" s="95" t="s">
        <v>311</v>
      </c>
      <c r="FU8" s="95">
        <v>0.25</v>
      </c>
      <c r="FW8" s="95" t="s">
        <v>311</v>
      </c>
      <c r="FX8" s="95">
        <v>0.25</v>
      </c>
      <c r="FZ8" s="95" t="s">
        <v>292</v>
      </c>
      <c r="GA8" s="361">
        <f>(GA11*GA9*GA13)+(GA14*GA10*GA12)</f>
        <v>1195945.2054794519</v>
      </c>
      <c r="GB8" s="95" t="s">
        <v>230</v>
      </c>
      <c r="GF8" s="95" t="s">
        <v>305</v>
      </c>
      <c r="GG8" s="95">
        <v>0.25</v>
      </c>
      <c r="GI8" s="95" t="s">
        <v>305</v>
      </c>
      <c r="GJ8" s="95">
        <v>0.25</v>
      </c>
      <c r="GL8" s="95" t="s">
        <v>305</v>
      </c>
      <c r="GM8" s="95">
        <v>0.25</v>
      </c>
      <c r="GO8" s="95" t="s">
        <v>293</v>
      </c>
      <c r="GP8" s="360">
        <f>(GP13*GP9*GP11)+(GP14*GP10*GP12)</f>
        <v>928986.30136986298</v>
      </c>
      <c r="GQ8" s="95" t="s">
        <v>230</v>
      </c>
      <c r="GU8" s="95" t="s">
        <v>310</v>
      </c>
      <c r="GV8" s="95">
        <v>0.25</v>
      </c>
      <c r="GX8" s="95" t="s">
        <v>310</v>
      </c>
      <c r="GY8" s="95">
        <v>0.25</v>
      </c>
      <c r="HA8" s="95" t="s">
        <v>310</v>
      </c>
      <c r="HB8" s="95">
        <v>0.25</v>
      </c>
      <c r="HD8" s="95" t="s">
        <v>448</v>
      </c>
      <c r="HE8" s="354">
        <f>B17</f>
        <v>1600</v>
      </c>
      <c r="HF8" s="95" t="s">
        <v>129</v>
      </c>
    </row>
    <row r="9" spans="1:214" s="95" customFormat="1" x14ac:dyDescent="0.2">
      <c r="A9" s="95" t="s">
        <v>131</v>
      </c>
      <c r="B9" s="353">
        <v>8.49E-6</v>
      </c>
      <c r="C9" s="95" t="s">
        <v>163</v>
      </c>
      <c r="D9" s="95" t="s">
        <v>68</v>
      </c>
      <c r="E9" s="95">
        <v>26</v>
      </c>
      <c r="F9" s="95" t="s">
        <v>62</v>
      </c>
      <c r="G9" s="95" t="s">
        <v>415</v>
      </c>
      <c r="H9" s="354">
        <f>B16</f>
        <v>5.1499999999999998E-10</v>
      </c>
      <c r="I9" s="95" t="s">
        <v>64</v>
      </c>
      <c r="J9" s="95" t="s">
        <v>415</v>
      </c>
      <c r="K9" s="354">
        <f>B16</f>
        <v>5.1499999999999998E-10</v>
      </c>
      <c r="L9" s="95" t="s">
        <v>64</v>
      </c>
      <c r="M9" s="95" t="s">
        <v>54</v>
      </c>
      <c r="N9" s="95">
        <v>350</v>
      </c>
      <c r="O9" s="95" t="s">
        <v>63</v>
      </c>
      <c r="P9" s="95" t="s">
        <v>54</v>
      </c>
      <c r="Q9" s="95">
        <v>350</v>
      </c>
      <c r="R9" s="95" t="s">
        <v>63</v>
      </c>
      <c r="S9" s="95" t="s">
        <v>54</v>
      </c>
      <c r="T9" s="95">
        <v>350</v>
      </c>
      <c r="U9" s="95" t="s">
        <v>63</v>
      </c>
      <c r="V9" s="95" t="s">
        <v>68</v>
      </c>
      <c r="W9" s="95">
        <v>25</v>
      </c>
      <c r="X9" s="95" t="s">
        <v>62</v>
      </c>
      <c r="Y9" s="95" t="s">
        <v>68</v>
      </c>
      <c r="Z9" s="95">
        <v>25</v>
      </c>
      <c r="AA9" s="95" t="s">
        <v>62</v>
      </c>
      <c r="AB9" s="95" t="s">
        <v>77</v>
      </c>
      <c r="AC9" s="354">
        <f>B8</f>
        <v>2.9500000000000002E-10</v>
      </c>
      <c r="AD9" s="354">
        <f>B8</f>
        <v>2.9500000000000002E-10</v>
      </c>
      <c r="AE9" s="354">
        <f>B8</f>
        <v>2.9500000000000002E-10</v>
      </c>
      <c r="AF9" s="354">
        <f>B8</f>
        <v>2.9500000000000002E-10</v>
      </c>
      <c r="AG9" s="354">
        <f>B8</f>
        <v>2.9500000000000002E-10</v>
      </c>
      <c r="AH9" s="95" t="s">
        <v>64</v>
      </c>
      <c r="AI9" s="95" t="s">
        <v>54</v>
      </c>
      <c r="AJ9" s="95">
        <v>250</v>
      </c>
      <c r="AK9" s="95" t="s">
        <v>63</v>
      </c>
      <c r="AL9" s="95" t="s">
        <v>54</v>
      </c>
      <c r="AM9" s="95">
        <v>250</v>
      </c>
      <c r="AN9" s="95" t="s">
        <v>63</v>
      </c>
      <c r="AO9" s="95" t="s">
        <v>54</v>
      </c>
      <c r="AP9" s="95">
        <v>250</v>
      </c>
      <c r="AQ9" s="95" t="s">
        <v>63</v>
      </c>
      <c r="AR9" s="95" t="s">
        <v>54</v>
      </c>
      <c r="AS9" s="95">
        <v>225</v>
      </c>
      <c r="AT9" s="95" t="s">
        <v>63</v>
      </c>
      <c r="AU9" s="95" t="s">
        <v>54</v>
      </c>
      <c r="AV9" s="95">
        <v>225</v>
      </c>
      <c r="AW9" s="95" t="s">
        <v>63</v>
      </c>
      <c r="AX9" s="95" t="s">
        <v>54</v>
      </c>
      <c r="AY9" s="95">
        <v>225</v>
      </c>
      <c r="AZ9" s="95" t="s">
        <v>63</v>
      </c>
      <c r="BA9" s="95" t="s">
        <v>54</v>
      </c>
      <c r="BB9" s="95">
        <v>250</v>
      </c>
      <c r="BC9" s="95" t="s">
        <v>63</v>
      </c>
      <c r="BD9" s="95" t="s">
        <v>54</v>
      </c>
      <c r="BE9" s="95">
        <v>250</v>
      </c>
      <c r="BF9" s="95" t="s">
        <v>63</v>
      </c>
      <c r="BG9" s="95" t="s">
        <v>54</v>
      </c>
      <c r="BH9" s="95">
        <v>250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5.1499999999999998E-10</v>
      </c>
      <c r="BX9" s="95" t="s">
        <v>64</v>
      </c>
      <c r="BY9" s="95" t="s">
        <v>164</v>
      </c>
      <c r="BZ9" s="354">
        <f>B18</f>
        <v>1359344473.5814338</v>
      </c>
      <c r="CA9" s="95" t="s">
        <v>165</v>
      </c>
      <c r="CB9" s="95" t="s">
        <v>54</v>
      </c>
      <c r="CC9" s="95">
        <v>75</v>
      </c>
      <c r="CD9" s="95" t="s">
        <v>63</v>
      </c>
      <c r="CE9" s="95" t="s">
        <v>54</v>
      </c>
      <c r="CF9" s="95">
        <v>75</v>
      </c>
      <c r="CG9" s="95" t="s">
        <v>63</v>
      </c>
      <c r="CH9" s="95" t="s">
        <v>54</v>
      </c>
      <c r="CI9" s="95">
        <v>75</v>
      </c>
      <c r="CJ9" s="95" t="s">
        <v>63</v>
      </c>
      <c r="CK9" s="95" t="s">
        <v>330</v>
      </c>
      <c r="CL9" s="357">
        <v>1</v>
      </c>
      <c r="CM9" s="95" t="s">
        <v>413</v>
      </c>
      <c r="CN9" s="95" t="s">
        <v>340</v>
      </c>
      <c r="CO9" s="357">
        <v>0.25</v>
      </c>
      <c r="CT9" s="95" t="s">
        <v>415</v>
      </c>
      <c r="CU9" s="354">
        <f>B16</f>
        <v>5.1499999999999998E-10</v>
      </c>
      <c r="CV9" s="95" t="s">
        <v>64</v>
      </c>
      <c r="CW9" s="95" t="s">
        <v>68</v>
      </c>
      <c r="CX9" s="95">
        <v>40</v>
      </c>
      <c r="CY9" s="95" t="s">
        <v>62</v>
      </c>
      <c r="CZ9" s="95" t="s">
        <v>415</v>
      </c>
      <c r="DA9" s="354">
        <f>B16</f>
        <v>5.1499999999999998E-10</v>
      </c>
      <c r="DB9" s="95" t="s">
        <v>64</v>
      </c>
      <c r="DC9" s="95" t="s">
        <v>97</v>
      </c>
      <c r="DD9" s="354">
        <f>B40</f>
        <v>14.8</v>
      </c>
      <c r="DE9" s="95" t="s">
        <v>413</v>
      </c>
      <c r="DF9" s="95" t="s">
        <v>79</v>
      </c>
      <c r="DG9" s="95">
        <v>0.25</v>
      </c>
      <c r="DH9" s="95" t="s">
        <v>80</v>
      </c>
      <c r="DO9" s="95" t="s">
        <v>79</v>
      </c>
      <c r="DP9" s="95">
        <v>0.25</v>
      </c>
      <c r="DQ9" s="95" t="s">
        <v>80</v>
      </c>
      <c r="DR9" s="95" t="s">
        <v>278</v>
      </c>
      <c r="DS9" s="95">
        <f>B45</f>
        <v>256</v>
      </c>
      <c r="DT9" s="95" t="s">
        <v>413</v>
      </c>
      <c r="DX9" s="95" t="s">
        <v>347</v>
      </c>
      <c r="DY9" s="354">
        <f>B23</f>
        <v>1E-3</v>
      </c>
      <c r="EA9" s="95" t="s">
        <v>347</v>
      </c>
      <c r="EB9" s="354">
        <f>B23</f>
        <v>1E-3</v>
      </c>
      <c r="ED9" s="95" t="s">
        <v>347</v>
      </c>
      <c r="EE9" s="354">
        <f>B23</f>
        <v>1E-3</v>
      </c>
      <c r="EG9" s="95" t="s">
        <v>98</v>
      </c>
      <c r="EH9" s="95">
        <f>4.7*1000/365</f>
        <v>12.876712328767123</v>
      </c>
      <c r="EI9" s="95" t="s">
        <v>413</v>
      </c>
      <c r="EM9" s="95" t="s">
        <v>348</v>
      </c>
      <c r="EN9" s="354">
        <f>B24</f>
        <v>1E-3</v>
      </c>
      <c r="EP9" s="95" t="s">
        <v>348</v>
      </c>
      <c r="EQ9" s="354">
        <f>B24</f>
        <v>1E-3</v>
      </c>
      <c r="ES9" s="95" t="s">
        <v>348</v>
      </c>
      <c r="ET9" s="354">
        <f>B24</f>
        <v>1E-3</v>
      </c>
      <c r="EV9" s="95" t="s">
        <v>287</v>
      </c>
      <c r="EW9" s="95">
        <f>2.3*1000/365</f>
        <v>6.3013698630136989</v>
      </c>
      <c r="EX9" s="95" t="s">
        <v>413</v>
      </c>
      <c r="FB9" s="95" t="s">
        <v>349</v>
      </c>
      <c r="FC9" s="356">
        <f>B26</f>
        <v>0</v>
      </c>
      <c r="FE9" s="95" t="s">
        <v>349</v>
      </c>
      <c r="FF9" s="356">
        <f>B26</f>
        <v>0</v>
      </c>
      <c r="FH9" s="95" t="s">
        <v>349</v>
      </c>
      <c r="FI9" s="356">
        <f>B26</f>
        <v>0</v>
      </c>
      <c r="FK9" s="95" t="s">
        <v>254</v>
      </c>
      <c r="FL9" s="95">
        <f>6.4*1000/365</f>
        <v>17.534246575342465</v>
      </c>
      <c r="FM9" s="95" t="s">
        <v>413</v>
      </c>
      <c r="FT9" s="95" t="s">
        <v>350</v>
      </c>
      <c r="FU9" s="357">
        <v>1</v>
      </c>
      <c r="FW9" s="95" t="s">
        <v>350</v>
      </c>
      <c r="FX9" s="357">
        <v>1</v>
      </c>
      <c r="FZ9" s="95" t="s">
        <v>252</v>
      </c>
      <c r="GA9" s="362">
        <f>5*1000/365</f>
        <v>13.698630136986301</v>
      </c>
      <c r="GB9" s="95" t="s">
        <v>413</v>
      </c>
      <c r="GF9" s="95" t="s">
        <v>351</v>
      </c>
      <c r="GG9" s="356">
        <f>B25</f>
        <v>0</v>
      </c>
      <c r="GI9" s="95" t="s">
        <v>351</v>
      </c>
      <c r="GJ9" s="356">
        <f>B25</f>
        <v>0</v>
      </c>
      <c r="GL9" s="95" t="s">
        <v>351</v>
      </c>
      <c r="GM9" s="356">
        <f>B25</f>
        <v>0</v>
      </c>
      <c r="GO9" s="95" t="s">
        <v>295</v>
      </c>
      <c r="GP9" s="95">
        <f>4.5*1000/365</f>
        <v>12.328767123287671</v>
      </c>
      <c r="GQ9" s="95" t="s">
        <v>413</v>
      </c>
      <c r="GU9" s="95" t="s">
        <v>352</v>
      </c>
      <c r="GV9" s="356">
        <f>B27</f>
        <v>0</v>
      </c>
      <c r="GX9" s="95" t="s">
        <v>352</v>
      </c>
      <c r="GY9" s="356">
        <f>B27</f>
        <v>0</v>
      </c>
      <c r="HA9" s="95" t="s">
        <v>352</v>
      </c>
      <c r="HB9" s="356">
        <f>B27</f>
        <v>0</v>
      </c>
      <c r="HD9" s="95" t="s">
        <v>74</v>
      </c>
      <c r="HE9" s="95">
        <v>0.3</v>
      </c>
    </row>
    <row r="10" spans="1:214" s="95" customFormat="1" x14ac:dyDescent="0.2">
      <c r="A10" s="95" t="s">
        <v>473</v>
      </c>
      <c r="B10" s="353">
        <v>1.5400000000000001E-6</v>
      </c>
      <c r="C10" s="95" t="s">
        <v>477</v>
      </c>
      <c r="D10" s="95" t="s">
        <v>75</v>
      </c>
      <c r="E10" s="354">
        <f>B5</f>
        <v>1.16E-8</v>
      </c>
      <c r="F10" s="95" t="s">
        <v>64</v>
      </c>
      <c r="G10" s="363" t="s">
        <v>142</v>
      </c>
      <c r="H10" s="364">
        <f>H5/(H6*H15)</f>
        <v>0.13536804133815097</v>
      </c>
      <c r="I10" s="365" t="s">
        <v>22</v>
      </c>
      <c r="J10" s="95" t="s">
        <v>164</v>
      </c>
      <c r="K10" s="354">
        <f>B18</f>
        <v>1359344473.5814338</v>
      </c>
      <c r="L10" s="95" t="s">
        <v>165</v>
      </c>
      <c r="M10" s="95" t="s">
        <v>68</v>
      </c>
      <c r="N10" s="95">
        <v>26</v>
      </c>
      <c r="O10" s="95" t="s">
        <v>62</v>
      </c>
      <c r="P10" s="95" t="s">
        <v>68</v>
      </c>
      <c r="Q10" s="95">
        <v>26</v>
      </c>
      <c r="R10" s="95" t="s">
        <v>62</v>
      </c>
      <c r="S10" s="95" t="s">
        <v>68</v>
      </c>
      <c r="T10" s="95">
        <v>26</v>
      </c>
      <c r="U10" s="95" t="s">
        <v>62</v>
      </c>
      <c r="V10" s="95" t="s">
        <v>75</v>
      </c>
      <c r="W10" s="354">
        <f>B5</f>
        <v>1.16E-8</v>
      </c>
      <c r="X10" s="95" t="s">
        <v>76</v>
      </c>
      <c r="Y10" s="95" t="s">
        <v>75</v>
      </c>
      <c r="Z10" s="354">
        <f>B5</f>
        <v>1.16E-8</v>
      </c>
      <c r="AA10" s="95" t="s">
        <v>76</v>
      </c>
      <c r="AI10" s="95" t="s">
        <v>68</v>
      </c>
      <c r="AJ10" s="95">
        <v>25</v>
      </c>
      <c r="AK10" s="95" t="s">
        <v>62</v>
      </c>
      <c r="AL10" s="95" t="s">
        <v>68</v>
      </c>
      <c r="AM10" s="95">
        <v>25</v>
      </c>
      <c r="AN10" s="95" t="s">
        <v>62</v>
      </c>
      <c r="AO10" s="95" t="s">
        <v>68</v>
      </c>
      <c r="AP10" s="95">
        <v>25</v>
      </c>
      <c r="AQ10" s="95" t="s">
        <v>62</v>
      </c>
      <c r="AR10" s="95" t="s">
        <v>68</v>
      </c>
      <c r="AS10" s="95">
        <v>25</v>
      </c>
      <c r="AT10" s="95" t="s">
        <v>62</v>
      </c>
      <c r="AU10" s="95" t="s">
        <v>68</v>
      </c>
      <c r="AV10" s="95">
        <v>25</v>
      </c>
      <c r="AW10" s="95" t="s">
        <v>62</v>
      </c>
      <c r="AX10" s="95" t="s">
        <v>68</v>
      </c>
      <c r="AY10" s="95">
        <v>25</v>
      </c>
      <c r="AZ10" s="95" t="s">
        <v>62</v>
      </c>
      <c r="BA10" s="95" t="s">
        <v>68</v>
      </c>
      <c r="BB10" s="95">
        <v>25</v>
      </c>
      <c r="BC10" s="95" t="s">
        <v>62</v>
      </c>
      <c r="BD10" s="95" t="s">
        <v>68</v>
      </c>
      <c r="BE10" s="95">
        <v>25</v>
      </c>
      <c r="BF10" s="95" t="s">
        <v>62</v>
      </c>
      <c r="BG10" s="95" t="s">
        <v>68</v>
      </c>
      <c r="BH10" s="95">
        <v>25</v>
      </c>
      <c r="BI10" s="95" t="s">
        <v>62</v>
      </c>
      <c r="BJ10" s="95" t="s">
        <v>411</v>
      </c>
      <c r="BK10" s="95">
        <v>50</v>
      </c>
      <c r="BL10" s="95" t="s">
        <v>426</v>
      </c>
      <c r="BM10" s="95" t="s">
        <v>411</v>
      </c>
      <c r="BN10" s="95">
        <v>50</v>
      </c>
      <c r="BO10" s="95" t="s">
        <v>426</v>
      </c>
      <c r="BP10" s="95" t="s">
        <v>411</v>
      </c>
      <c r="BQ10" s="95">
        <v>50</v>
      </c>
      <c r="BR10" s="95" t="s">
        <v>426</v>
      </c>
      <c r="BS10" s="95" t="s">
        <v>75</v>
      </c>
      <c r="BT10" s="354">
        <f>E10</f>
        <v>1.16E-8</v>
      </c>
      <c r="BU10" s="95" t="s">
        <v>64</v>
      </c>
      <c r="BV10" s="95" t="s">
        <v>142</v>
      </c>
      <c r="BW10" s="354">
        <f>BW5/(BW6*BW13)</f>
        <v>44.285018378282622</v>
      </c>
      <c r="BX10" s="95" t="s">
        <v>22</v>
      </c>
      <c r="BY10" s="95" t="s">
        <v>38</v>
      </c>
      <c r="BZ10" s="354">
        <f>(BZ33*BZ11)/(1-EXP(-BZ11*BZ33))</f>
        <v>1.0056411929569626</v>
      </c>
      <c r="CB10" s="95" t="s">
        <v>68</v>
      </c>
      <c r="CC10" s="95">
        <v>26</v>
      </c>
      <c r="CD10" s="95" t="s">
        <v>62</v>
      </c>
      <c r="CE10" s="95" t="s">
        <v>68</v>
      </c>
      <c r="CF10" s="95">
        <v>26</v>
      </c>
      <c r="CG10" s="95" t="s">
        <v>62</v>
      </c>
      <c r="CH10" s="95" t="s">
        <v>68</v>
      </c>
      <c r="CI10" s="95">
        <v>26</v>
      </c>
      <c r="CJ10" s="95" t="s">
        <v>62</v>
      </c>
      <c r="CN10" s="95" t="s">
        <v>338</v>
      </c>
      <c r="CO10" s="357">
        <v>1</v>
      </c>
      <c r="CP10" s="95" t="s">
        <v>479</v>
      </c>
      <c r="CT10" s="95" t="s">
        <v>164</v>
      </c>
      <c r="CU10" s="354">
        <f>B18</f>
        <v>1359344473.5814338</v>
      </c>
      <c r="CV10" s="95" t="s">
        <v>165</v>
      </c>
      <c r="CW10" s="95" t="s">
        <v>75</v>
      </c>
      <c r="CX10" s="354">
        <f>B5</f>
        <v>1.16E-8</v>
      </c>
      <c r="CY10" s="95" t="s">
        <v>64</v>
      </c>
      <c r="CZ10" s="95" t="s">
        <v>38</v>
      </c>
      <c r="DA10" s="354">
        <f>(DA39*DA11)/(1-EXP(-DA11*DA39))</f>
        <v>1.0086875128436219</v>
      </c>
      <c r="DC10" s="95" t="s">
        <v>118</v>
      </c>
      <c r="DD10" s="354">
        <f>B41</f>
        <v>56.2</v>
      </c>
      <c r="DE10" s="95" t="s">
        <v>413</v>
      </c>
      <c r="DF10" s="95" t="s">
        <v>66</v>
      </c>
      <c r="DG10" s="354">
        <f>B30</f>
        <v>0.04</v>
      </c>
      <c r="DO10" s="95" t="s">
        <v>66</v>
      </c>
      <c r="DP10" s="354">
        <f>B30</f>
        <v>0.04</v>
      </c>
      <c r="DR10" s="95" t="s">
        <v>279</v>
      </c>
      <c r="DS10" s="95">
        <f>B46</f>
        <v>615</v>
      </c>
      <c r="DT10" s="95" t="s">
        <v>413</v>
      </c>
      <c r="DX10" s="95" t="s">
        <v>89</v>
      </c>
      <c r="DY10" s="95">
        <v>16.899999999999999</v>
      </c>
      <c r="EA10" s="95" t="s">
        <v>89</v>
      </c>
      <c r="EB10" s="95">
        <v>16.899999999999999</v>
      </c>
      <c r="ED10" s="95" t="s">
        <v>89</v>
      </c>
      <c r="EE10" s="95">
        <v>16.899999999999999</v>
      </c>
      <c r="EG10" s="95" t="s">
        <v>119</v>
      </c>
      <c r="EH10" s="95">
        <f>50.2*1000/365</f>
        <v>137.53424657534248</v>
      </c>
      <c r="EI10" s="95" t="s">
        <v>413</v>
      </c>
      <c r="EM10" s="95" t="s">
        <v>90</v>
      </c>
      <c r="EN10" s="95">
        <v>11.77</v>
      </c>
      <c r="EP10" s="95" t="s">
        <v>90</v>
      </c>
      <c r="EQ10" s="95">
        <v>11.77</v>
      </c>
      <c r="ES10" s="95" t="s">
        <v>90</v>
      </c>
      <c r="ET10" s="95">
        <v>11.77</v>
      </c>
      <c r="EV10" s="95" t="s">
        <v>288</v>
      </c>
      <c r="EW10" s="95">
        <f>14.9*1000/365</f>
        <v>40.821917808219176</v>
      </c>
      <c r="EX10" s="95" t="s">
        <v>413</v>
      </c>
      <c r="FB10" s="95" t="s">
        <v>318</v>
      </c>
      <c r="FC10" s="95">
        <v>0.2</v>
      </c>
      <c r="FE10" s="95" t="s">
        <v>318</v>
      </c>
      <c r="FF10" s="95">
        <v>0.2</v>
      </c>
      <c r="FH10" s="95" t="s">
        <v>318</v>
      </c>
      <c r="FI10" s="95">
        <v>0.2</v>
      </c>
      <c r="FK10" s="95" t="s">
        <v>255</v>
      </c>
      <c r="FL10" s="95">
        <f>45.8*1000/365</f>
        <v>125.47945205479452</v>
      </c>
      <c r="FM10" s="95" t="s">
        <v>413</v>
      </c>
      <c r="FT10" s="95" t="s">
        <v>315</v>
      </c>
      <c r="FU10" s="357">
        <v>1</v>
      </c>
      <c r="FW10" s="95" t="s">
        <v>315</v>
      </c>
      <c r="FX10" s="357">
        <v>1</v>
      </c>
      <c r="FZ10" s="95" t="s">
        <v>253</v>
      </c>
      <c r="GA10" s="95">
        <f>35.8*1000/365</f>
        <v>98.082191780821915</v>
      </c>
      <c r="GB10" s="95" t="s">
        <v>413</v>
      </c>
      <c r="GF10" s="95" t="s">
        <v>301</v>
      </c>
      <c r="GG10" s="95">
        <v>0.2</v>
      </c>
      <c r="GI10" s="95" t="s">
        <v>301</v>
      </c>
      <c r="GJ10" s="95">
        <v>0.2</v>
      </c>
      <c r="GL10" s="95" t="s">
        <v>301</v>
      </c>
      <c r="GM10" s="95">
        <v>0.2</v>
      </c>
      <c r="GO10" s="95" t="s">
        <v>294</v>
      </c>
      <c r="GP10" s="95">
        <f>27.7*1000/365</f>
        <v>75.890410958904113</v>
      </c>
      <c r="GQ10" s="95" t="s">
        <v>413</v>
      </c>
      <c r="GU10" s="95" t="s">
        <v>306</v>
      </c>
      <c r="GV10" s="95">
        <v>4.7</v>
      </c>
      <c r="GX10" s="95" t="s">
        <v>306</v>
      </c>
      <c r="GY10" s="95">
        <v>4.7</v>
      </c>
      <c r="HA10" s="95" t="s">
        <v>306</v>
      </c>
      <c r="HB10" s="95">
        <v>4.7</v>
      </c>
      <c r="HD10" s="95" t="s">
        <v>81</v>
      </c>
      <c r="HE10" s="354">
        <v>1.5</v>
      </c>
    </row>
    <row r="11" spans="1:214" s="95" customFormat="1" x14ac:dyDescent="0.2">
      <c r="A11" s="95" t="s">
        <v>476</v>
      </c>
      <c r="B11" s="353">
        <v>9.87E-10</v>
      </c>
      <c r="C11" s="95" t="s">
        <v>163</v>
      </c>
      <c r="D11" s="95" t="s">
        <v>82</v>
      </c>
      <c r="E11" s="360">
        <f>((E14/E15)*E24*E12*E16)+((E14/E15)*E25*E13*E17)</f>
        <v>161000</v>
      </c>
      <c r="F11" s="95" t="s">
        <v>444</v>
      </c>
      <c r="G11" s="366" t="s">
        <v>134</v>
      </c>
      <c r="H11" s="354">
        <f>H5/(H7*H16*H28)</f>
        <v>1.0708931248661383E-3</v>
      </c>
      <c r="I11" s="367" t="s">
        <v>22</v>
      </c>
      <c r="J11" s="95" t="s">
        <v>38</v>
      </c>
      <c r="K11" s="354">
        <f>(K45*K12)/(1-EXP(-K12*K45))</f>
        <v>1.0056411929569626</v>
      </c>
      <c r="M11" s="95" t="s">
        <v>91</v>
      </c>
      <c r="N11" s="95">
        <v>0.4</v>
      </c>
      <c r="P11" s="95" t="s">
        <v>91</v>
      </c>
      <c r="Q11" s="95">
        <v>0.4</v>
      </c>
      <c r="S11" s="95" t="s">
        <v>91</v>
      </c>
      <c r="T11" s="95">
        <v>0.4</v>
      </c>
      <c r="V11" s="95" t="s">
        <v>84</v>
      </c>
      <c r="W11" s="95">
        <v>8</v>
      </c>
      <c r="X11" s="95" t="s">
        <v>85</v>
      </c>
      <c r="Y11" s="95" t="s">
        <v>84</v>
      </c>
      <c r="Z11" s="95">
        <v>8</v>
      </c>
      <c r="AA11" s="95" t="s">
        <v>85</v>
      </c>
      <c r="AB11" s="95" t="s">
        <v>68</v>
      </c>
      <c r="AC11" s="95">
        <v>25</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1437.5</v>
      </c>
      <c r="BU11" s="95" t="s">
        <v>444</v>
      </c>
      <c r="BV11" s="95" t="s">
        <v>134</v>
      </c>
      <c r="BW11" s="354"/>
      <c r="BX11" s="95" t="s">
        <v>22</v>
      </c>
      <c r="BY11" s="95" t="s">
        <v>52</v>
      </c>
      <c r="BZ11" s="354">
        <f>0.693/BZ12</f>
        <v>4.3312499999999997E-4</v>
      </c>
      <c r="CB11" s="95" t="s">
        <v>102</v>
      </c>
      <c r="CC11" s="95">
        <v>0.124</v>
      </c>
      <c r="CE11" s="95" t="s">
        <v>102</v>
      </c>
      <c r="CF11" s="95">
        <v>5.8099999999999999E-2</v>
      </c>
      <c r="CH11" s="95" t="s">
        <v>102</v>
      </c>
      <c r="CI11" s="95">
        <v>0.10100000000000001</v>
      </c>
      <c r="CN11" s="95" t="s">
        <v>335</v>
      </c>
      <c r="CO11" s="357">
        <v>1</v>
      </c>
      <c r="CP11" s="95" t="s">
        <v>479</v>
      </c>
      <c r="CT11" s="95" t="s">
        <v>38</v>
      </c>
      <c r="CU11" s="354">
        <f>(CU45*CU12)/(1-EXP(-CU12*CU45))</f>
        <v>1.0086875128436219</v>
      </c>
      <c r="CW11" s="95" t="s">
        <v>82</v>
      </c>
      <c r="CX11" s="360">
        <f>((CX15/24)*CX24*CX12*CX16)+((CX14/24)*CX25*CX13*CX17)</f>
        <v>259000</v>
      </c>
      <c r="CY11" s="95" t="s">
        <v>444</v>
      </c>
      <c r="CZ11" s="95" t="s">
        <v>52</v>
      </c>
      <c r="DA11" s="354">
        <f>0.693/DA12</f>
        <v>4.3312499999999997E-4</v>
      </c>
      <c r="DC11" s="95" t="s">
        <v>283</v>
      </c>
      <c r="DD11" s="360">
        <f>(DD12*DD15*DD16)+(DD13*DD14*DD17)</f>
        <v>360990</v>
      </c>
      <c r="DE11" s="95" t="s">
        <v>230</v>
      </c>
      <c r="DF11" s="95" t="s">
        <v>99</v>
      </c>
      <c r="DG11" s="95">
        <f>DG19+DG20</f>
        <v>2.8186643835616437E-5</v>
      </c>
      <c r="DO11" s="95" t="s">
        <v>99</v>
      </c>
      <c r="DP11" s="95">
        <f>DP19+DP20</f>
        <v>2.6999999999999999E-5</v>
      </c>
      <c r="DR11" s="95" t="s">
        <v>70</v>
      </c>
      <c r="DS11" s="95">
        <v>350</v>
      </c>
      <c r="DT11" s="95" t="s">
        <v>55</v>
      </c>
      <c r="DX11" s="95" t="s">
        <v>100</v>
      </c>
      <c r="DY11" s="95">
        <v>0.41</v>
      </c>
      <c r="EA11" s="95" t="s">
        <v>100</v>
      </c>
      <c r="EB11" s="95">
        <v>0.41</v>
      </c>
      <c r="ED11" s="95" t="s">
        <v>100</v>
      </c>
      <c r="EE11" s="95">
        <v>0.41</v>
      </c>
      <c r="EG11" s="95" t="s">
        <v>70</v>
      </c>
      <c r="EH11" s="95">
        <v>350</v>
      </c>
      <c r="EI11" s="95" t="s">
        <v>55</v>
      </c>
      <c r="EM11" s="95" t="s">
        <v>101</v>
      </c>
      <c r="EN11" s="95">
        <v>0.39</v>
      </c>
      <c r="EP11" s="95" t="s">
        <v>101</v>
      </c>
      <c r="EQ11" s="95">
        <v>0.39</v>
      </c>
      <c r="ES11" s="95" t="s">
        <v>101</v>
      </c>
      <c r="ET11" s="95">
        <v>0.39</v>
      </c>
      <c r="EV11" s="95" t="s">
        <v>422</v>
      </c>
      <c r="EW11" s="95">
        <v>350</v>
      </c>
      <c r="EX11" s="95" t="s">
        <v>55</v>
      </c>
      <c r="FB11" s="95" t="s">
        <v>317</v>
      </c>
      <c r="FC11" s="95">
        <v>2.1999999999999999E-2</v>
      </c>
      <c r="FE11" s="95" t="s">
        <v>317</v>
      </c>
      <c r="FF11" s="95">
        <v>2.1999999999999999E-2</v>
      </c>
      <c r="FH11" s="95" t="s">
        <v>317</v>
      </c>
      <c r="FI11" s="95">
        <v>2.1999999999999999E-2</v>
      </c>
      <c r="FK11" s="95" t="s">
        <v>422</v>
      </c>
      <c r="FL11" s="95">
        <v>350</v>
      </c>
      <c r="FM11" s="95" t="s">
        <v>55</v>
      </c>
      <c r="FT11" s="95" t="s">
        <v>314</v>
      </c>
      <c r="FU11" s="357">
        <v>1</v>
      </c>
      <c r="FW11" s="95" t="s">
        <v>314</v>
      </c>
      <c r="FX11" s="357">
        <v>1</v>
      </c>
      <c r="FZ11" s="95" t="s">
        <v>422</v>
      </c>
      <c r="GA11" s="95">
        <v>350</v>
      </c>
      <c r="GB11" s="95" t="s">
        <v>55</v>
      </c>
      <c r="GF11" s="95" t="s">
        <v>302</v>
      </c>
      <c r="GG11" s="95">
        <v>2.1999999999999999E-2</v>
      </c>
      <c r="GI11" s="95" t="s">
        <v>302</v>
      </c>
      <c r="GJ11" s="95">
        <v>2.1999999999999999E-2</v>
      </c>
      <c r="GL11" s="95" t="s">
        <v>302</v>
      </c>
      <c r="GM11" s="95">
        <v>2.1999999999999999E-2</v>
      </c>
      <c r="GO11" s="95" t="s">
        <v>422</v>
      </c>
      <c r="GP11" s="95">
        <v>350</v>
      </c>
      <c r="GQ11" s="95" t="s">
        <v>55</v>
      </c>
      <c r="GU11" s="95" t="s">
        <v>307</v>
      </c>
      <c r="GV11" s="95">
        <v>0.37</v>
      </c>
      <c r="GX11" s="95" t="s">
        <v>307</v>
      </c>
      <c r="GY11" s="95">
        <v>0.37</v>
      </c>
      <c r="HA11" s="95" t="s">
        <v>307</v>
      </c>
      <c r="HB11" s="95">
        <v>0.37</v>
      </c>
      <c r="HD11" s="95" t="s">
        <v>92</v>
      </c>
      <c r="HE11" s="95">
        <v>26</v>
      </c>
    </row>
    <row r="12" spans="1:214" s="95" customFormat="1" x14ac:dyDescent="0.2">
      <c r="A12" s="95" t="s">
        <v>474</v>
      </c>
      <c r="B12" s="353">
        <v>4.5299999999999998E-6</v>
      </c>
      <c r="C12" s="95" t="s">
        <v>163</v>
      </c>
      <c r="D12" s="95" t="s">
        <v>93</v>
      </c>
      <c r="E12" s="95">
        <f>B33</f>
        <v>10</v>
      </c>
      <c r="F12" s="95" t="s">
        <v>83</v>
      </c>
      <c r="G12" s="366" t="s">
        <v>256</v>
      </c>
      <c r="H12" s="354">
        <f>H5/(H8*(1/H45)*H21)</f>
        <v>83925.409854912505</v>
      </c>
      <c r="I12" s="367" t="s">
        <v>22</v>
      </c>
      <c r="J12" s="95" t="s">
        <v>52</v>
      </c>
      <c r="K12" s="354">
        <f>0.693/K13</f>
        <v>4.3312499999999997E-4</v>
      </c>
      <c r="M12" s="95" t="s">
        <v>102</v>
      </c>
      <c r="N12" s="95">
        <v>1</v>
      </c>
      <c r="P12" s="95" t="s">
        <v>102</v>
      </c>
      <c r="Q12" s="95">
        <v>1</v>
      </c>
      <c r="S12" s="95" t="s">
        <v>102</v>
      </c>
      <c r="T12" s="95">
        <v>1</v>
      </c>
      <c r="W12" s="95">
        <v>24</v>
      </c>
      <c r="X12" s="95" t="s">
        <v>85</v>
      </c>
      <c r="Z12" s="95">
        <v>24</v>
      </c>
      <c r="AA12" s="95" t="s">
        <v>85</v>
      </c>
      <c r="AB12" s="95" t="s">
        <v>410</v>
      </c>
      <c r="AF12" s="95">
        <v>5</v>
      </c>
      <c r="AG12" s="95">
        <v>5</v>
      </c>
      <c r="AH12" s="95" t="s">
        <v>210</v>
      </c>
      <c r="AI12" s="95" t="s">
        <v>102</v>
      </c>
      <c r="AJ12" s="95">
        <v>1</v>
      </c>
      <c r="AL12" s="95" t="s">
        <v>102</v>
      </c>
      <c r="AM12" s="95">
        <v>1</v>
      </c>
      <c r="AO12" s="95" t="s">
        <v>102</v>
      </c>
      <c r="AP12" s="95">
        <v>1</v>
      </c>
      <c r="AR12" s="95" t="s">
        <v>102</v>
      </c>
      <c r="AS12" s="95">
        <v>1</v>
      </c>
      <c r="AU12" s="95" t="s">
        <v>102</v>
      </c>
      <c r="AV12" s="95">
        <v>1</v>
      </c>
      <c r="AX12" s="95" t="s">
        <v>102</v>
      </c>
      <c r="AY12" s="95">
        <v>1</v>
      </c>
      <c r="BA12" s="95" t="s">
        <v>102</v>
      </c>
      <c r="BB12" s="95">
        <v>1</v>
      </c>
      <c r="BD12" s="95" t="s">
        <v>102</v>
      </c>
      <c r="BE12" s="95">
        <v>1</v>
      </c>
      <c r="BG12" s="95" t="s">
        <v>102</v>
      </c>
      <c r="BH12" s="95">
        <v>1</v>
      </c>
      <c r="BJ12" s="95" t="s">
        <v>68</v>
      </c>
      <c r="BK12" s="95">
        <v>1</v>
      </c>
      <c r="BL12" s="95" t="s">
        <v>62</v>
      </c>
      <c r="BM12" s="95" t="s">
        <v>68</v>
      </c>
      <c r="BN12" s="95">
        <v>1</v>
      </c>
      <c r="BO12" s="95" t="s">
        <v>62</v>
      </c>
      <c r="BP12" s="95" t="s">
        <v>68</v>
      </c>
      <c r="BQ12" s="95">
        <v>1</v>
      </c>
      <c r="BR12" s="95" t="s">
        <v>62</v>
      </c>
      <c r="BS12" s="95" t="s">
        <v>93</v>
      </c>
      <c r="BT12" s="95">
        <f>B33</f>
        <v>10</v>
      </c>
      <c r="BU12" s="95" t="s">
        <v>83</v>
      </c>
      <c r="BV12" s="95" t="s">
        <v>256</v>
      </c>
      <c r="BW12" s="354">
        <f>BW5/(BW8*(1/BW32)*BW16)</f>
        <v>437846.75363622728</v>
      </c>
      <c r="BX12" s="95" t="s">
        <v>22</v>
      </c>
      <c r="BY12" s="95" t="s">
        <v>448</v>
      </c>
      <c r="BZ12" s="354">
        <f>B17</f>
        <v>1600</v>
      </c>
      <c r="CA12" s="95" t="s">
        <v>129</v>
      </c>
      <c r="CB12" s="95" t="s">
        <v>113</v>
      </c>
      <c r="CC12" s="95">
        <v>0.79200000000000004</v>
      </c>
      <c r="CE12" s="95" t="s">
        <v>113</v>
      </c>
      <c r="CF12" s="95">
        <v>0.624</v>
      </c>
      <c r="CH12" s="95" t="s">
        <v>113</v>
      </c>
      <c r="CI12" s="95">
        <v>0.751</v>
      </c>
      <c r="CN12" s="95" t="s">
        <v>336</v>
      </c>
      <c r="CO12" s="357">
        <v>1</v>
      </c>
      <c r="CP12" s="95" t="s">
        <v>80</v>
      </c>
      <c r="CT12" s="95" t="s">
        <v>52</v>
      </c>
      <c r="CU12" s="354">
        <f>0.693/CU13</f>
        <v>4.3312499999999997E-4</v>
      </c>
      <c r="CW12" s="95" t="s">
        <v>93</v>
      </c>
      <c r="CX12" s="95">
        <f>B33</f>
        <v>10</v>
      </c>
      <c r="CY12" s="95" t="s">
        <v>83</v>
      </c>
      <c r="CZ12" s="95" t="s">
        <v>448</v>
      </c>
      <c r="DA12" s="354">
        <f>B17</f>
        <v>1600</v>
      </c>
      <c r="DB12" s="95" t="s">
        <v>129</v>
      </c>
      <c r="DC12" s="95" t="s">
        <v>147</v>
      </c>
      <c r="DD12" s="354">
        <f>B42</f>
        <v>10.4</v>
      </c>
      <c r="DE12" s="95" t="s">
        <v>413</v>
      </c>
      <c r="DF12" s="95" t="s">
        <v>109</v>
      </c>
      <c r="DG12" s="95">
        <v>10950</v>
      </c>
      <c r="DH12" s="95" t="s">
        <v>110</v>
      </c>
      <c r="DO12" s="95" t="s">
        <v>109</v>
      </c>
      <c r="DP12" s="95">
        <v>10950</v>
      </c>
      <c r="DQ12" s="95" t="s">
        <v>110</v>
      </c>
      <c r="DR12" s="95" t="s">
        <v>78</v>
      </c>
      <c r="DS12" s="95">
        <v>350</v>
      </c>
      <c r="DT12" s="95" t="s">
        <v>55</v>
      </c>
      <c r="DX12" s="95" t="s">
        <v>111</v>
      </c>
      <c r="DY12" s="95">
        <v>1</v>
      </c>
      <c r="EA12" s="95" t="s">
        <v>111</v>
      </c>
      <c r="EB12" s="95">
        <v>1</v>
      </c>
      <c r="ED12" s="95" t="s">
        <v>111</v>
      </c>
      <c r="EE12" s="95">
        <v>1</v>
      </c>
      <c r="EG12" s="95" t="s">
        <v>78</v>
      </c>
      <c r="EH12" s="95">
        <v>350</v>
      </c>
      <c r="EI12" s="95" t="s">
        <v>55</v>
      </c>
      <c r="EM12" s="95" t="s">
        <v>112</v>
      </c>
      <c r="EN12" s="95">
        <v>1</v>
      </c>
      <c r="EP12" s="95" t="s">
        <v>112</v>
      </c>
      <c r="EQ12" s="95">
        <v>1</v>
      </c>
      <c r="ES12" s="95" t="s">
        <v>112</v>
      </c>
      <c r="ET12" s="95">
        <v>1</v>
      </c>
      <c r="EV12" s="95" t="s">
        <v>423</v>
      </c>
      <c r="EW12" s="95">
        <v>350</v>
      </c>
      <c r="EX12" s="95" t="s">
        <v>55</v>
      </c>
      <c r="FB12" s="95" t="s">
        <v>319</v>
      </c>
      <c r="FC12" s="357">
        <v>1</v>
      </c>
      <c r="FE12" s="95" t="s">
        <v>319</v>
      </c>
      <c r="FF12" s="357">
        <v>1</v>
      </c>
      <c r="FH12" s="95" t="s">
        <v>319</v>
      </c>
      <c r="FI12" s="357">
        <v>1</v>
      </c>
      <c r="FK12" s="95" t="s">
        <v>423</v>
      </c>
      <c r="FL12" s="95">
        <v>350</v>
      </c>
      <c r="FM12" s="95" t="s">
        <v>55</v>
      </c>
      <c r="FT12" s="95" t="s">
        <v>313</v>
      </c>
      <c r="FU12" s="357">
        <v>1</v>
      </c>
      <c r="FW12" s="95" t="s">
        <v>313</v>
      </c>
      <c r="FX12" s="357">
        <v>1</v>
      </c>
      <c r="FZ12" s="95" t="s">
        <v>423</v>
      </c>
      <c r="GA12" s="95">
        <v>350</v>
      </c>
      <c r="GB12" s="95" t="s">
        <v>55</v>
      </c>
      <c r="GF12" s="95" t="s">
        <v>303</v>
      </c>
      <c r="GG12" s="95">
        <v>1</v>
      </c>
      <c r="GI12" s="95" t="s">
        <v>303</v>
      </c>
      <c r="GJ12" s="95">
        <v>1</v>
      </c>
      <c r="GL12" s="95" t="s">
        <v>303</v>
      </c>
      <c r="GM12" s="95">
        <v>1</v>
      </c>
      <c r="GO12" s="95" t="s">
        <v>423</v>
      </c>
      <c r="GP12" s="95">
        <v>350</v>
      </c>
      <c r="GQ12" s="95" t="s">
        <v>55</v>
      </c>
      <c r="GU12" s="95" t="s">
        <v>308</v>
      </c>
      <c r="GV12" s="95">
        <v>1</v>
      </c>
      <c r="GX12" s="95" t="s">
        <v>308</v>
      </c>
      <c r="GY12" s="95">
        <v>1</v>
      </c>
      <c r="HA12" s="95" t="s">
        <v>308</v>
      </c>
      <c r="HB12" s="95">
        <v>1</v>
      </c>
      <c r="HE12" s="354"/>
    </row>
    <row r="13" spans="1:214" s="95" customFormat="1" x14ac:dyDescent="0.2">
      <c r="A13" s="95" t="s">
        <v>475</v>
      </c>
      <c r="B13" s="353">
        <v>7.1999999999999997E-6</v>
      </c>
      <c r="C13" s="95" t="s">
        <v>163</v>
      </c>
      <c r="D13" s="95" t="s">
        <v>103</v>
      </c>
      <c r="E13" s="95">
        <f>B34</f>
        <v>20</v>
      </c>
      <c r="F13" s="95" t="s">
        <v>83</v>
      </c>
      <c r="G13" s="368" t="s">
        <v>407</v>
      </c>
      <c r="H13" s="369">
        <f>H14/((1/H42)*(H50+H51+H52))</f>
        <v>0.84099994242983001</v>
      </c>
      <c r="I13" s="370" t="s">
        <v>22</v>
      </c>
      <c r="J13" s="95" t="s">
        <v>448</v>
      </c>
      <c r="K13" s="354">
        <f>B17</f>
        <v>1600</v>
      </c>
      <c r="L13" s="95" t="s">
        <v>129</v>
      </c>
      <c r="M13" s="95" t="s">
        <v>113</v>
      </c>
      <c r="N13" s="95">
        <v>1</v>
      </c>
      <c r="P13" s="95" t="s">
        <v>113</v>
      </c>
      <c r="Q13" s="95">
        <f>N13</f>
        <v>1</v>
      </c>
      <c r="S13" s="95" t="s">
        <v>113</v>
      </c>
      <c r="T13" s="95">
        <f>N13</f>
        <v>1</v>
      </c>
      <c r="V13" s="95" t="s">
        <v>104</v>
      </c>
      <c r="W13" s="95">
        <f>B35</f>
        <v>60</v>
      </c>
      <c r="X13" s="95" t="s">
        <v>83</v>
      </c>
      <c r="Y13" s="95" t="s">
        <v>104</v>
      </c>
      <c r="Z13" s="95">
        <f>B35</f>
        <v>60</v>
      </c>
      <c r="AA13" s="95" t="s">
        <v>83</v>
      </c>
      <c r="AB13" s="95" t="s">
        <v>411</v>
      </c>
      <c r="AF13" s="95">
        <v>50</v>
      </c>
      <c r="AG13" s="95">
        <v>50</v>
      </c>
      <c r="AH13" s="95" t="s">
        <v>412</v>
      </c>
      <c r="AI13" s="95" t="s">
        <v>113</v>
      </c>
      <c r="AJ13" s="95">
        <f>N13</f>
        <v>1</v>
      </c>
      <c r="AL13" s="95" t="s">
        <v>113</v>
      </c>
      <c r="AM13" s="95">
        <f>Q13</f>
        <v>1</v>
      </c>
      <c r="AO13" s="95" t="s">
        <v>113</v>
      </c>
      <c r="AP13" s="95">
        <f>T13</f>
        <v>1</v>
      </c>
      <c r="AR13" s="95" t="s">
        <v>113</v>
      </c>
      <c r="AS13" s="95">
        <f>AJ13</f>
        <v>1</v>
      </c>
      <c r="AU13" s="95" t="s">
        <v>113</v>
      </c>
      <c r="AV13" s="95">
        <f>AM13</f>
        <v>1</v>
      </c>
      <c r="AX13" s="95" t="s">
        <v>113</v>
      </c>
      <c r="AY13" s="95">
        <f>AP13</f>
        <v>1</v>
      </c>
      <c r="BA13" s="95" t="s">
        <v>113</v>
      </c>
      <c r="BB13" s="95">
        <v>1</v>
      </c>
      <c r="BD13" s="95" t="s">
        <v>113</v>
      </c>
      <c r="BE13" s="95">
        <f>AV13</f>
        <v>1</v>
      </c>
      <c r="BG13" s="95" t="s">
        <v>113</v>
      </c>
      <c r="BH13" s="95">
        <f>AY13</f>
        <v>1</v>
      </c>
      <c r="BJ13" s="95" t="s">
        <v>102</v>
      </c>
      <c r="BK13" s="95">
        <v>2.41E-4</v>
      </c>
      <c r="BM13" s="95" t="s">
        <v>102</v>
      </c>
      <c r="BN13" s="95">
        <v>1.17E-4</v>
      </c>
      <c r="BP13" s="95" t="s">
        <v>102</v>
      </c>
      <c r="BQ13" s="95">
        <v>2.2599999999999999E-4</v>
      </c>
      <c r="BS13" s="95" t="s">
        <v>103</v>
      </c>
      <c r="BT13" s="95">
        <f>B34</f>
        <v>20</v>
      </c>
      <c r="BU13" s="95" t="s">
        <v>83</v>
      </c>
      <c r="BV13" s="95" t="s">
        <v>86</v>
      </c>
      <c r="BW13" s="371">
        <f>((BW18*BW21*BW23*BW26*BW14)+(BW19*BW22*BW24*BW27*BW15))</f>
        <v>58.5</v>
      </c>
      <c r="BX13" s="95" t="s">
        <v>196</v>
      </c>
      <c r="BY13" s="95" t="s">
        <v>142</v>
      </c>
      <c r="BZ13" s="354">
        <f>(BZ5/(BZ6*BZ16*(1/BZ36)))*BZ10</f>
        <v>5.7399611470146263</v>
      </c>
      <c r="CA13" s="95" t="s">
        <v>23</v>
      </c>
      <c r="CB13" s="95" t="s">
        <v>182</v>
      </c>
      <c r="CC13" s="95">
        <v>1</v>
      </c>
      <c r="CD13" s="95" t="s">
        <v>127</v>
      </c>
      <c r="CE13" s="95" t="s">
        <v>182</v>
      </c>
      <c r="CF13" s="95">
        <v>1</v>
      </c>
      <c r="CG13" s="95" t="s">
        <v>127</v>
      </c>
      <c r="CH13" s="95" t="s">
        <v>182</v>
      </c>
      <c r="CI13" s="95">
        <v>1</v>
      </c>
      <c r="CJ13" s="95" t="s">
        <v>127</v>
      </c>
      <c r="CN13" s="95" t="s">
        <v>337</v>
      </c>
      <c r="CO13" s="357">
        <v>1</v>
      </c>
      <c r="CP13" s="95" t="s">
        <v>80</v>
      </c>
      <c r="CT13" s="95" t="s">
        <v>448</v>
      </c>
      <c r="CU13" s="354">
        <f>B17</f>
        <v>1600</v>
      </c>
      <c r="CV13" s="95" t="s">
        <v>129</v>
      </c>
      <c r="CW13" s="95" t="s">
        <v>103</v>
      </c>
      <c r="CX13" s="95">
        <f>B34</f>
        <v>20</v>
      </c>
      <c r="CY13" s="95" t="s">
        <v>83</v>
      </c>
      <c r="CZ13" s="95" t="s">
        <v>142</v>
      </c>
      <c r="DA13" s="354">
        <f>DA5/(DA6*DA24)</f>
        <v>8.2537070699934156E-2</v>
      </c>
      <c r="DB13" s="95" t="s">
        <v>25</v>
      </c>
      <c r="DC13" s="95" t="s">
        <v>152</v>
      </c>
      <c r="DD13" s="354">
        <f>B43</f>
        <v>28.5</v>
      </c>
      <c r="DE13" s="95" t="s">
        <v>413</v>
      </c>
      <c r="DF13" s="95" t="s">
        <v>120</v>
      </c>
      <c r="DG13" s="95">
        <v>240</v>
      </c>
      <c r="DH13" s="95" t="s">
        <v>121</v>
      </c>
      <c r="DO13" s="95" t="s">
        <v>120</v>
      </c>
      <c r="DP13" s="95">
        <v>240</v>
      </c>
      <c r="DQ13" s="95" t="s">
        <v>121</v>
      </c>
      <c r="DR13" s="95" t="s">
        <v>246</v>
      </c>
      <c r="DS13" s="95">
        <v>6</v>
      </c>
      <c r="DT13" s="95" t="s">
        <v>129</v>
      </c>
      <c r="DX13" s="95" t="s">
        <v>122</v>
      </c>
      <c r="DY13" s="95">
        <v>1</v>
      </c>
      <c r="EA13" s="95" t="s">
        <v>122</v>
      </c>
      <c r="EB13" s="95">
        <v>1</v>
      </c>
      <c r="ED13" s="95" t="s">
        <v>122</v>
      </c>
      <c r="EE13" s="95">
        <v>1</v>
      </c>
      <c r="EG13" s="95" t="s">
        <v>246</v>
      </c>
      <c r="EH13" s="95">
        <v>6</v>
      </c>
      <c r="EI13" s="95" t="s">
        <v>129</v>
      </c>
      <c r="EM13" s="95" t="s">
        <v>123</v>
      </c>
      <c r="EN13" s="95">
        <v>1</v>
      </c>
      <c r="EP13" s="95" t="s">
        <v>123</v>
      </c>
      <c r="EQ13" s="95">
        <v>1</v>
      </c>
      <c r="ES13" s="95" t="s">
        <v>123</v>
      </c>
      <c r="ET13" s="95">
        <v>1</v>
      </c>
      <c r="EV13" s="95" t="s">
        <v>246</v>
      </c>
      <c r="EW13" s="95">
        <v>6</v>
      </c>
      <c r="EX13" s="95" t="s">
        <v>129</v>
      </c>
      <c r="FB13" s="95" t="s">
        <v>320</v>
      </c>
      <c r="FC13" s="357">
        <v>1</v>
      </c>
      <c r="FE13" s="95" t="s">
        <v>320</v>
      </c>
      <c r="FF13" s="357">
        <v>1</v>
      </c>
      <c r="FH13" s="95" t="s">
        <v>320</v>
      </c>
      <c r="FI13" s="357">
        <v>1</v>
      </c>
      <c r="FK13" s="95" t="s">
        <v>246</v>
      </c>
      <c r="FL13" s="95">
        <v>6</v>
      </c>
      <c r="FM13" s="95" t="s">
        <v>129</v>
      </c>
      <c r="FT13" s="95" t="s">
        <v>312</v>
      </c>
      <c r="FU13" s="357">
        <v>1</v>
      </c>
      <c r="FW13" s="95" t="s">
        <v>312</v>
      </c>
      <c r="FX13" s="357">
        <v>1</v>
      </c>
      <c r="FZ13" s="95" t="s">
        <v>246</v>
      </c>
      <c r="GA13" s="95">
        <v>6</v>
      </c>
      <c r="GB13" s="95" t="s">
        <v>129</v>
      </c>
      <c r="GF13" s="95" t="s">
        <v>304</v>
      </c>
      <c r="GG13" s="95">
        <v>1</v>
      </c>
      <c r="GI13" s="95" t="s">
        <v>304</v>
      </c>
      <c r="GJ13" s="95">
        <v>1</v>
      </c>
      <c r="GL13" s="95" t="s">
        <v>304</v>
      </c>
      <c r="GM13" s="95">
        <v>1</v>
      </c>
      <c r="GO13" s="95" t="s">
        <v>246</v>
      </c>
      <c r="GP13" s="95">
        <v>6</v>
      </c>
      <c r="GQ13" s="95" t="s">
        <v>129</v>
      </c>
      <c r="GU13" s="95" t="s">
        <v>309</v>
      </c>
      <c r="GV13" s="95">
        <v>1</v>
      </c>
      <c r="GX13" s="95" t="s">
        <v>309</v>
      </c>
      <c r="GY13" s="95">
        <v>1</v>
      </c>
      <c r="HA13" s="95" t="s">
        <v>309</v>
      </c>
      <c r="HB13" s="95">
        <v>1</v>
      </c>
      <c r="HD13" s="95" t="s">
        <v>428</v>
      </c>
      <c r="HE13" s="354">
        <v>10</v>
      </c>
    </row>
    <row r="14" spans="1:214" s="95" customFormat="1" x14ac:dyDescent="0.2">
      <c r="A14" s="95" t="s">
        <v>115</v>
      </c>
      <c r="B14" s="353">
        <v>7.8700000000000003E-9</v>
      </c>
      <c r="C14" s="95" t="s">
        <v>163</v>
      </c>
      <c r="D14" s="95" t="s">
        <v>114</v>
      </c>
      <c r="E14" s="95">
        <v>24</v>
      </c>
      <c r="F14" s="95" t="s">
        <v>85</v>
      </c>
      <c r="G14" s="95" t="s">
        <v>406</v>
      </c>
      <c r="H14" s="354">
        <f>H5/(H9*(H22+H25)*H43)</f>
        <v>1.2026555837945768E-2</v>
      </c>
      <c r="I14" s="95" t="s">
        <v>23</v>
      </c>
      <c r="J14" s="363" t="s">
        <v>142</v>
      </c>
      <c r="K14" s="364">
        <f>(K5/(K6*K19*(1/K48)))*K11</f>
        <v>1.2299916743602772</v>
      </c>
      <c r="L14" s="365" t="s">
        <v>23</v>
      </c>
      <c r="M14" s="95" t="s">
        <v>124</v>
      </c>
      <c r="N14" s="95">
        <v>1.752</v>
      </c>
      <c r="O14" s="95" t="s">
        <v>127</v>
      </c>
      <c r="P14" s="95" t="s">
        <v>124</v>
      </c>
      <c r="Q14" s="95">
        <v>1.752</v>
      </c>
      <c r="R14" s="95" t="s">
        <v>127</v>
      </c>
      <c r="S14" s="95" t="s">
        <v>124</v>
      </c>
      <c r="T14" s="95">
        <v>1.752</v>
      </c>
      <c r="U14" s="95" t="s">
        <v>127</v>
      </c>
      <c r="V14" s="95" t="s">
        <v>115</v>
      </c>
      <c r="W14" s="354">
        <f>B14</f>
        <v>7.8700000000000003E-9</v>
      </c>
      <c r="X14" s="95" t="s">
        <v>116</v>
      </c>
      <c r="Y14" s="95" t="s">
        <v>115</v>
      </c>
      <c r="Z14" s="354">
        <f>B14</f>
        <v>7.8700000000000003E-9</v>
      </c>
      <c r="AA14" s="95" t="s">
        <v>116</v>
      </c>
      <c r="AB14" s="95" t="s">
        <v>126</v>
      </c>
      <c r="AF14" s="95">
        <v>8</v>
      </c>
      <c r="AG14" s="95">
        <v>8</v>
      </c>
      <c r="AH14" s="95" t="s">
        <v>85</v>
      </c>
      <c r="AI14" s="95" t="s">
        <v>124</v>
      </c>
      <c r="AJ14" s="95">
        <v>0</v>
      </c>
      <c r="AK14" s="95" t="s">
        <v>125</v>
      </c>
      <c r="AL14" s="95" t="s">
        <v>124</v>
      </c>
      <c r="AM14" s="95">
        <v>0</v>
      </c>
      <c r="AN14" s="95" t="s">
        <v>125</v>
      </c>
      <c r="AO14" s="95" t="s">
        <v>124</v>
      </c>
      <c r="AP14" s="95">
        <v>0</v>
      </c>
      <c r="AQ14" s="95" t="s">
        <v>125</v>
      </c>
      <c r="AR14" s="95" t="s">
        <v>124</v>
      </c>
      <c r="AS14" s="95">
        <f>8/24</f>
        <v>0.33333333333333331</v>
      </c>
      <c r="AT14" s="95" t="s">
        <v>125</v>
      </c>
      <c r="AU14" s="95" t="s">
        <v>124</v>
      </c>
      <c r="AV14" s="95">
        <f>8/24</f>
        <v>0.33333333333333331</v>
      </c>
      <c r="AW14" s="95" t="s">
        <v>125</v>
      </c>
      <c r="AX14" s="95" t="s">
        <v>126</v>
      </c>
      <c r="AY14" s="95">
        <f>8/24</f>
        <v>0.33333333333333331</v>
      </c>
      <c r="AZ14" s="95" t="s">
        <v>127</v>
      </c>
      <c r="BA14" s="95" t="s">
        <v>124</v>
      </c>
      <c r="BB14" s="95">
        <f>8/24</f>
        <v>0.33333333333333331</v>
      </c>
      <c r="BC14" s="95" t="s">
        <v>125</v>
      </c>
      <c r="BD14" s="95" t="s">
        <v>124</v>
      </c>
      <c r="BE14" s="95">
        <f>8/24</f>
        <v>0.33333333333333331</v>
      </c>
      <c r="BF14" s="95" t="s">
        <v>125</v>
      </c>
      <c r="BG14" s="95" t="s">
        <v>126</v>
      </c>
      <c r="BH14" s="95">
        <f>8/24</f>
        <v>0.33333333333333331</v>
      </c>
      <c r="BI14" s="95" t="s">
        <v>127</v>
      </c>
      <c r="BJ14" s="95" t="s">
        <v>113</v>
      </c>
      <c r="BK14" s="95">
        <v>0.753</v>
      </c>
      <c r="BM14" s="95" t="s">
        <v>113</v>
      </c>
      <c r="BN14" s="95">
        <v>0.74299999999999999</v>
      </c>
      <c r="BP14" s="95" t="s">
        <v>113</v>
      </c>
      <c r="BQ14" s="95">
        <v>0.66200000000000003</v>
      </c>
      <c r="BS14" s="95" t="s">
        <v>436</v>
      </c>
      <c r="BT14" s="95">
        <v>1</v>
      </c>
      <c r="BU14" s="95" t="s">
        <v>85</v>
      </c>
      <c r="BV14" s="95" t="s">
        <v>105</v>
      </c>
      <c r="BW14" s="95">
        <v>0.05</v>
      </c>
      <c r="BX14" s="95" t="s">
        <v>95</v>
      </c>
      <c r="BY14" s="95" t="s">
        <v>134</v>
      </c>
      <c r="BZ14" s="354">
        <f>(BZ5/(BZ7*BZ17*(1/BZ9)*BZ35))*BZ10</f>
        <v>81979.777994116186</v>
      </c>
      <c r="CA14" s="95" t="s">
        <v>23</v>
      </c>
      <c r="CB14" s="95" t="s">
        <v>131</v>
      </c>
      <c r="CC14" s="354">
        <f>B9</f>
        <v>8.49E-6</v>
      </c>
      <c r="CD14" s="95" t="s">
        <v>132</v>
      </c>
      <c r="CE14" s="95" t="s">
        <v>131</v>
      </c>
      <c r="CF14" s="354">
        <f>B11</f>
        <v>9.87E-10</v>
      </c>
      <c r="CG14" s="95" t="s">
        <v>132</v>
      </c>
      <c r="CH14" s="95" t="s">
        <v>131</v>
      </c>
      <c r="CI14" s="354">
        <f>B13</f>
        <v>7.1999999999999997E-6</v>
      </c>
      <c r="CJ14" s="95" t="s">
        <v>132</v>
      </c>
      <c r="CT14" s="95" t="s">
        <v>142</v>
      </c>
      <c r="CU14" s="354">
        <f>(CU5/(CU6*CU25*(1/CU48)))*CU11</f>
        <v>0.85823833305847175</v>
      </c>
      <c r="CV14" s="95" t="s">
        <v>23</v>
      </c>
      <c r="CW14" s="95" t="s">
        <v>181</v>
      </c>
      <c r="CX14" s="95">
        <v>24</v>
      </c>
      <c r="CY14" s="95" t="s">
        <v>85</v>
      </c>
      <c r="CZ14" s="95" t="s">
        <v>134</v>
      </c>
      <c r="DA14" s="354">
        <f>DA5/(DA7*DA25*DA47)</f>
        <v>6.6569032086273463E-4</v>
      </c>
      <c r="DB14" s="95" t="s">
        <v>25</v>
      </c>
      <c r="DC14" s="95" t="s">
        <v>270</v>
      </c>
      <c r="DD14" s="95">
        <v>350</v>
      </c>
      <c r="DE14" s="95" t="s">
        <v>55</v>
      </c>
      <c r="DF14" s="95" t="s">
        <v>130</v>
      </c>
      <c r="DG14" s="95">
        <v>0.26</v>
      </c>
      <c r="DO14" s="95" t="s">
        <v>130</v>
      </c>
      <c r="DP14" s="95">
        <v>0.26</v>
      </c>
      <c r="DR14" s="95" t="s">
        <v>247</v>
      </c>
      <c r="DS14" s="95">
        <v>34</v>
      </c>
      <c r="DT14" s="95" t="s">
        <v>129</v>
      </c>
      <c r="ED14" s="95" t="s">
        <v>130</v>
      </c>
      <c r="EE14" s="95">
        <v>0.25</v>
      </c>
      <c r="EG14" s="95" t="s">
        <v>247</v>
      </c>
      <c r="EH14" s="95">
        <v>34</v>
      </c>
      <c r="EI14" s="95" t="s">
        <v>129</v>
      </c>
      <c r="ES14" s="95" t="s">
        <v>130</v>
      </c>
      <c r="ET14" s="95">
        <v>0.25</v>
      </c>
      <c r="EV14" s="95" t="s">
        <v>247</v>
      </c>
      <c r="EW14" s="95">
        <v>34</v>
      </c>
      <c r="EX14" s="95" t="s">
        <v>129</v>
      </c>
      <c r="FH14" s="95" t="s">
        <v>130</v>
      </c>
      <c r="FI14" s="95">
        <v>0.25</v>
      </c>
      <c r="FK14" s="95" t="s">
        <v>247</v>
      </c>
      <c r="FL14" s="95">
        <v>34</v>
      </c>
      <c r="FM14" s="95" t="s">
        <v>129</v>
      </c>
      <c r="FT14" s="95" t="s">
        <v>203</v>
      </c>
      <c r="FU14" s="354">
        <f>B22</f>
        <v>50</v>
      </c>
      <c r="FW14" s="95" t="s">
        <v>130</v>
      </c>
      <c r="FX14" s="95">
        <v>0.25</v>
      </c>
      <c r="FZ14" s="95" t="s">
        <v>247</v>
      </c>
      <c r="GA14" s="95">
        <v>34</v>
      </c>
      <c r="GB14" s="95" t="s">
        <v>129</v>
      </c>
      <c r="GL14" s="95" t="s">
        <v>305</v>
      </c>
      <c r="GM14" s="95">
        <v>0.25</v>
      </c>
      <c r="GO14" s="95" t="s">
        <v>247</v>
      </c>
      <c r="GP14" s="95">
        <v>34</v>
      </c>
      <c r="GQ14" s="95" t="s">
        <v>129</v>
      </c>
      <c r="HA14" s="95" t="s">
        <v>130</v>
      </c>
      <c r="HB14" s="95">
        <v>0.25</v>
      </c>
      <c r="HD14" s="95" t="s">
        <v>128</v>
      </c>
      <c r="HE14" s="95">
        <v>8.1999999999999993</v>
      </c>
    </row>
    <row r="15" spans="1:214" s="95" customFormat="1" ht="13.5" thickBot="1" x14ac:dyDescent="0.25">
      <c r="A15" s="95" t="s">
        <v>409</v>
      </c>
      <c r="B15" s="353">
        <v>1.7100000000000001E-11</v>
      </c>
      <c r="C15" s="95" t="s">
        <v>64</v>
      </c>
      <c r="E15" s="95">
        <v>24</v>
      </c>
      <c r="F15" s="95" t="s">
        <v>85</v>
      </c>
      <c r="G15" s="95" t="s">
        <v>86</v>
      </c>
      <c r="H15" s="372">
        <f>H32*H29*H17+H33*H30*H18</f>
        <v>19138</v>
      </c>
      <c r="I15" s="95" t="s">
        <v>196</v>
      </c>
      <c r="J15" s="366" t="s">
        <v>134</v>
      </c>
      <c r="K15" s="354">
        <f>(K5/(K7*K20*(1/K10)*K47))*K11</f>
        <v>731.96230351889449</v>
      </c>
      <c r="L15" s="367" t="s">
        <v>23</v>
      </c>
      <c r="M15" s="95" t="s">
        <v>131</v>
      </c>
      <c r="N15" s="354">
        <f>B9</f>
        <v>8.49E-6</v>
      </c>
      <c r="O15" s="95" t="s">
        <v>132</v>
      </c>
      <c r="P15" s="95" t="s">
        <v>131</v>
      </c>
      <c r="Q15" s="354">
        <f>B11</f>
        <v>9.87E-10</v>
      </c>
      <c r="R15" s="95" t="s">
        <v>132</v>
      </c>
      <c r="S15" s="95" t="s">
        <v>131</v>
      </c>
      <c r="T15" s="354">
        <f>B13</f>
        <v>7.1999999999999997E-6</v>
      </c>
      <c r="U15" s="95" t="s">
        <v>132</v>
      </c>
      <c r="V15" s="95" t="s">
        <v>414</v>
      </c>
      <c r="W15" s="95">
        <v>1</v>
      </c>
      <c r="Y15" s="95" t="s">
        <v>414</v>
      </c>
      <c r="Z15" s="95">
        <v>1</v>
      </c>
      <c r="AB15" s="95" t="s">
        <v>136</v>
      </c>
      <c r="AC15" s="95">
        <v>25</v>
      </c>
      <c r="AD15" s="95">
        <v>25</v>
      </c>
      <c r="AE15" s="95">
        <v>25</v>
      </c>
      <c r="AF15" s="95">
        <v>1</v>
      </c>
      <c r="AG15" s="95">
        <v>1</v>
      </c>
      <c r="AI15" s="95" t="s">
        <v>131</v>
      </c>
      <c r="AJ15" s="354">
        <f>B9</f>
        <v>8.49E-6</v>
      </c>
      <c r="AK15" s="95" t="s">
        <v>132</v>
      </c>
      <c r="AL15" s="95" t="s">
        <v>131</v>
      </c>
      <c r="AM15" s="354">
        <f>B11</f>
        <v>9.87E-10</v>
      </c>
      <c r="AN15" s="95" t="s">
        <v>132</v>
      </c>
      <c r="AO15" s="95" t="s">
        <v>131</v>
      </c>
      <c r="AP15" s="354">
        <f>B13</f>
        <v>7.1999999999999997E-6</v>
      </c>
      <c r="AQ15" s="95" t="s">
        <v>132</v>
      </c>
      <c r="AR15" s="95" t="s">
        <v>131</v>
      </c>
      <c r="AS15" s="354">
        <f>B9</f>
        <v>8.49E-6</v>
      </c>
      <c r="AT15" s="95" t="s">
        <v>132</v>
      </c>
      <c r="AU15" s="95" t="s">
        <v>131</v>
      </c>
      <c r="AV15" s="354">
        <f>B11</f>
        <v>9.87E-10</v>
      </c>
      <c r="AW15" s="95" t="s">
        <v>132</v>
      </c>
      <c r="AX15" s="95" t="s">
        <v>131</v>
      </c>
      <c r="AY15" s="354">
        <f>B13</f>
        <v>7.1999999999999997E-6</v>
      </c>
      <c r="AZ15" s="95" t="s">
        <v>132</v>
      </c>
      <c r="BA15" s="95" t="s">
        <v>131</v>
      </c>
      <c r="BB15" s="354">
        <f>B9</f>
        <v>8.49E-6</v>
      </c>
      <c r="BC15" s="95" t="s">
        <v>132</v>
      </c>
      <c r="BD15" s="95" t="s">
        <v>131</v>
      </c>
      <c r="BE15" s="354">
        <f>B11</f>
        <v>9.87E-10</v>
      </c>
      <c r="BF15" s="95" t="s">
        <v>132</v>
      </c>
      <c r="BG15" s="95" t="s">
        <v>131</v>
      </c>
      <c r="BH15" s="354">
        <f>B13</f>
        <v>7.1999999999999997E-6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5.4182369340346348</v>
      </c>
      <c r="CA15" s="95" t="s">
        <v>23</v>
      </c>
      <c r="CT15" s="95" t="s">
        <v>134</v>
      </c>
      <c r="CU15" s="354">
        <f>(CU5/(CU7*CU26*(1/CU10)*CU47))*CU11</f>
        <v>456.38190525714919</v>
      </c>
      <c r="CV15" s="95" t="s">
        <v>23</v>
      </c>
      <c r="CW15" s="95" t="s">
        <v>179</v>
      </c>
      <c r="CX15" s="95">
        <v>24</v>
      </c>
      <c r="CY15" s="95" t="s">
        <v>85</v>
      </c>
      <c r="CZ15" s="95" t="s">
        <v>256</v>
      </c>
      <c r="DA15" s="354">
        <f>DA5/(DA8*DA26*(DA48/DA49))</f>
        <v>53457.236956525718</v>
      </c>
      <c r="DB15" s="95" t="s">
        <v>25</v>
      </c>
      <c r="DC15" s="95" t="s">
        <v>269</v>
      </c>
      <c r="DD15" s="95">
        <v>350</v>
      </c>
      <c r="DE15" s="95" t="s">
        <v>55</v>
      </c>
      <c r="DF15" s="95" t="s">
        <v>137</v>
      </c>
      <c r="DG15" s="95">
        <v>0.42</v>
      </c>
      <c r="DH15" s="95" t="s">
        <v>80</v>
      </c>
      <c r="DO15" s="95" t="s">
        <v>137</v>
      </c>
      <c r="DP15" s="95">
        <v>0.42</v>
      </c>
      <c r="DQ15" s="95" t="s">
        <v>80</v>
      </c>
      <c r="DR15" s="95" t="s">
        <v>248</v>
      </c>
      <c r="DS15" s="95">
        <v>40</v>
      </c>
      <c r="DT15" s="95" t="s">
        <v>129</v>
      </c>
      <c r="ED15" s="95" t="s">
        <v>58</v>
      </c>
      <c r="EE15" s="95">
        <v>92</v>
      </c>
      <c r="EF15" s="95" t="s">
        <v>59</v>
      </c>
      <c r="EG15" s="95" t="s">
        <v>248</v>
      </c>
      <c r="EH15" s="95">
        <v>40</v>
      </c>
      <c r="EI15" s="95" t="s">
        <v>129</v>
      </c>
      <c r="ES15" s="95" t="s">
        <v>60</v>
      </c>
      <c r="ET15" s="95">
        <v>53</v>
      </c>
      <c r="EU15" s="95" t="s">
        <v>59</v>
      </c>
      <c r="EV15" s="95" t="s">
        <v>248</v>
      </c>
      <c r="EW15" s="95">
        <v>40</v>
      </c>
      <c r="EX15" s="95" t="s">
        <v>129</v>
      </c>
      <c r="FH15" s="95" t="s">
        <v>297</v>
      </c>
      <c r="FI15" s="95">
        <v>0.4</v>
      </c>
      <c r="FJ15" s="95" t="s">
        <v>59</v>
      </c>
      <c r="FK15" s="95" t="s">
        <v>248</v>
      </c>
      <c r="FL15" s="95">
        <v>40</v>
      </c>
      <c r="FM15" s="95" t="s">
        <v>129</v>
      </c>
      <c r="FT15" s="95" t="s">
        <v>322</v>
      </c>
      <c r="FU15" s="354">
        <v>8.1999999999999993</v>
      </c>
      <c r="FW15" s="95" t="s">
        <v>300</v>
      </c>
      <c r="FX15" s="357">
        <v>1</v>
      </c>
      <c r="FY15" s="95" t="s">
        <v>59</v>
      </c>
      <c r="FZ15" s="95" t="s">
        <v>248</v>
      </c>
      <c r="GA15" s="95">
        <v>40</v>
      </c>
      <c r="GB15" s="95" t="s">
        <v>129</v>
      </c>
      <c r="GL15" s="95" t="s">
        <v>298</v>
      </c>
      <c r="GM15" s="95">
        <v>0.4</v>
      </c>
      <c r="GN15" s="95" t="s">
        <v>59</v>
      </c>
      <c r="GO15" s="95" t="s">
        <v>248</v>
      </c>
      <c r="GP15" s="95">
        <v>40</v>
      </c>
      <c r="GQ15" s="95" t="s">
        <v>129</v>
      </c>
      <c r="HA15" s="95" t="s">
        <v>299</v>
      </c>
      <c r="HB15" s="95">
        <v>11.4</v>
      </c>
      <c r="HC15" s="95" t="s">
        <v>59</v>
      </c>
    </row>
    <row r="16" spans="1:214" s="95" customFormat="1" ht="13.5" thickTop="1" x14ac:dyDescent="0.2">
      <c r="A16" s="95" t="s">
        <v>415</v>
      </c>
      <c r="B16" s="353">
        <v>5.1499999999999998E-10</v>
      </c>
      <c r="C16" s="95" t="s">
        <v>64</v>
      </c>
      <c r="D16" s="95" t="s">
        <v>133</v>
      </c>
      <c r="E16" s="95">
        <v>6</v>
      </c>
      <c r="F16" s="95" t="s">
        <v>62</v>
      </c>
      <c r="G16" s="95" t="s">
        <v>82</v>
      </c>
      <c r="H16" s="373">
        <f>H29*H19*H32+H30*H20*H33</f>
        <v>161000</v>
      </c>
      <c r="I16" s="95" t="s">
        <v>444</v>
      </c>
      <c r="J16" s="366" t="s">
        <v>197</v>
      </c>
      <c r="K16" s="354">
        <f>(K5/(K8*K44*((K39*K43*(1/K37))+(K40*K42*(1/K37)))*K32*(1/K46)*K33))*K11</f>
        <v>1.3707500742356186E-2</v>
      </c>
      <c r="L16" s="367" t="s">
        <v>23</v>
      </c>
      <c r="M16" s="95" t="s">
        <v>151</v>
      </c>
      <c r="N16" s="95">
        <v>16.416</v>
      </c>
      <c r="O16" s="95" t="s">
        <v>127</v>
      </c>
      <c r="P16" s="95" t="s">
        <v>151</v>
      </c>
      <c r="Q16" s="95">
        <v>16.416</v>
      </c>
      <c r="R16" s="95" t="s">
        <v>127</v>
      </c>
      <c r="S16" s="95" t="s">
        <v>151</v>
      </c>
      <c r="T16" s="95">
        <v>16.416</v>
      </c>
      <c r="U16" s="95" t="s">
        <v>127</v>
      </c>
      <c r="V16" s="374" t="s">
        <v>134</v>
      </c>
      <c r="W16" s="375">
        <f>(W5)/((W11/W12)*W8*W9*W10*W13)</f>
        <v>7.6628352490421458E-4</v>
      </c>
      <c r="X16" s="376" t="s">
        <v>37</v>
      </c>
      <c r="Y16" s="376" t="s">
        <v>134</v>
      </c>
      <c r="Z16" s="375">
        <f>(Z5)/((Z11/Z12)*Z8*Z9*Z10*Z13)</f>
        <v>6.8965517241379316E-4</v>
      </c>
      <c r="AA16" s="377" t="s">
        <v>37</v>
      </c>
      <c r="AB16" s="95" t="s">
        <v>141</v>
      </c>
      <c r="AC16" s="95">
        <v>100</v>
      </c>
      <c r="AD16" s="95">
        <v>50</v>
      </c>
      <c r="AE16" s="95">
        <v>100</v>
      </c>
      <c r="AF16" s="95">
        <v>330</v>
      </c>
      <c r="AG16" s="95">
        <v>330</v>
      </c>
      <c r="AI16" s="95" t="s">
        <v>151</v>
      </c>
      <c r="AJ16" s="95">
        <f>8/24</f>
        <v>0.33333333333333331</v>
      </c>
      <c r="AK16" s="95" t="s">
        <v>125</v>
      </c>
      <c r="AL16" s="95" t="s">
        <v>151</v>
      </c>
      <c r="AM16" s="95">
        <f>8/24</f>
        <v>0.33333333333333331</v>
      </c>
      <c r="AN16" s="95" t="s">
        <v>125</v>
      </c>
      <c r="AO16" s="95" t="s">
        <v>151</v>
      </c>
      <c r="AP16" s="95">
        <f>8/24</f>
        <v>0.33333333333333331</v>
      </c>
      <c r="AQ16" s="95" t="s">
        <v>125</v>
      </c>
      <c r="AR16" s="95" t="s">
        <v>151</v>
      </c>
      <c r="AS16" s="95">
        <v>0</v>
      </c>
      <c r="AT16" s="95" t="s">
        <v>125</v>
      </c>
      <c r="AU16" s="95" t="s">
        <v>151</v>
      </c>
      <c r="AV16" s="95">
        <v>0</v>
      </c>
      <c r="AW16" s="95" t="s">
        <v>125</v>
      </c>
      <c r="AX16" s="95" t="s">
        <v>151</v>
      </c>
      <c r="AY16" s="95">
        <v>0</v>
      </c>
      <c r="AZ16" s="95" t="s">
        <v>125</v>
      </c>
      <c r="BA16" s="95" t="s">
        <v>151</v>
      </c>
      <c r="BB16" s="95">
        <v>0</v>
      </c>
      <c r="BC16" s="95" t="s">
        <v>125</v>
      </c>
      <c r="BD16" s="95" t="s">
        <v>151</v>
      </c>
      <c r="BE16" s="95">
        <v>0</v>
      </c>
      <c r="BF16" s="95" t="s">
        <v>125</v>
      </c>
      <c r="BG16" s="95" t="s">
        <v>151</v>
      </c>
      <c r="BH16" s="95">
        <v>0</v>
      </c>
      <c r="BI16" s="95" t="s">
        <v>125</v>
      </c>
      <c r="BJ16" s="95" t="s">
        <v>131</v>
      </c>
      <c r="BK16" s="354">
        <f>B9</f>
        <v>8.49E-6</v>
      </c>
      <c r="BL16" s="95" t="s">
        <v>132</v>
      </c>
      <c r="BM16" s="95" t="s">
        <v>131</v>
      </c>
      <c r="BN16" s="354">
        <f>B9</f>
        <v>8.49E-6</v>
      </c>
      <c r="BO16" s="95" t="s">
        <v>132</v>
      </c>
      <c r="BP16" s="95" t="s">
        <v>131</v>
      </c>
      <c r="BQ16" s="354">
        <f>B9</f>
        <v>8.49E-6</v>
      </c>
      <c r="BR16" s="95" t="s">
        <v>132</v>
      </c>
      <c r="BS16" s="95" t="s">
        <v>182</v>
      </c>
      <c r="BT16" s="95">
        <v>1</v>
      </c>
      <c r="BU16" s="95" t="s">
        <v>85</v>
      </c>
      <c r="BV16" s="95" t="s">
        <v>263</v>
      </c>
      <c r="BW16" s="360">
        <f>((BW18*BW21*BW23*BW26)+(BW19*BW22*BW24*BW27))</f>
        <v>1170</v>
      </c>
      <c r="BX16" s="95" t="s">
        <v>445</v>
      </c>
      <c r="BY16" s="95" t="s">
        <v>87</v>
      </c>
      <c r="BZ16" s="360">
        <f>(BZ18*BZ22*BZ27+BZ19*BZ23*BZ26)</f>
        <v>240000</v>
      </c>
      <c r="CA16" s="95" t="s">
        <v>443</v>
      </c>
      <c r="CB16" s="378" t="s">
        <v>8</v>
      </c>
      <c r="CC16" s="42" t="s">
        <v>431</v>
      </c>
      <c r="CD16" s="43" t="s">
        <v>459</v>
      </c>
      <c r="CE16" s="41" t="s">
        <v>8</v>
      </c>
      <c r="CF16" s="42" t="s">
        <v>200</v>
      </c>
      <c r="CG16" s="43" t="s">
        <v>459</v>
      </c>
      <c r="CK16" s="379" t="s">
        <v>8</v>
      </c>
      <c r="CL16" s="380" t="s">
        <v>332</v>
      </c>
      <c r="CM16" s="381" t="s">
        <v>459</v>
      </c>
      <c r="CN16" s="42" t="s">
        <v>8</v>
      </c>
      <c r="CO16" s="42" t="s">
        <v>332</v>
      </c>
      <c r="CP16" s="43" t="s">
        <v>459</v>
      </c>
      <c r="CQ16" s="41" t="s">
        <v>8</v>
      </c>
      <c r="CR16" s="42" t="s">
        <v>332</v>
      </c>
      <c r="CS16" s="43" t="s">
        <v>459</v>
      </c>
      <c r="CT16" s="95" t="s">
        <v>197</v>
      </c>
      <c r="CU16" s="354">
        <f>(CU5/(CU8*CU44*((CU39*CU43*(1/CU37))+(CU40*CU42*(1/CU37)))*CU32*(1/CU46)*CU33))*CU11</f>
        <v>4.5970875662206673E-3</v>
      </c>
      <c r="CV16" s="95" t="s">
        <v>23</v>
      </c>
      <c r="CW16" s="95" t="s">
        <v>133</v>
      </c>
      <c r="CX16" s="95">
        <v>6</v>
      </c>
      <c r="CY16" s="95" t="s">
        <v>62</v>
      </c>
      <c r="CZ16" s="95" t="s">
        <v>277</v>
      </c>
      <c r="DA16" s="354">
        <f>DG3</f>
        <v>0.12799514135363926</v>
      </c>
      <c r="DB16" s="95" t="s">
        <v>25</v>
      </c>
      <c r="DC16" s="95" t="s">
        <v>246</v>
      </c>
      <c r="DD16" s="95">
        <v>6</v>
      </c>
      <c r="DE16" s="95" t="s">
        <v>129</v>
      </c>
      <c r="DF16" s="95" t="s">
        <v>143</v>
      </c>
      <c r="DG16" s="95">
        <f>DG20+(0.693/DG22)</f>
        <v>4.9501186643835612E-2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3.5" thickBot="1" x14ac:dyDescent="0.25">
      <c r="A17" s="95" t="s">
        <v>448</v>
      </c>
      <c r="B17" s="353">
        <v>1600</v>
      </c>
      <c r="C17" s="95" t="s">
        <v>454</v>
      </c>
      <c r="D17" s="95" t="s">
        <v>138</v>
      </c>
      <c r="E17" s="95">
        <v>20</v>
      </c>
      <c r="F17" s="95" t="s">
        <v>62</v>
      </c>
      <c r="G17" s="95" t="s">
        <v>105</v>
      </c>
      <c r="H17" s="95">
        <f>B38</f>
        <v>0.78</v>
      </c>
      <c r="J17" s="368" t="s">
        <v>407</v>
      </c>
      <c r="K17" s="369">
        <f>K18/(K49+K50)</f>
        <v>4.0088519459819227E-2</v>
      </c>
      <c r="L17" s="370" t="s">
        <v>23</v>
      </c>
      <c r="V17" s="383" t="s">
        <v>139</v>
      </c>
      <c r="W17" s="384">
        <f>(W5)/((W11/W12)*W8*W9*W14*(1/365))</f>
        <v>24.735281660313422</v>
      </c>
      <c r="X17" s="385" t="s">
        <v>37</v>
      </c>
      <c r="Y17" s="385" t="s">
        <v>139</v>
      </c>
      <c r="Z17" s="384">
        <f>(Z5)/((Z11/Z12)*Z8*Z9*Z14*(1/365))</f>
        <v>22.261753494282082</v>
      </c>
      <c r="AA17" s="386" t="s">
        <v>37</v>
      </c>
      <c r="BS17" s="95" t="s">
        <v>133</v>
      </c>
      <c r="BT17" s="95">
        <v>6</v>
      </c>
      <c r="BU17" s="95" t="s">
        <v>62</v>
      </c>
      <c r="BV17" s="95" t="s">
        <v>145</v>
      </c>
      <c r="BW17" s="95">
        <v>0.5</v>
      </c>
      <c r="BX17" s="95" t="s">
        <v>146</v>
      </c>
      <c r="BY17" s="95" t="s">
        <v>82</v>
      </c>
      <c r="BZ17" s="360">
        <f>(BZ27*BZ24*BZ20*(BZ29/24))+(BZ26*BZ23*BZ21*(BZ30/24))</f>
        <v>1437.5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f>DJ3</f>
        <v>6.1012319455013564E-3</v>
      </c>
      <c r="CV17" s="95" t="s">
        <v>23</v>
      </c>
      <c r="CW17" s="95" t="s">
        <v>138</v>
      </c>
      <c r="CX17" s="95">
        <v>34</v>
      </c>
      <c r="CY17" s="95" t="s">
        <v>62</v>
      </c>
      <c r="CZ17" s="95" t="s">
        <v>262</v>
      </c>
      <c r="DA17" s="354">
        <f>DD3</f>
        <v>1.8303695836504067E-3</v>
      </c>
      <c r="DB17" s="95" t="s">
        <v>23</v>
      </c>
      <c r="DC17" s="95" t="s">
        <v>247</v>
      </c>
      <c r="DD17" s="95">
        <v>34</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164</v>
      </c>
      <c r="B18" s="353">
        <f>PEF!D3</f>
        <v>1359344473.5814338</v>
      </c>
      <c r="D18" s="95" t="s">
        <v>115</v>
      </c>
      <c r="E18" s="354">
        <f>B14</f>
        <v>7.8700000000000003E-9</v>
      </c>
      <c r="F18" s="95" t="s">
        <v>116</v>
      </c>
      <c r="G18" s="95" t="s">
        <v>135</v>
      </c>
      <c r="H18" s="95">
        <f>B39</f>
        <v>2.5</v>
      </c>
      <c r="J18" s="95" t="s">
        <v>406</v>
      </c>
      <c r="K18" s="354">
        <f>K5/(K9*(K25+K28)*K38)</f>
        <v>1.2026555837945768E-2</v>
      </c>
      <c r="L18" s="95" t="s">
        <v>23</v>
      </c>
      <c r="M18" s="21" t="s">
        <v>13</v>
      </c>
      <c r="N18" s="22" t="s">
        <v>158</v>
      </c>
      <c r="O18" s="22" t="s">
        <v>459</v>
      </c>
      <c r="P18" s="23" t="s">
        <v>13</v>
      </c>
      <c r="Q18" s="22" t="s">
        <v>200</v>
      </c>
      <c r="R18" s="24" t="s">
        <v>459</v>
      </c>
      <c r="V18" s="374" t="s">
        <v>134</v>
      </c>
      <c r="W18" s="375">
        <f>(W5*W6*W9)/((W11/W12)*(1-EXP(-W6*W9))*W10*W13*W8*W9)</f>
        <v>7.704397189056139E-4</v>
      </c>
      <c r="X18" s="376" t="s">
        <v>38</v>
      </c>
      <c r="Y18" s="376" t="s">
        <v>134</v>
      </c>
      <c r="Z18" s="375">
        <f>(Z5*Z6*Z9)/((Z11/Z12)*(1-EXP(-Z6*Z9))*Z10*Z13*Z8*Z9)</f>
        <v>6.9339574701505243E-4</v>
      </c>
      <c r="AA18" s="377" t="s">
        <v>38</v>
      </c>
      <c r="AI18" s="33" t="s">
        <v>13</v>
      </c>
      <c r="AJ18" s="34" t="s">
        <v>158</v>
      </c>
      <c r="AK18" s="34" t="s">
        <v>459</v>
      </c>
      <c r="AL18" s="35" t="s">
        <v>13</v>
      </c>
      <c r="AM18" s="34" t="s">
        <v>200</v>
      </c>
      <c r="AN18" s="36" t="s">
        <v>459</v>
      </c>
      <c r="AR18" s="37" t="s">
        <v>13</v>
      </c>
      <c r="AS18" s="38" t="s">
        <v>158</v>
      </c>
      <c r="AT18" s="38" t="s">
        <v>459</v>
      </c>
      <c r="AU18" s="39" t="s">
        <v>13</v>
      </c>
      <c r="AV18" s="38" t="s">
        <v>200</v>
      </c>
      <c r="AW18" s="40" t="s">
        <v>459</v>
      </c>
      <c r="BA18" s="37" t="s">
        <v>13</v>
      </c>
      <c r="BB18" s="38" t="s">
        <v>158</v>
      </c>
      <c r="BC18" s="38" t="s">
        <v>459</v>
      </c>
      <c r="BD18" s="39" t="s">
        <v>13</v>
      </c>
      <c r="BE18" s="38" t="s">
        <v>200</v>
      </c>
      <c r="BF18" s="40" t="s">
        <v>459</v>
      </c>
      <c r="BJ18" s="37" t="s">
        <v>13</v>
      </c>
      <c r="BK18" s="38" t="s">
        <v>158</v>
      </c>
      <c r="BL18" s="38" t="s">
        <v>459</v>
      </c>
      <c r="BM18" s="39" t="s">
        <v>13</v>
      </c>
      <c r="BN18" s="38" t="s">
        <v>200</v>
      </c>
      <c r="BO18" s="40" t="s">
        <v>459</v>
      </c>
      <c r="BS18" s="95" t="s">
        <v>138</v>
      </c>
      <c r="BT18" s="95">
        <v>20</v>
      </c>
      <c r="BU18" s="95" t="s">
        <v>62</v>
      </c>
      <c r="BV18" s="95" t="s">
        <v>440</v>
      </c>
      <c r="BW18" s="95">
        <v>45</v>
      </c>
      <c r="BX18" s="95" t="s">
        <v>55</v>
      </c>
      <c r="BY18" s="95" t="s">
        <v>117</v>
      </c>
      <c r="BZ18" s="95">
        <f>B36</f>
        <v>200</v>
      </c>
      <c r="CA18" s="95" t="s">
        <v>96</v>
      </c>
      <c r="CB18" s="387" t="s">
        <v>39</v>
      </c>
      <c r="CC18" s="195">
        <f>(CC20*CC21*CC22)/((1-EXP(-CC22*CC21))*CC25*CC29*(CC24/365)*CC27*(CC28/24)*CC26)</f>
        <v>187.01159888117354</v>
      </c>
      <c r="CD18" s="129"/>
      <c r="CE18" s="126" t="s">
        <v>39</v>
      </c>
      <c r="CF18" s="195">
        <f>(CF20*CF21*CF22)/((1-EXP(-CF22*CF21))*CF25*CF29*(CF24/365)*CF27*(CF28/24)*CF26)</f>
        <v>19.725260336307663</v>
      </c>
      <c r="CG18" s="129"/>
      <c r="CK18" s="388" t="s">
        <v>17</v>
      </c>
      <c r="CL18" s="195">
        <f>CL20/(CL21*CL22*CL23*CL24)</f>
        <v>0.99576798605924821</v>
      </c>
      <c r="CM18" s="389"/>
      <c r="CN18" s="127" t="s">
        <v>17</v>
      </c>
      <c r="CO18" s="195">
        <f>CL18/(CO20*((CO25*CO27*CO28*(CO21+CO22))+(CO26*CO27)))</f>
        <v>686.73654210982636</v>
      </c>
      <c r="CP18" s="129"/>
      <c r="CQ18" s="126" t="s">
        <v>17</v>
      </c>
      <c r="CR18" s="195">
        <f>CL18/(CR20*CR21*(1/CR22))</f>
        <v>995767.98605924821</v>
      </c>
      <c r="CS18" s="129"/>
      <c r="CT18" s="95" t="s">
        <v>406</v>
      </c>
      <c r="CU18" s="354">
        <f>DD3</f>
        <v>1.8303695836504067E-3</v>
      </c>
      <c r="CV18" s="95" t="s">
        <v>23</v>
      </c>
      <c r="CW18" s="95" t="s">
        <v>115</v>
      </c>
      <c r="CX18" s="354">
        <f>B14</f>
        <v>7.8700000000000003E-9</v>
      </c>
      <c r="CY18" s="95" t="s">
        <v>116</v>
      </c>
      <c r="CZ18" s="95" t="s">
        <v>323</v>
      </c>
      <c r="DA18" s="354" t="e">
        <f>EZ3</f>
        <v>#DIV/0!</v>
      </c>
      <c r="DC18" s="95" t="s">
        <v>248</v>
      </c>
      <c r="DD18" s="95">
        <v>40</v>
      </c>
      <c r="DE18" s="95" t="s">
        <v>129</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201</v>
      </c>
      <c r="B19" s="353">
        <f>PEF!G3</f>
        <v>773681.6396651821</v>
      </c>
      <c r="D19" s="95" t="s">
        <v>414</v>
      </c>
      <c r="E19" s="95">
        <v>1</v>
      </c>
      <c r="G19" s="95" t="s">
        <v>240</v>
      </c>
      <c r="H19" s="95">
        <f>B33</f>
        <v>10</v>
      </c>
      <c r="J19" s="95" t="s">
        <v>87</v>
      </c>
      <c r="K19" s="390">
        <f>K21*K31*K35+K22*K32*K34</f>
        <v>1120000</v>
      </c>
      <c r="L19" s="95" t="s">
        <v>443</v>
      </c>
      <c r="M19" s="103" t="s">
        <v>33</v>
      </c>
      <c r="N19" s="104" t="s">
        <v>34</v>
      </c>
      <c r="O19" s="105" t="s">
        <v>162</v>
      </c>
      <c r="P19" s="106" t="s">
        <v>33</v>
      </c>
      <c r="Q19" s="104" t="s">
        <v>34</v>
      </c>
      <c r="R19" s="107" t="s">
        <v>23</v>
      </c>
      <c r="V19" s="383" t="s">
        <v>139</v>
      </c>
      <c r="W19" s="384">
        <f>(W5*W6*W9)/((W11/W12)*(1-EXP(-W6*W9))*W14*W8*W9*(1/365))</f>
        <v>24.869441701497095</v>
      </c>
      <c r="X19" s="385" t="s">
        <v>38</v>
      </c>
      <c r="Y19" s="385" t="s">
        <v>139</v>
      </c>
      <c r="Z19" s="384">
        <f>(Z5*Z6*Z9)/((Z11/Z12)*(1-EXP(-Z6*Z9))*Z14*Z8*Z9*(1/365))</f>
        <v>22.382497531347386</v>
      </c>
      <c r="AA19" s="386" t="s">
        <v>38</v>
      </c>
      <c r="AB19" s="95" t="s">
        <v>102</v>
      </c>
      <c r="AC19" s="95">
        <v>1</v>
      </c>
      <c r="AD19" s="95">
        <v>1</v>
      </c>
      <c r="AE19" s="95">
        <v>1</v>
      </c>
      <c r="AF19" s="95">
        <v>1</v>
      </c>
      <c r="AG19" s="95">
        <v>1</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7.8700000000000003E-9</v>
      </c>
      <c r="BU19" s="95" t="s">
        <v>116</v>
      </c>
      <c r="BV19" s="95" t="s">
        <v>441</v>
      </c>
      <c r="BW19" s="95">
        <v>45</v>
      </c>
      <c r="BX19" s="95" t="s">
        <v>55</v>
      </c>
      <c r="BY19" s="95" t="s">
        <v>140</v>
      </c>
      <c r="BZ19" s="95">
        <f>B37</f>
        <v>100</v>
      </c>
      <c r="CA19" s="95" t="s">
        <v>96</v>
      </c>
      <c r="CB19" s="391"/>
      <c r="CC19" s="285"/>
      <c r="CD19" s="287"/>
      <c r="CE19" s="284"/>
      <c r="CF19" s="285"/>
      <c r="CG19" s="287"/>
      <c r="CK19" s="392"/>
      <c r="CL19" s="393"/>
      <c r="CM19" s="394"/>
      <c r="CN19" s="395"/>
      <c r="CO19" s="285"/>
      <c r="CP19" s="287"/>
      <c r="CQ19" s="284"/>
      <c r="CR19" s="285"/>
      <c r="CS19" s="287"/>
      <c r="CT19" s="95" t="s">
        <v>323</v>
      </c>
      <c r="CU19" s="354" t="e">
        <f>FC3</f>
        <v>#DIV/0!</v>
      </c>
      <c r="CV19" s="95" t="s">
        <v>23</v>
      </c>
      <c r="CW19" s="95" t="s">
        <v>414</v>
      </c>
      <c r="CX19" s="95">
        <v>1</v>
      </c>
      <c r="CZ19" s="95" t="s">
        <v>417</v>
      </c>
      <c r="DA19" s="354" t="e">
        <f>GS3</f>
        <v>#DIV/0!</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202</v>
      </c>
      <c r="B20" s="353">
        <f>PEF!J3</f>
        <v>36055860.959050171</v>
      </c>
      <c r="D20" s="363" t="s">
        <v>134</v>
      </c>
      <c r="E20" s="364">
        <f>(E5)/((E14/E15)*E10*E11)</f>
        <v>5.3544656243306916E-4</v>
      </c>
      <c r="F20" s="365" t="s">
        <v>37</v>
      </c>
      <c r="G20" s="95" t="s">
        <v>241</v>
      </c>
      <c r="H20" s="95">
        <f>B34</f>
        <v>20</v>
      </c>
      <c r="J20" s="95" t="s">
        <v>82</v>
      </c>
      <c r="K20" s="390">
        <f>K35*K31*K23+K34*K32*K24</f>
        <v>161000</v>
      </c>
      <c r="L20" s="95" t="s">
        <v>149</v>
      </c>
      <c r="M20" s="103" t="s">
        <v>39</v>
      </c>
      <c r="N20" s="185">
        <f>(N22*N23*N24)/((1-EXP(-N24*N23))*N27*N32*(N26/365)*N30*(((N31/24)*N29)+((N33/24)*N28)))</f>
        <v>7.5569273573119516E-2</v>
      </c>
      <c r="O20" s="105"/>
      <c r="P20" s="106" t="s">
        <v>39</v>
      </c>
      <c r="Q20" s="185">
        <f>(Q22*Q23*Q24)/((1-EXP(-Q24*Q23))*Q27*Q32*(Q26/365)*Q30*(((Q31/24)*Q29)+((Q33/24)*Q28)))</f>
        <v>2.5690216623091407E-2</v>
      </c>
      <c r="R20" s="107"/>
      <c r="AB20" s="95" t="s">
        <v>449</v>
      </c>
      <c r="AC20" s="95">
        <f>B35</f>
        <v>60</v>
      </c>
      <c r="AD20" s="95">
        <f>B35</f>
        <v>60</v>
      </c>
      <c r="AE20" s="95">
        <f>B35</f>
        <v>60</v>
      </c>
      <c r="AF20" s="95">
        <f>B35</f>
        <v>60</v>
      </c>
      <c r="AG20" s="95">
        <f>B35</f>
        <v>60</v>
      </c>
      <c r="AH20" s="95" t="s">
        <v>83</v>
      </c>
      <c r="AI20" s="116" t="s">
        <v>39</v>
      </c>
      <c r="AJ20" s="193">
        <f>(AJ22*AJ23*AJ24)/((1-EXP(-AJ24*AJ23))*AJ27*AJ32*(AJ26/365)*AJ30*((AJ31*AJ29)+(AJ33*AJ28)))</f>
        <v>0.28595820709692199</v>
      </c>
      <c r="AK20" s="118"/>
      <c r="AL20" s="119" t="s">
        <v>39</v>
      </c>
      <c r="AM20" s="193">
        <f>(AM22*AM23*AM24)/((1-EXP(-AM24*AM23))*AM27*AM32*(AM26/365)*AM30*((AM31*AM29)+(AM33*AM28)))</f>
        <v>9.7213165326547432E-2</v>
      </c>
      <c r="AN20" s="120"/>
      <c r="AR20" s="121" t="s">
        <v>39</v>
      </c>
      <c r="AS20" s="194">
        <f>(AS22*AS23*AS24)/((1-EXP(-AS24*AS23))*AS27*AS32*(AS26/365)*AS30*((AS31*AS29)+(AS33*AS28)))</f>
        <v>0.12709253648752086</v>
      </c>
      <c r="AT20" s="123"/>
      <c r="AU20" s="124" t="s">
        <v>39</v>
      </c>
      <c r="AV20" s="194">
        <f>(AV22*AV23*AV24)/((1-EXP(-AV24*AV23))*AV27*AV32*(AV26/365)*AV30*((AV31*AV29)+(AV33*AV28)))</f>
        <v>4.3205851256243301E-2</v>
      </c>
      <c r="AW20" s="125"/>
      <c r="BA20" s="121" t="s">
        <v>39</v>
      </c>
      <c r="BB20" s="194">
        <f>(BB22*BB23*BB24)/((1-EXP(-BB24*BB23))*BB27*BB32*(BB26/365)*BB30*((BB31*BB29)+(BB33*BB28)))</f>
        <v>0.11438328283876879</v>
      </c>
      <c r="BC20" s="123"/>
      <c r="BD20" s="124" t="s">
        <v>39</v>
      </c>
      <c r="BE20" s="194">
        <f>(BE22*BE23*BE24)/((1-EXP(-BE24*BE23))*BE27*BE32*(BE26/365)*BE30*((BE31*BE29)+(BE33*BE28)))</f>
        <v>3.8885266130618976E-2</v>
      </c>
      <c r="BF20" s="125"/>
      <c r="BJ20" s="121" t="s">
        <v>39</v>
      </c>
      <c r="BK20" s="194">
        <f>(BK22*BK23*BK24)/((1-EXP(-BK24*BK23))*BK29*BK34*(BK26/365)*BK32*BK33*BK31)</f>
        <v>223974.85502419763</v>
      </c>
      <c r="BL20" s="123"/>
      <c r="BM20" s="124" t="s">
        <v>39</v>
      </c>
      <c r="BN20" s="194">
        <f>(BN22*BN23*BN24)/((1-EXP(-BN24*BN23))*BN29*BN34*(BN26/365)*BN32*BN33*BN31)</f>
        <v>10075.499545661203</v>
      </c>
      <c r="BO20" s="125"/>
      <c r="BS20" s="95" t="s">
        <v>414</v>
      </c>
      <c r="BT20" s="95">
        <v>1</v>
      </c>
      <c r="BV20" s="95" t="s">
        <v>108</v>
      </c>
      <c r="BW20" s="95">
        <v>26</v>
      </c>
      <c r="BX20" s="95" t="s">
        <v>129</v>
      </c>
      <c r="BY20" s="95" t="s">
        <v>240</v>
      </c>
      <c r="BZ20" s="95">
        <f>B33</f>
        <v>10</v>
      </c>
      <c r="CA20" s="95" t="s">
        <v>83</v>
      </c>
      <c r="CB20" s="95" t="s">
        <v>46</v>
      </c>
      <c r="CC20" s="354">
        <v>9.9999999999999995E-7</v>
      </c>
      <c r="CE20" s="95" t="s">
        <v>46</v>
      </c>
      <c r="CF20" s="354">
        <v>9.9999999999999995E-7</v>
      </c>
      <c r="CK20" s="95" t="s">
        <v>46</v>
      </c>
      <c r="CL20" s="354">
        <v>9.9999999999999995E-7</v>
      </c>
      <c r="CM20" s="355"/>
      <c r="CN20" s="95" t="s">
        <v>433</v>
      </c>
      <c r="CO20" s="354">
        <f>B28</f>
        <v>1E-3</v>
      </c>
      <c r="CQ20" s="95" t="s">
        <v>433</v>
      </c>
      <c r="CR20" s="95">
        <f>CO20</f>
        <v>1E-3</v>
      </c>
      <c r="CT20" s="95" t="s">
        <v>417</v>
      </c>
      <c r="CU20" s="354" t="e">
        <f>GV3</f>
        <v>#DIV/0!</v>
      </c>
      <c r="CV20" s="95" t="s">
        <v>23</v>
      </c>
      <c r="CW20" s="95" t="s">
        <v>134</v>
      </c>
      <c r="CX20" s="354">
        <f>(CX5)/((CX14/CX15)*CX10*CX11)</f>
        <v>3.3284516043136732E-4</v>
      </c>
      <c r="CY20" s="95" t="s">
        <v>37</v>
      </c>
      <c r="CZ20" s="95" t="s">
        <v>326</v>
      </c>
      <c r="DA20" s="354">
        <f>EK3</f>
        <v>5.5053159859066923E-7</v>
      </c>
      <c r="DD20" s="354">
        <v>1000</v>
      </c>
      <c r="DE20" s="95" t="s">
        <v>195</v>
      </c>
      <c r="DF20" s="95" t="s">
        <v>154</v>
      </c>
      <c r="DG20" s="354">
        <f>0.693/DG23</f>
        <v>1.1866438356164383E-6</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448</v>
      </c>
      <c r="B21" s="353">
        <v>584000</v>
      </c>
      <c r="C21" s="95" t="s">
        <v>416</v>
      </c>
      <c r="D21" s="368" t="s">
        <v>139</v>
      </c>
      <c r="E21" s="369">
        <f>(E5)/((E14/E15)*E8*E9*E18*(1/365)*E19)</f>
        <v>5.0965552871524915</v>
      </c>
      <c r="F21" s="370" t="s">
        <v>37</v>
      </c>
      <c r="G21" s="95" t="s">
        <v>263</v>
      </c>
      <c r="H21" s="396">
        <f>(H29*H32*H38*H34)+(H30*H33*H39*H35)</f>
        <v>6104</v>
      </c>
      <c r="I21" s="95" t="s">
        <v>445</v>
      </c>
      <c r="J21" s="95" t="s">
        <v>117</v>
      </c>
      <c r="K21" s="95">
        <f>B36</f>
        <v>200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5.9970014992503748E-2</v>
      </c>
      <c r="BU21" s="95" t="s">
        <v>37</v>
      </c>
      <c r="BV21" s="95" t="s">
        <v>439</v>
      </c>
      <c r="BW21" s="95">
        <v>6</v>
      </c>
      <c r="BY21" s="95" t="s">
        <v>241</v>
      </c>
      <c r="BZ21" s="95">
        <f>B34</f>
        <v>20</v>
      </c>
      <c r="CA21" s="95" t="s">
        <v>83</v>
      </c>
      <c r="CB21" s="95" t="s">
        <v>61</v>
      </c>
      <c r="CC21" s="95">
        <v>26</v>
      </c>
      <c r="CD21" s="95" t="s">
        <v>62</v>
      </c>
      <c r="CE21" s="95" t="s">
        <v>61</v>
      </c>
      <c r="CF21" s="95">
        <v>26</v>
      </c>
      <c r="CG21" s="95" t="s">
        <v>62</v>
      </c>
      <c r="CK21" s="95" t="s">
        <v>415</v>
      </c>
      <c r="CL21" s="354">
        <f>E33</f>
        <v>5.1499999999999998E-10</v>
      </c>
      <c r="CM21" s="95" t="s">
        <v>23</v>
      </c>
      <c r="CN21" s="95" t="s">
        <v>50</v>
      </c>
      <c r="CO21" s="95">
        <f>CO23</f>
        <v>0.2</v>
      </c>
      <c r="CQ21" s="95" t="s">
        <v>346</v>
      </c>
      <c r="CR21" s="357">
        <v>1</v>
      </c>
      <c r="CS21" s="95" t="s">
        <v>59</v>
      </c>
      <c r="CT21" s="95" t="s">
        <v>326</v>
      </c>
      <c r="CU21" s="354">
        <f>EN3</f>
        <v>5.1311306999569985E-6</v>
      </c>
      <c r="CV21" s="95" t="s">
        <v>23</v>
      </c>
      <c r="CW21" s="95" t="s">
        <v>139</v>
      </c>
      <c r="CX21" s="354">
        <f>(CX5)/((CX14/CX15)*CX8*CX9*CX18*(1/365)*CX19)</f>
        <v>3.3127609366491195</v>
      </c>
      <c r="CY21" s="95" t="s">
        <v>37</v>
      </c>
      <c r="CZ21" s="95" t="s">
        <v>418</v>
      </c>
      <c r="DA21" s="354">
        <f>DV3</f>
        <v>2.6865686381830319E-3</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459</v>
      </c>
      <c r="HF21" s="94" t="s">
        <v>159</v>
      </c>
    </row>
    <row r="22" spans="1:214" s="95" customFormat="1" ht="13.5" thickTop="1" x14ac:dyDescent="0.2">
      <c r="A22" s="95" t="s">
        <v>203</v>
      </c>
      <c r="B22" s="353">
        <v>50</v>
      </c>
      <c r="C22" s="95" t="s">
        <v>48</v>
      </c>
      <c r="D22" s="363" t="s">
        <v>134</v>
      </c>
      <c r="E22" s="364">
        <f>(E5*E9*E6)/((E14/E15)*(1-EXP(-E6*E9))*E10*E11)</f>
        <v>5.3846711980989643E-4</v>
      </c>
      <c r="F22" s="365" t="s">
        <v>38</v>
      </c>
      <c r="G22" s="95" t="s">
        <v>403</v>
      </c>
      <c r="H22" s="360">
        <f>(H29*H32*H23)+(H30*H33*H24)</f>
        <v>424480</v>
      </c>
      <c r="I22" s="95" t="s">
        <v>230</v>
      </c>
      <c r="J22" s="95" t="s">
        <v>140</v>
      </c>
      <c r="K22" s="95">
        <f>B37</f>
        <v>100</v>
      </c>
      <c r="L22" s="95" t="s">
        <v>96</v>
      </c>
      <c r="M22" s="95" t="s">
        <v>46</v>
      </c>
      <c r="N22" s="354">
        <v>9.9999999999999995E-7</v>
      </c>
      <c r="P22" s="95" t="s">
        <v>46</v>
      </c>
      <c r="Q22" s="354">
        <v>9.9999999999999995E-7</v>
      </c>
      <c r="V22" s="25" t="s">
        <v>1</v>
      </c>
      <c r="W22" s="26" t="s">
        <v>5</v>
      </c>
      <c r="X22" s="26" t="s">
        <v>459</v>
      </c>
      <c r="Y22" s="27" t="s">
        <v>1</v>
      </c>
      <c r="Z22" s="26" t="s">
        <v>239</v>
      </c>
      <c r="AA22" s="28" t="s">
        <v>459</v>
      </c>
      <c r="AB22" s="95" t="s">
        <v>113</v>
      </c>
      <c r="AC22" s="95">
        <v>1</v>
      </c>
      <c r="AD22" s="95">
        <v>1</v>
      </c>
      <c r="AE22" s="95">
        <v>1</v>
      </c>
      <c r="AF22" s="95">
        <v>1</v>
      </c>
      <c r="AG22" s="95">
        <v>1</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570.81419216107895</v>
      </c>
      <c r="BU22" s="95" t="s">
        <v>37</v>
      </c>
      <c r="BV22" s="95" t="s">
        <v>438</v>
      </c>
      <c r="BW22" s="95">
        <f>BW20-BW21</f>
        <v>20</v>
      </c>
      <c r="BY22" s="95" t="s">
        <v>238</v>
      </c>
      <c r="BZ22" s="95">
        <v>75</v>
      </c>
      <c r="CA22" s="95" t="s">
        <v>55</v>
      </c>
      <c r="CB22" s="95" t="s">
        <v>52</v>
      </c>
      <c r="CC22" s="354">
        <f>0.693/CC23</f>
        <v>4.3312499999999997E-4</v>
      </c>
      <c r="CE22" s="95" t="s">
        <v>52</v>
      </c>
      <c r="CF22" s="354">
        <f>0.693/CF23</f>
        <v>4.3312499999999997E-4</v>
      </c>
      <c r="CK22" s="95" t="s">
        <v>238</v>
      </c>
      <c r="CL22" s="95">
        <v>75</v>
      </c>
      <c r="CM22" s="95" t="s">
        <v>268</v>
      </c>
      <c r="CN22" s="95" t="s">
        <v>57</v>
      </c>
      <c r="CO22" s="95">
        <f>CO24</f>
        <v>0.25</v>
      </c>
      <c r="CR22" s="95">
        <v>1000</v>
      </c>
      <c r="CS22" s="95" t="s">
        <v>230</v>
      </c>
      <c r="CT22" s="95" t="s">
        <v>418</v>
      </c>
      <c r="CU22" s="354">
        <f>DY3</f>
        <v>3.0837718616698557E-2</v>
      </c>
      <c r="CV22" s="95" t="s">
        <v>23</v>
      </c>
      <c r="CW22" s="95" t="s">
        <v>134</v>
      </c>
      <c r="CX22" s="354">
        <f>(CX5*CX9*CX6)/((CX14/CX15)*(1-EXP(-CX6*CX9))*CX10*CX11)</f>
        <v>3.3573675703755217E-4</v>
      </c>
      <c r="CY22" s="95" t="s">
        <v>38</v>
      </c>
      <c r="CZ22" s="95" t="s">
        <v>324</v>
      </c>
      <c r="DA22" s="354" t="e">
        <f>GD3</f>
        <v>#DIV/0!</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458</v>
      </c>
      <c r="B23" s="353">
        <v>1E-3</v>
      </c>
      <c r="D23" s="368" t="s">
        <v>139</v>
      </c>
      <c r="E23" s="369">
        <f>(E5*E9*E6)/((E14/E15)*E8*E9*(1-EXP(-E6*E9))*E18*(1/365)*E19)</f>
        <v>5.1253059389431472</v>
      </c>
      <c r="F23" s="370" t="s">
        <v>38</v>
      </c>
      <c r="G23" s="95" t="s">
        <v>404</v>
      </c>
      <c r="H23" s="354">
        <f>B40</f>
        <v>14.8</v>
      </c>
      <c r="I23" s="95" t="s">
        <v>413</v>
      </c>
      <c r="J23" s="95" t="s">
        <v>240</v>
      </c>
      <c r="K23" s="95">
        <f>B33</f>
        <v>10</v>
      </c>
      <c r="L23" s="95" t="s">
        <v>83</v>
      </c>
      <c r="M23" s="95" t="s">
        <v>61</v>
      </c>
      <c r="N23" s="95">
        <v>26</v>
      </c>
      <c r="O23" s="95" t="s">
        <v>62</v>
      </c>
      <c r="P23" s="95" t="s">
        <v>61</v>
      </c>
      <c r="Q23" s="95">
        <v>26</v>
      </c>
      <c r="R23" s="95" t="s">
        <v>62</v>
      </c>
      <c r="V23" s="108" t="s">
        <v>19</v>
      </c>
      <c r="W23" s="109" t="s">
        <v>17</v>
      </c>
      <c r="X23" s="109" t="s">
        <v>20</v>
      </c>
      <c r="Y23" s="110" t="s">
        <v>19</v>
      </c>
      <c r="Z23" s="109" t="s">
        <v>17</v>
      </c>
      <c r="AA23" s="111" t="s">
        <v>20</v>
      </c>
      <c r="AB23" s="95" t="s">
        <v>131</v>
      </c>
      <c r="AC23" s="354">
        <f>B9</f>
        <v>8.49E-6</v>
      </c>
      <c r="AD23" s="354">
        <f>B9</f>
        <v>8.49E-6</v>
      </c>
      <c r="AE23" s="354">
        <f>B9</f>
        <v>8.49E-6</v>
      </c>
      <c r="AF23" s="354">
        <f>B9</f>
        <v>8.49E-6</v>
      </c>
      <c r="AG23" s="354">
        <f>B9</f>
        <v>8.49E-6</v>
      </c>
      <c r="AH23" s="95" t="s">
        <v>163</v>
      </c>
      <c r="AI23" s="95" t="s">
        <v>61</v>
      </c>
      <c r="AJ23" s="95">
        <v>25</v>
      </c>
      <c r="AK23" s="95" t="s">
        <v>62</v>
      </c>
      <c r="AL23" s="95" t="s">
        <v>61</v>
      </c>
      <c r="AM23" s="95">
        <v>25</v>
      </c>
      <c r="AN23" s="95" t="s">
        <v>62</v>
      </c>
      <c r="AR23" s="95" t="s">
        <v>61</v>
      </c>
      <c r="AS23" s="95">
        <v>25</v>
      </c>
      <c r="AT23" s="95" t="s">
        <v>62</v>
      </c>
      <c r="AU23" s="95" t="s">
        <v>61</v>
      </c>
      <c r="AV23" s="95">
        <v>25</v>
      </c>
      <c r="AW23" s="95" t="s">
        <v>62</v>
      </c>
      <c r="BA23" s="95" t="s">
        <v>61</v>
      </c>
      <c r="BB23" s="95">
        <v>25</v>
      </c>
      <c r="BC23" s="95" t="s">
        <v>62</v>
      </c>
      <c r="BD23" s="95" t="s">
        <v>61</v>
      </c>
      <c r="BE23" s="95">
        <v>25</v>
      </c>
      <c r="BF23" s="95" t="s">
        <v>62</v>
      </c>
      <c r="BJ23" s="95" t="s">
        <v>61</v>
      </c>
      <c r="BK23" s="95">
        <v>1</v>
      </c>
      <c r="BL23" s="95" t="s">
        <v>62</v>
      </c>
      <c r="BM23" s="95" t="s">
        <v>61</v>
      </c>
      <c r="BN23" s="95">
        <v>1</v>
      </c>
      <c r="BO23" s="95" t="s">
        <v>62</v>
      </c>
      <c r="BS23" s="95" t="s">
        <v>134</v>
      </c>
      <c r="BT23" s="354">
        <f>(BT5*BT28*BT6)/((1-EXP(-BT6*BT28))*BT10*BT11)</f>
        <v>6.0308317418708408E-2</v>
      </c>
      <c r="BU23" s="95" t="s">
        <v>38</v>
      </c>
      <c r="BV23" s="95" t="s">
        <v>436</v>
      </c>
      <c r="BW23" s="95">
        <v>1</v>
      </c>
      <c r="BX23" s="95" t="s">
        <v>180</v>
      </c>
      <c r="BY23" s="95" t="s">
        <v>78</v>
      </c>
      <c r="BZ23" s="95">
        <v>75</v>
      </c>
      <c r="CA23" s="95" t="s">
        <v>55</v>
      </c>
      <c r="CB23" s="95" t="s">
        <v>448</v>
      </c>
      <c r="CC23" s="354">
        <f>B17</f>
        <v>1600</v>
      </c>
      <c r="CD23" s="95" t="s">
        <v>129</v>
      </c>
      <c r="CE23" s="95" t="s">
        <v>448</v>
      </c>
      <c r="CF23" s="354">
        <f>B17</f>
        <v>1600</v>
      </c>
      <c r="CG23" s="95" t="s">
        <v>129</v>
      </c>
      <c r="CK23" s="95" t="s">
        <v>107</v>
      </c>
      <c r="CL23" s="95">
        <v>26</v>
      </c>
      <c r="CM23" s="95" t="s">
        <v>276</v>
      </c>
      <c r="CN23" s="95" t="s">
        <v>67</v>
      </c>
      <c r="CO23" s="354">
        <f>B31</f>
        <v>0.2</v>
      </c>
      <c r="CT23" s="95" t="s">
        <v>324</v>
      </c>
      <c r="CU23" s="354" t="e">
        <f>GG3</f>
        <v>#DIV/0!</v>
      </c>
      <c r="CV23" s="95" t="s">
        <v>23</v>
      </c>
      <c r="CW23" s="95" t="s">
        <v>139</v>
      </c>
      <c r="CX23" s="354">
        <f>(CX5*CX9*CX6)/((CX14/CX15)*CX8*CX9*(1-EXP(-CX6*CX9))*CX18*(1/365)*CX19)</f>
        <v>3.3415405898341071</v>
      </c>
      <c r="CY23" s="95" t="s">
        <v>38</v>
      </c>
      <c r="CZ23" s="95" t="s">
        <v>325</v>
      </c>
      <c r="DA23" s="354">
        <f>FO3</f>
        <v>2.538186670764853E-2</v>
      </c>
      <c r="DF23" s="95" t="s">
        <v>46</v>
      </c>
      <c r="DG23" s="354">
        <f>B21</f>
        <v>584000</v>
      </c>
      <c r="DH23" s="95" t="s">
        <v>416</v>
      </c>
      <c r="DO23" s="95" t="s">
        <v>49</v>
      </c>
      <c r="DP23" s="95">
        <f>DP25</f>
        <v>0.04</v>
      </c>
      <c r="ED23" s="95" t="s">
        <v>49</v>
      </c>
      <c r="EE23" s="95">
        <f>EE25</f>
        <v>0.2</v>
      </c>
      <c r="ES23" s="95" t="s">
        <v>49</v>
      </c>
      <c r="ET23" s="95">
        <f>ET25</f>
        <v>0.2</v>
      </c>
      <c r="FH23" s="95" t="s">
        <v>49</v>
      </c>
      <c r="FI23" s="95">
        <v>0.2</v>
      </c>
      <c r="FW23" s="95" t="s">
        <v>49</v>
      </c>
      <c r="FX23" s="95">
        <f>FX25</f>
        <v>0.2</v>
      </c>
      <c r="GL23" s="95" t="s">
        <v>49</v>
      </c>
      <c r="GM23" s="95">
        <f>GM25</f>
        <v>0.2</v>
      </c>
      <c r="HA23" s="95" t="s">
        <v>49</v>
      </c>
      <c r="HB23" s="95">
        <f>HB25</f>
        <v>0.2</v>
      </c>
      <c r="HD23" s="247">
        <f>(HE25*HE33*HE38*HE32*10^-3*HE31*HE27)/(HE30*HE41*(1-EXP(-HE27*HE31)))</f>
        <v>0.42220145465862913</v>
      </c>
      <c r="HE23" s="248"/>
      <c r="HF23" s="180" t="s">
        <v>40</v>
      </c>
    </row>
    <row r="24" spans="1:214" s="95" customFormat="1" ht="13.5" thickBot="1" x14ac:dyDescent="0.25">
      <c r="A24" s="95" t="s">
        <v>455</v>
      </c>
      <c r="B24" s="353">
        <v>1E-3</v>
      </c>
      <c r="D24" s="95" t="s">
        <v>244</v>
      </c>
      <c r="E24" s="95">
        <v>350</v>
      </c>
      <c r="F24" s="95" t="s">
        <v>55</v>
      </c>
      <c r="G24" s="95" t="s">
        <v>405</v>
      </c>
      <c r="H24" s="354">
        <f>B41</f>
        <v>56.2</v>
      </c>
      <c r="I24" s="95" t="s">
        <v>413</v>
      </c>
      <c r="J24" s="95" t="s">
        <v>241</v>
      </c>
      <c r="K24" s="95">
        <f>B34</f>
        <v>20</v>
      </c>
      <c r="L24" s="95" t="s">
        <v>83</v>
      </c>
      <c r="M24" s="95" t="s">
        <v>52</v>
      </c>
      <c r="N24" s="354">
        <f>0.693/N25</f>
        <v>4.3312499999999997E-4</v>
      </c>
      <c r="P24" s="95" t="s">
        <v>52</v>
      </c>
      <c r="Q24" s="354">
        <f>0.693/Q25</f>
        <v>4.3312499999999997E-4</v>
      </c>
      <c r="V24" s="108" t="s">
        <v>38</v>
      </c>
      <c r="W24" s="186">
        <f>1/((1/W39)+(1/W40))</f>
        <v>6.9337426671478857E-4</v>
      </c>
      <c r="X24" s="187"/>
      <c r="Y24" s="188" t="s">
        <v>38</v>
      </c>
      <c r="Z24" s="186">
        <f>1/((1/Z37)+(1/Z38))</f>
        <v>1.7244579189831494E-2</v>
      </c>
      <c r="AA24" s="189"/>
      <c r="AB24" s="95" t="s">
        <v>75</v>
      </c>
      <c r="AC24" s="354">
        <f>B5</f>
        <v>1.16E-8</v>
      </c>
      <c r="AD24" s="354">
        <f>B5</f>
        <v>1.16E-8</v>
      </c>
      <c r="AE24" s="354">
        <f>B5</f>
        <v>1.16E-8</v>
      </c>
      <c r="AF24" s="354">
        <f>B5</f>
        <v>1.16E-8</v>
      </c>
      <c r="AG24" s="354">
        <f>B5</f>
        <v>1.16E-8</v>
      </c>
      <c r="AH24" s="95" t="s">
        <v>64</v>
      </c>
      <c r="AI24" s="95" t="s">
        <v>52</v>
      </c>
      <c r="AJ24" s="354">
        <f>0.693/AJ25</f>
        <v>4.3312499999999997E-4</v>
      </c>
      <c r="AL24" s="95" t="s">
        <v>52</v>
      </c>
      <c r="AM24" s="354">
        <f>0.693/AM25</f>
        <v>4.3312499999999997E-4</v>
      </c>
      <c r="AR24" s="95" t="s">
        <v>52</v>
      </c>
      <c r="AS24" s="354">
        <f>0.693/AS25</f>
        <v>4.3312499999999997E-4</v>
      </c>
      <c r="AU24" s="95" t="s">
        <v>52</v>
      </c>
      <c r="AV24" s="354">
        <f>0.693/AV25</f>
        <v>4.3312499999999997E-4</v>
      </c>
      <c r="BA24" s="95" t="s">
        <v>52</v>
      </c>
      <c r="BB24" s="354">
        <f>0.693/BB25</f>
        <v>4.3312499999999997E-4</v>
      </c>
      <c r="BD24" s="95" t="s">
        <v>52</v>
      </c>
      <c r="BE24" s="354">
        <f>0.693/BE25</f>
        <v>4.3312499999999997E-4</v>
      </c>
      <c r="BJ24" s="95" t="s">
        <v>52</v>
      </c>
      <c r="BK24" s="354">
        <f>0.693/BK25</f>
        <v>4.3312499999999997E-4</v>
      </c>
      <c r="BM24" s="95" t="s">
        <v>52</v>
      </c>
      <c r="BN24" s="354">
        <f>0.693/BN25</f>
        <v>4.3312499999999997E-4</v>
      </c>
      <c r="BS24" s="95" t="s">
        <v>139</v>
      </c>
      <c r="BT24" s="354">
        <f>(BT5*BT9*BT6)/((BT14/24)*BT8*BT9*(1-EXP(-BT6*BT9))*BT19*(1/365)*BT20)</f>
        <v>574.03426516163245</v>
      </c>
      <c r="BU24" s="95" t="s">
        <v>38</v>
      </c>
      <c r="BV24" s="95" t="s">
        <v>435</v>
      </c>
      <c r="BW24" s="95">
        <v>1</v>
      </c>
      <c r="BX24" s="95" t="s">
        <v>180</v>
      </c>
      <c r="BY24" s="95" t="s">
        <v>70</v>
      </c>
      <c r="BZ24" s="95">
        <v>75</v>
      </c>
      <c r="CA24" s="95" t="s">
        <v>55</v>
      </c>
      <c r="CB24" s="95" t="s">
        <v>54</v>
      </c>
      <c r="CC24" s="95">
        <v>75</v>
      </c>
      <c r="CD24" s="95" t="s">
        <v>63</v>
      </c>
      <c r="CE24" s="95" t="s">
        <v>54</v>
      </c>
      <c r="CF24" s="95">
        <v>75</v>
      </c>
      <c r="CG24" s="95" t="s">
        <v>63</v>
      </c>
      <c r="CK24" s="95" t="s">
        <v>334</v>
      </c>
      <c r="CL24" s="357">
        <v>1</v>
      </c>
      <c r="CM24" s="95" t="s">
        <v>413</v>
      </c>
      <c r="CN24" s="95" t="s">
        <v>341</v>
      </c>
      <c r="CO24" s="357">
        <v>0.25</v>
      </c>
      <c r="CT24" s="95" t="s">
        <v>325</v>
      </c>
      <c r="CU24" s="354">
        <f>FR3</f>
        <v>2.0813130700271792E-4</v>
      </c>
      <c r="CV24" s="95" t="s">
        <v>23</v>
      </c>
      <c r="CW24" s="95" t="s">
        <v>244</v>
      </c>
      <c r="CX24" s="95">
        <v>350</v>
      </c>
      <c r="CY24" s="95" t="s">
        <v>55</v>
      </c>
      <c r="CZ24" s="95" t="s">
        <v>86</v>
      </c>
      <c r="DA24" s="360">
        <f>(DA35*DA37*DA27)+(DA36*DA38*DA28)</f>
        <v>31388</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2.9867858975351697E-5</v>
      </c>
      <c r="HE24" s="351"/>
      <c r="HF24" s="352" t="s">
        <v>45</v>
      </c>
    </row>
    <row r="25" spans="1:214" s="95" customFormat="1" ht="14.25" thickTop="1" thickBot="1" x14ac:dyDescent="0.25">
      <c r="A25" s="95" t="s">
        <v>456</v>
      </c>
      <c r="B25" s="353">
        <v>0</v>
      </c>
      <c r="D25" s="95" t="s">
        <v>245</v>
      </c>
      <c r="E25" s="95">
        <v>350</v>
      </c>
      <c r="F25" s="95" t="s">
        <v>55</v>
      </c>
      <c r="G25" s="95" t="s">
        <v>402</v>
      </c>
      <c r="H25" s="360">
        <f>(H29*H32*H26)+(H30*H33*H27)</f>
        <v>221340</v>
      </c>
      <c r="I25" s="95" t="s">
        <v>230</v>
      </c>
      <c r="J25" s="95" t="s">
        <v>403</v>
      </c>
      <c r="K25" s="360">
        <f>(K31*K35*K26)+(K32*K34*K27)</f>
        <v>424480</v>
      </c>
      <c r="L25" s="95" t="s">
        <v>230</v>
      </c>
      <c r="M25" s="95" t="s">
        <v>448</v>
      </c>
      <c r="N25" s="354">
        <f>B17</f>
        <v>1600</v>
      </c>
      <c r="O25" s="95" t="s">
        <v>129</v>
      </c>
      <c r="P25" s="95" t="s">
        <v>448</v>
      </c>
      <c r="Q25" s="354">
        <f>B17</f>
        <v>1600</v>
      </c>
      <c r="R25" s="95" t="s">
        <v>129</v>
      </c>
      <c r="V25" s="263" t="s">
        <v>37</v>
      </c>
      <c r="W25" s="264">
        <f>1/((1/W37)+(1/W38))</f>
        <v>6.8963380799059656E-4</v>
      </c>
      <c r="X25" s="265"/>
      <c r="Y25" s="266" t="s">
        <v>37</v>
      </c>
      <c r="Z25" s="398">
        <f>1/((1/Z39)+(1/Z40))</f>
        <v>1.7240845199764911E-2</v>
      </c>
      <c r="AA25" s="267"/>
      <c r="AC25" s="354"/>
      <c r="AD25" s="354"/>
      <c r="AE25" s="354"/>
      <c r="AI25" s="95" t="s">
        <v>448</v>
      </c>
      <c r="AJ25" s="354">
        <f>B17</f>
        <v>1600</v>
      </c>
      <c r="AK25" s="95" t="s">
        <v>129</v>
      </c>
      <c r="AL25" s="95" t="s">
        <v>448</v>
      </c>
      <c r="AM25" s="354">
        <f>B17</f>
        <v>1600</v>
      </c>
      <c r="AN25" s="95" t="s">
        <v>129</v>
      </c>
      <c r="AR25" s="95" t="s">
        <v>448</v>
      </c>
      <c r="AS25" s="354">
        <f>B17</f>
        <v>1600</v>
      </c>
      <c r="AT25" s="95" t="s">
        <v>129</v>
      </c>
      <c r="AU25" s="95" t="s">
        <v>448</v>
      </c>
      <c r="AV25" s="354">
        <f>B17</f>
        <v>1600</v>
      </c>
      <c r="AW25" s="95" t="s">
        <v>129</v>
      </c>
      <c r="BA25" s="95" t="s">
        <v>448</v>
      </c>
      <c r="BB25" s="354">
        <f>B17</f>
        <v>1600</v>
      </c>
      <c r="BC25" s="95" t="s">
        <v>129</v>
      </c>
      <c r="BD25" s="95" t="s">
        <v>448</v>
      </c>
      <c r="BE25" s="354">
        <f>B17</f>
        <v>1600</v>
      </c>
      <c r="BF25" s="95" t="s">
        <v>129</v>
      </c>
      <c r="BJ25" s="95" t="s">
        <v>448</v>
      </c>
      <c r="BK25" s="354">
        <f>B17</f>
        <v>1600</v>
      </c>
      <c r="BL25" s="95" t="s">
        <v>129</v>
      </c>
      <c r="BM25" s="95" t="s">
        <v>448</v>
      </c>
      <c r="BN25" s="354">
        <f>B17</f>
        <v>1600</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1</v>
      </c>
      <c r="CP25" s="95" t="s">
        <v>479</v>
      </c>
      <c r="CT25" s="95" t="s">
        <v>87</v>
      </c>
      <c r="CU25" s="399">
        <f>(CU27*CU31*CU35+CU28*CU32*CU34)</f>
        <v>1610000</v>
      </c>
      <c r="CV25" s="95" t="s">
        <v>443</v>
      </c>
      <c r="CW25" s="95" t="s">
        <v>245</v>
      </c>
      <c r="CX25" s="95">
        <v>350</v>
      </c>
      <c r="CY25" s="95" t="s">
        <v>55</v>
      </c>
      <c r="CZ25" s="95" t="s">
        <v>82</v>
      </c>
      <c r="DA25" s="360">
        <f>(DA35*DA37*DA29*(DA40/24))+(DA36*DA38*DA30*(DA41/24))</f>
        <v>259000</v>
      </c>
      <c r="DB25" s="95" t="s">
        <v>444</v>
      </c>
      <c r="DO25" s="95" t="s">
        <v>66</v>
      </c>
      <c r="DP25" s="354">
        <f>B30</f>
        <v>0.04</v>
      </c>
      <c r="ED25" s="95" t="s">
        <v>67</v>
      </c>
      <c r="EE25" s="354">
        <f>B31</f>
        <v>0.2</v>
      </c>
      <c r="ES25" s="95" t="s">
        <v>67</v>
      </c>
      <c r="ET25" s="354">
        <f>B31</f>
        <v>0.2</v>
      </c>
      <c r="FH25" s="95" t="s">
        <v>67</v>
      </c>
      <c r="FI25" s="354">
        <f>B31</f>
        <v>0.2</v>
      </c>
      <c r="FW25" s="95" t="s">
        <v>67</v>
      </c>
      <c r="FX25" s="354">
        <f>B31</f>
        <v>0.2</v>
      </c>
      <c r="GL25" s="95" t="s">
        <v>67</v>
      </c>
      <c r="GM25" s="354">
        <f>B31</f>
        <v>0.2</v>
      </c>
      <c r="HA25" s="95" t="s">
        <v>67</v>
      </c>
      <c r="HB25" s="354">
        <f>B31</f>
        <v>0.2</v>
      </c>
      <c r="HD25" s="355" t="s">
        <v>51</v>
      </c>
      <c r="HE25" s="354">
        <v>15</v>
      </c>
      <c r="HF25" s="95" t="s">
        <v>25</v>
      </c>
    </row>
    <row r="26" spans="1:214" s="95" customFormat="1" ht="14.25" thickTop="1" thickBot="1" x14ac:dyDescent="0.25">
      <c r="A26" s="95" t="s">
        <v>349</v>
      </c>
      <c r="B26" s="353">
        <v>0</v>
      </c>
      <c r="G26" s="95" t="s">
        <v>400</v>
      </c>
      <c r="H26" s="354">
        <f>B42</f>
        <v>10.4</v>
      </c>
      <c r="I26" s="95" t="s">
        <v>413</v>
      </c>
      <c r="J26" s="95" t="s">
        <v>404</v>
      </c>
      <c r="K26" s="354">
        <f>B40</f>
        <v>14.8</v>
      </c>
      <c r="L26" s="95" t="s">
        <v>413</v>
      </c>
      <c r="M26" s="95" t="s">
        <v>54</v>
      </c>
      <c r="N26" s="95">
        <v>350</v>
      </c>
      <c r="O26" s="95" t="s">
        <v>63</v>
      </c>
      <c r="P26" s="95" t="s">
        <v>54</v>
      </c>
      <c r="Q26" s="95">
        <v>350</v>
      </c>
      <c r="R26" s="95" t="s">
        <v>63</v>
      </c>
      <c r="V26" s="95" t="s">
        <v>46</v>
      </c>
      <c r="W26" s="354">
        <v>9.9999999999999995E-7</v>
      </c>
      <c r="Y26" s="95" t="s">
        <v>46</v>
      </c>
      <c r="Z26" s="354">
        <v>9.9999999999999995E-7</v>
      </c>
      <c r="AC26" s="354"/>
      <c r="AD26" s="354"/>
      <c r="AE26" s="354"/>
      <c r="AI26" s="95" t="s">
        <v>54</v>
      </c>
      <c r="AJ26" s="95">
        <v>250</v>
      </c>
      <c r="AK26" s="95" t="s">
        <v>63</v>
      </c>
      <c r="AL26" s="95" t="s">
        <v>54</v>
      </c>
      <c r="AM26" s="95">
        <v>250</v>
      </c>
      <c r="AN26" s="95" t="s">
        <v>63</v>
      </c>
      <c r="AR26" s="95" t="s">
        <v>54</v>
      </c>
      <c r="AS26" s="95">
        <v>225</v>
      </c>
      <c r="AT26" s="95" t="s">
        <v>63</v>
      </c>
      <c r="AU26" s="95" t="s">
        <v>54</v>
      </c>
      <c r="AV26" s="95">
        <v>225</v>
      </c>
      <c r="AW26" s="95" t="s">
        <v>63</v>
      </c>
      <c r="BA26" s="95" t="s">
        <v>54</v>
      </c>
      <c r="BB26" s="95">
        <v>250</v>
      </c>
      <c r="BC26" s="95" t="s">
        <v>63</v>
      </c>
      <c r="BD26" s="95" t="s">
        <v>54</v>
      </c>
      <c r="BE26" s="95">
        <v>250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95">
        <v>3.44E-2</v>
      </c>
      <c r="CE26" s="95" t="s">
        <v>102</v>
      </c>
      <c r="CF26" s="95">
        <v>6.8599999999999994E-2</v>
      </c>
      <c r="CN26" s="95" t="s">
        <v>342</v>
      </c>
      <c r="CO26" s="357">
        <v>1</v>
      </c>
      <c r="CP26" s="95" t="s">
        <v>479</v>
      </c>
      <c r="CT26" s="95" t="s">
        <v>82</v>
      </c>
      <c r="CU26" s="399">
        <f>((CU35*CU31*CU29*CU36/24))+(CU34*CU32*CU30*(CU37/24))</f>
        <v>259000</v>
      </c>
      <c r="CV26" s="95" t="s">
        <v>444</v>
      </c>
      <c r="CZ26" s="95" t="s">
        <v>263</v>
      </c>
      <c r="DA26" s="360">
        <f>(DA35*DA37*DA42*DA44)+(DA36*DA38*DA43*DA45)</f>
        <v>9583</v>
      </c>
      <c r="DB26" s="95" t="s">
        <v>445</v>
      </c>
      <c r="DF26" s="95" t="s">
        <v>67</v>
      </c>
      <c r="DG26" s="354">
        <f>B31</f>
        <v>0.2</v>
      </c>
      <c r="DO26" s="95" t="s">
        <v>73</v>
      </c>
      <c r="DP26" s="95">
        <v>0.26</v>
      </c>
      <c r="ED26" s="95" t="s">
        <v>73</v>
      </c>
      <c r="EE26" s="95">
        <v>0.25</v>
      </c>
      <c r="EJ26" s="95" t="s">
        <v>67</v>
      </c>
      <c r="EK26" s="354">
        <f>B31</f>
        <v>0.2</v>
      </c>
      <c r="ES26" s="95" t="s">
        <v>73</v>
      </c>
      <c r="ET26" s="95">
        <v>0.25</v>
      </c>
      <c r="FH26" s="95" t="s">
        <v>316</v>
      </c>
      <c r="FI26" s="95">
        <v>0.25</v>
      </c>
      <c r="FW26" s="95" t="s">
        <v>311</v>
      </c>
      <c r="FX26" s="95">
        <v>0.25</v>
      </c>
      <c r="GL26" s="95" t="s">
        <v>305</v>
      </c>
      <c r="GM26" s="95">
        <v>0.25</v>
      </c>
      <c r="HA26" s="95" t="s">
        <v>310</v>
      </c>
      <c r="HB26" s="95">
        <v>0.25</v>
      </c>
      <c r="HD26" s="95" t="s">
        <v>17</v>
      </c>
      <c r="HE26" s="354">
        <f>H3</f>
        <v>1.0611471838544945E-3</v>
      </c>
      <c r="HF26" s="95" t="s">
        <v>25</v>
      </c>
    </row>
    <row r="27" spans="1:214" s="95" customFormat="1" ht="12.75" customHeight="1" thickTop="1" x14ac:dyDescent="0.2">
      <c r="A27" s="95" t="s">
        <v>457</v>
      </c>
      <c r="B27" s="353">
        <v>0</v>
      </c>
      <c r="D27" s="401" t="s">
        <v>3</v>
      </c>
      <c r="E27" s="19"/>
      <c r="F27" s="20" t="s">
        <v>459</v>
      </c>
      <c r="G27" s="95" t="s">
        <v>401</v>
      </c>
      <c r="H27" s="354">
        <f>B43</f>
        <v>28.5</v>
      </c>
      <c r="I27" s="95" t="s">
        <v>413</v>
      </c>
      <c r="J27" s="95" t="s">
        <v>405</v>
      </c>
      <c r="K27" s="354">
        <f>B41</f>
        <v>56.2</v>
      </c>
      <c r="L27" s="95" t="s">
        <v>413</v>
      </c>
      <c r="M27" s="95" t="s">
        <v>68</v>
      </c>
      <c r="N27" s="95">
        <v>26</v>
      </c>
      <c r="O27" s="95" t="s">
        <v>62</v>
      </c>
      <c r="P27" s="95" t="s">
        <v>68</v>
      </c>
      <c r="Q27" s="95">
        <v>26</v>
      </c>
      <c r="R27" s="95" t="s">
        <v>62</v>
      </c>
      <c r="V27" s="95" t="s">
        <v>52</v>
      </c>
      <c r="W27" s="354">
        <f>0.693/W28</f>
        <v>4.3312499999999997E-4</v>
      </c>
      <c r="Y27" s="95" t="s">
        <v>52</v>
      </c>
      <c r="Z27" s="354">
        <f>0.693/Z28</f>
        <v>4.3312499999999997E-4</v>
      </c>
      <c r="AB27" s="95" t="s">
        <v>68</v>
      </c>
      <c r="AC27" s="95">
        <v>25</v>
      </c>
      <c r="AD27" s="95">
        <v>25</v>
      </c>
      <c r="AE27" s="95">
        <v>25</v>
      </c>
      <c r="AF27" s="95">
        <v>1</v>
      </c>
      <c r="AG27" s="95">
        <v>1</v>
      </c>
      <c r="AH27" s="95" t="s">
        <v>129</v>
      </c>
      <c r="AI27" s="95" t="s">
        <v>68</v>
      </c>
      <c r="AJ27" s="95">
        <v>25</v>
      </c>
      <c r="AK27" s="95" t="s">
        <v>62</v>
      </c>
      <c r="AL27" s="95" t="s">
        <v>68</v>
      </c>
      <c r="AM27" s="95">
        <v>25</v>
      </c>
      <c r="AN27" s="95" t="s">
        <v>62</v>
      </c>
      <c r="AR27" s="95" t="s">
        <v>68</v>
      </c>
      <c r="AS27" s="95">
        <v>25</v>
      </c>
      <c r="AT27" s="95" t="s">
        <v>62</v>
      </c>
      <c r="AU27" s="95" t="s">
        <v>68</v>
      </c>
      <c r="AV27" s="95">
        <v>25</v>
      </c>
      <c r="AW27" s="95" t="s">
        <v>62</v>
      </c>
      <c r="BA27" s="95" t="s">
        <v>68</v>
      </c>
      <c r="BB27" s="95">
        <v>25</v>
      </c>
      <c r="BC27" s="95" t="s">
        <v>62</v>
      </c>
      <c r="BD27" s="95" t="s">
        <v>68</v>
      </c>
      <c r="BE27" s="95">
        <v>25</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95">
        <v>0.45600000000000002</v>
      </c>
      <c r="CE27" s="95" t="s">
        <v>113</v>
      </c>
      <c r="CF27" s="95">
        <v>0.73699999999999999</v>
      </c>
      <c r="CN27" s="95" t="s">
        <v>343</v>
      </c>
      <c r="CO27" s="357">
        <v>1</v>
      </c>
      <c r="CP27" s="95" t="s">
        <v>80</v>
      </c>
      <c r="CT27" s="95" t="s">
        <v>117</v>
      </c>
      <c r="CU27" s="95">
        <f>B36</f>
        <v>200</v>
      </c>
      <c r="CV27" s="95" t="s">
        <v>96</v>
      </c>
      <c r="CZ27" s="95" t="s">
        <v>105</v>
      </c>
      <c r="DA27" s="95">
        <f>B38</f>
        <v>0.78</v>
      </c>
      <c r="DB27" s="95" t="s">
        <v>59</v>
      </c>
      <c r="EB27" s="354"/>
      <c r="ED27" s="95" t="s">
        <v>347</v>
      </c>
      <c r="EE27" s="354">
        <f>B23</f>
        <v>1E-3</v>
      </c>
      <c r="EQ27" s="354"/>
      <c r="ES27" s="95" t="s">
        <v>348</v>
      </c>
      <c r="ET27" s="354">
        <f>B24</f>
        <v>1E-3</v>
      </c>
      <c r="FH27" s="95" t="s">
        <v>349</v>
      </c>
      <c r="FI27" s="356">
        <f>B26</f>
        <v>0</v>
      </c>
      <c r="FW27" s="95" t="s">
        <v>350</v>
      </c>
      <c r="FX27" s="357">
        <v>1</v>
      </c>
      <c r="GL27" s="95" t="s">
        <v>351</v>
      </c>
      <c r="GM27" s="356">
        <f>B25</f>
        <v>0</v>
      </c>
      <c r="HA27" s="95" t="s">
        <v>352</v>
      </c>
      <c r="HB27" s="356">
        <f>B27</f>
        <v>0</v>
      </c>
      <c r="HD27" s="95" t="s">
        <v>52</v>
      </c>
      <c r="HE27" s="354">
        <f>0.693/HE28</f>
        <v>4.3312499999999997E-4</v>
      </c>
    </row>
    <row r="28" spans="1:214" s="95" customFormat="1" ht="14.25" x14ac:dyDescent="0.2">
      <c r="A28" s="95" t="s">
        <v>433</v>
      </c>
      <c r="B28" s="353">
        <f>B24</f>
        <v>1E-3</v>
      </c>
      <c r="D28" s="402" t="s">
        <v>166</v>
      </c>
      <c r="E28" s="101" t="s">
        <v>17</v>
      </c>
      <c r="F28" s="102" t="s">
        <v>23</v>
      </c>
      <c r="G28" s="95" t="s">
        <v>145</v>
      </c>
      <c r="H28" s="95">
        <v>0.5</v>
      </c>
      <c r="I28" s="95" t="s">
        <v>146</v>
      </c>
      <c r="J28" s="95" t="s">
        <v>402</v>
      </c>
      <c r="K28" s="360">
        <f>(K31*K35*K29)+(K32*K34*K30)</f>
        <v>221340</v>
      </c>
      <c r="L28" s="95" t="s">
        <v>230</v>
      </c>
      <c r="M28" s="95" t="s">
        <v>91</v>
      </c>
      <c r="N28" s="95">
        <v>0.4</v>
      </c>
      <c r="P28" s="95" t="s">
        <v>91</v>
      </c>
      <c r="Q28" s="95">
        <v>0.4</v>
      </c>
      <c r="V28" s="95" t="s">
        <v>448</v>
      </c>
      <c r="W28" s="354">
        <f>B17</f>
        <v>1600</v>
      </c>
      <c r="X28" s="95" t="s">
        <v>129</v>
      </c>
      <c r="Y28" s="95" t="s">
        <v>448</v>
      </c>
      <c r="Z28" s="354">
        <f>B17</f>
        <v>1600</v>
      </c>
      <c r="AA28" s="95" t="s">
        <v>129</v>
      </c>
      <c r="AB28" s="95" t="s">
        <v>171</v>
      </c>
      <c r="AC28" s="354">
        <f t="shared" ref="AC28:AF29" si="0">8/24</f>
        <v>0.33333333333333331</v>
      </c>
      <c r="AD28" s="354">
        <f t="shared" si="0"/>
        <v>0.33333333333333331</v>
      </c>
      <c r="AE28" s="354">
        <f t="shared" si="0"/>
        <v>0.33333333333333331</v>
      </c>
      <c r="AF28" s="354">
        <f t="shared" si="0"/>
        <v>0.33333333333333331</v>
      </c>
      <c r="AG28" s="354">
        <f>8/24</f>
        <v>0.33333333333333331</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1</v>
      </c>
      <c r="CA28" s="95" t="s">
        <v>85</v>
      </c>
      <c r="CB28" s="95" t="s">
        <v>182</v>
      </c>
      <c r="CC28" s="95">
        <v>1</v>
      </c>
      <c r="CD28" s="95" t="s">
        <v>127</v>
      </c>
      <c r="CE28" s="95" t="s">
        <v>182</v>
      </c>
      <c r="CF28" s="95">
        <v>1</v>
      </c>
      <c r="CG28" s="95" t="s">
        <v>127</v>
      </c>
      <c r="CN28" s="95" t="s">
        <v>344</v>
      </c>
      <c r="CO28" s="357">
        <v>1</v>
      </c>
      <c r="CP28" s="95" t="s">
        <v>80</v>
      </c>
      <c r="CT28" s="95" t="s">
        <v>140</v>
      </c>
      <c r="CU28" s="95">
        <f>B37</f>
        <v>100</v>
      </c>
      <c r="CV28" s="95" t="s">
        <v>96</v>
      </c>
      <c r="CZ28" s="95" t="s">
        <v>135</v>
      </c>
      <c r="DA28" s="95">
        <f>B39</f>
        <v>2.5</v>
      </c>
      <c r="DB28" s="95" t="s">
        <v>59</v>
      </c>
      <c r="FW28" s="95" t="s">
        <v>203</v>
      </c>
      <c r="FX28" s="354">
        <v>30</v>
      </c>
      <c r="HD28" s="95" t="s">
        <v>448</v>
      </c>
      <c r="HE28" s="354">
        <f>B17</f>
        <v>1600</v>
      </c>
      <c r="HF28" s="95" t="s">
        <v>129</v>
      </c>
    </row>
    <row r="29" spans="1:214" s="95" customFormat="1" ht="15" x14ac:dyDescent="0.2">
      <c r="A29" s="95" t="s">
        <v>432</v>
      </c>
      <c r="B29" s="353">
        <f>B25</f>
        <v>0</v>
      </c>
      <c r="D29" s="402" t="s">
        <v>166</v>
      </c>
      <c r="E29" s="403">
        <f>E36</f>
        <v>3.9514602621398736E-3</v>
      </c>
      <c r="F29" s="184"/>
      <c r="G29" s="95" t="s">
        <v>70</v>
      </c>
      <c r="H29" s="95">
        <v>350</v>
      </c>
      <c r="I29" s="95" t="s">
        <v>55</v>
      </c>
      <c r="J29" s="95" t="s">
        <v>400</v>
      </c>
      <c r="K29" s="354">
        <f>B42</f>
        <v>10.4</v>
      </c>
      <c r="L29" s="95" t="s">
        <v>413</v>
      </c>
      <c r="M29" s="95" t="s">
        <v>102</v>
      </c>
      <c r="N29" s="95">
        <v>1</v>
      </c>
      <c r="P29" s="95" t="s">
        <v>102</v>
      </c>
      <c r="Q29" s="95">
        <v>1</v>
      </c>
      <c r="V29" s="95" t="s">
        <v>54</v>
      </c>
      <c r="W29" s="95">
        <v>250</v>
      </c>
      <c r="X29" s="95" t="s">
        <v>63</v>
      </c>
      <c r="Y29" s="95" t="s">
        <v>54</v>
      </c>
      <c r="Z29" s="95">
        <f>Z41*Z42</f>
        <v>250</v>
      </c>
      <c r="AA29" s="95" t="s">
        <v>63</v>
      </c>
      <c r="AB29" s="95" t="s">
        <v>174</v>
      </c>
      <c r="AC29" s="354">
        <f t="shared" si="0"/>
        <v>0.33333333333333331</v>
      </c>
      <c r="AD29" s="354">
        <f t="shared" si="0"/>
        <v>0.33333333333333331</v>
      </c>
      <c r="AE29" s="354">
        <f t="shared" si="0"/>
        <v>0.33333333333333331</v>
      </c>
      <c r="AF29" s="354">
        <f t="shared" si="0"/>
        <v>0.33333333333333331</v>
      </c>
      <c r="AG29" s="354">
        <f>8/24</f>
        <v>0.33333333333333331</v>
      </c>
      <c r="AI29" s="95" t="s">
        <v>102</v>
      </c>
      <c r="AJ29" s="95">
        <v>1</v>
      </c>
      <c r="AL29" s="95" t="s">
        <v>102</v>
      </c>
      <c r="AM29" s="95">
        <v>1</v>
      </c>
      <c r="AR29" s="95" t="s">
        <v>102</v>
      </c>
      <c r="AS29" s="95">
        <v>1</v>
      </c>
      <c r="AU29" s="95" t="s">
        <v>91</v>
      </c>
      <c r="AV29" s="95">
        <v>1</v>
      </c>
      <c r="BA29" s="95" t="s">
        <v>102</v>
      </c>
      <c r="BB29" s="95">
        <v>1</v>
      </c>
      <c r="BD29" s="95" t="s">
        <v>102</v>
      </c>
      <c r="BE29" s="95">
        <v>1</v>
      </c>
      <c r="BJ29" s="95" t="s">
        <v>68</v>
      </c>
      <c r="BK29" s="95">
        <v>1</v>
      </c>
      <c r="BL29" s="95" t="s">
        <v>62</v>
      </c>
      <c r="BM29" s="95" t="s">
        <v>68</v>
      </c>
      <c r="BN29" s="95">
        <v>1</v>
      </c>
      <c r="BO29" s="95" t="s">
        <v>62</v>
      </c>
      <c r="BT29" s="404"/>
      <c r="BU29" s="355"/>
      <c r="BW29" s="95">
        <v>1000</v>
      </c>
      <c r="BX29" s="95" t="s">
        <v>173</v>
      </c>
      <c r="BY29" s="95" t="s">
        <v>259</v>
      </c>
      <c r="BZ29" s="95">
        <v>1</v>
      </c>
      <c r="CA29" s="95" t="s">
        <v>85</v>
      </c>
      <c r="CB29" s="95" t="s">
        <v>131</v>
      </c>
      <c r="CC29" s="354">
        <f>B10</f>
        <v>1.5400000000000001E-6</v>
      </c>
      <c r="CD29" s="95" t="s">
        <v>132</v>
      </c>
      <c r="CE29" s="95" t="s">
        <v>131</v>
      </c>
      <c r="CF29" s="354">
        <f>B12</f>
        <v>4.5299999999999998E-6</v>
      </c>
      <c r="CG29" s="95" t="s">
        <v>132</v>
      </c>
      <c r="CT29" s="95" t="s">
        <v>240</v>
      </c>
      <c r="CU29" s="95">
        <f>B33</f>
        <v>10</v>
      </c>
      <c r="CV29" s="95" t="s">
        <v>83</v>
      </c>
      <c r="CZ29" s="95" t="s">
        <v>240</v>
      </c>
      <c r="DA29" s="95">
        <f>B33</f>
        <v>10</v>
      </c>
      <c r="DB29" s="95" t="s">
        <v>264</v>
      </c>
      <c r="FW29" s="95" t="s">
        <v>322</v>
      </c>
      <c r="FX29" s="354">
        <v>8.1999999999999993</v>
      </c>
      <c r="HD29" s="95" t="s">
        <v>172</v>
      </c>
      <c r="HE29" s="95">
        <v>0.3</v>
      </c>
    </row>
    <row r="30" spans="1:214" s="95" customFormat="1" ht="15.75" thickBot="1" x14ac:dyDescent="0.25">
      <c r="A30" s="95" t="s">
        <v>66</v>
      </c>
      <c r="B30" s="353">
        <v>0.04</v>
      </c>
      <c r="D30" s="405"/>
      <c r="E30" s="256" t="s">
        <v>34</v>
      </c>
      <c r="F30" s="257"/>
      <c r="G30" s="95" t="s">
        <v>78</v>
      </c>
      <c r="H30" s="95">
        <v>350</v>
      </c>
      <c r="I30" s="95" t="s">
        <v>55</v>
      </c>
      <c r="J30" s="95" t="s">
        <v>401</v>
      </c>
      <c r="K30" s="354">
        <f>B43</f>
        <v>28.5</v>
      </c>
      <c r="L30" s="95" t="s">
        <v>413</v>
      </c>
      <c r="M30" s="95" t="s">
        <v>113</v>
      </c>
      <c r="N30" s="95">
        <v>1</v>
      </c>
      <c r="P30" s="95" t="s">
        <v>113</v>
      </c>
      <c r="Q30" s="95">
        <v>1</v>
      </c>
      <c r="V30" s="95" t="s">
        <v>68</v>
      </c>
      <c r="W30" s="95">
        <v>25</v>
      </c>
      <c r="X30" s="95" t="s">
        <v>62</v>
      </c>
      <c r="Y30" s="95" t="s">
        <v>68</v>
      </c>
      <c r="Z30" s="95">
        <v>1</v>
      </c>
      <c r="AA30" s="95" t="s">
        <v>62</v>
      </c>
      <c r="AB30" s="95" t="s">
        <v>177</v>
      </c>
      <c r="AC30" s="95">
        <v>0.4</v>
      </c>
      <c r="AD30" s="95">
        <v>0.4</v>
      </c>
      <c r="AE30" s="95">
        <v>0.4</v>
      </c>
      <c r="AF30" s="95">
        <v>0.4</v>
      </c>
      <c r="AG30" s="95">
        <v>0.4</v>
      </c>
      <c r="AI30" s="95" t="s">
        <v>113</v>
      </c>
      <c r="AJ30" s="95">
        <f>N30</f>
        <v>1</v>
      </c>
      <c r="AL30" s="95" t="s">
        <v>113</v>
      </c>
      <c r="AM30" s="95">
        <f>Q30</f>
        <v>1</v>
      </c>
      <c r="AR30" s="95" t="s">
        <v>113</v>
      </c>
      <c r="AS30" s="95">
        <f>AJ30</f>
        <v>1</v>
      </c>
      <c r="AU30" s="95" t="s">
        <v>113</v>
      </c>
      <c r="AV30" s="95">
        <f>AM30</f>
        <v>1</v>
      </c>
      <c r="BA30" s="95" t="s">
        <v>113</v>
      </c>
      <c r="BB30" s="95">
        <f>AS30</f>
        <v>1</v>
      </c>
      <c r="BD30" s="95" t="s">
        <v>113</v>
      </c>
      <c r="BE30" s="95">
        <f>AV30</f>
        <v>1</v>
      </c>
      <c r="BT30" s="354"/>
      <c r="BW30" s="95">
        <v>1000</v>
      </c>
      <c r="BX30" s="95" t="s">
        <v>408</v>
      </c>
      <c r="BY30" s="95" t="s">
        <v>260</v>
      </c>
      <c r="BZ30" s="95">
        <v>1</v>
      </c>
      <c r="CA30" s="95" t="s">
        <v>85</v>
      </c>
      <c r="CT30" s="95" t="s">
        <v>241</v>
      </c>
      <c r="CU30" s="95">
        <f>B34</f>
        <v>20</v>
      </c>
      <c r="CV30" s="95" t="s">
        <v>83</v>
      </c>
      <c r="CZ30" s="95" t="s">
        <v>241</v>
      </c>
      <c r="DA30" s="95">
        <f>B34</f>
        <v>20</v>
      </c>
      <c r="DB30" s="95" t="s">
        <v>264</v>
      </c>
      <c r="FX30" s="95">
        <v>1000</v>
      </c>
      <c r="FY30" s="95" t="s">
        <v>230</v>
      </c>
      <c r="HD30" s="95" t="s">
        <v>175</v>
      </c>
      <c r="HE30" s="354">
        <v>1.5</v>
      </c>
    </row>
    <row r="31" spans="1:214" s="95" customFormat="1" ht="13.5" thickTop="1" x14ac:dyDescent="0.2">
      <c r="A31" s="95" t="s">
        <v>67</v>
      </c>
      <c r="B31" s="353">
        <v>0.2</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B5</f>
        <v>1.16E-8</v>
      </c>
      <c r="X31" s="95" t="s">
        <v>76</v>
      </c>
      <c r="Y31" s="95" t="s">
        <v>75</v>
      </c>
      <c r="Z31" s="354">
        <f>B5</f>
        <v>1.16E-8</v>
      </c>
      <c r="AA31" s="95" t="s">
        <v>76</v>
      </c>
      <c r="AB31" s="95" t="s">
        <v>160</v>
      </c>
      <c r="AC31" s="95">
        <v>25</v>
      </c>
      <c r="AD31" s="95">
        <v>25</v>
      </c>
      <c r="AE31" s="95">
        <v>25</v>
      </c>
      <c r="AF31" s="95">
        <v>1</v>
      </c>
      <c r="AG31" s="95">
        <v>1</v>
      </c>
      <c r="AH31" s="95" t="s">
        <v>94</v>
      </c>
      <c r="AI31" s="95" t="s">
        <v>124</v>
      </c>
      <c r="AJ31" s="95">
        <v>0</v>
      </c>
      <c r="AK31" s="95" t="s">
        <v>125</v>
      </c>
      <c r="AL31" s="95" t="s">
        <v>124</v>
      </c>
      <c r="AM31" s="95">
        <v>0</v>
      </c>
      <c r="AN31" s="95" t="s">
        <v>125</v>
      </c>
      <c r="AR31" s="95" t="s">
        <v>126</v>
      </c>
      <c r="AS31" s="95">
        <f>8/24</f>
        <v>0.33333333333333331</v>
      </c>
      <c r="AT31" s="95" t="s">
        <v>127</v>
      </c>
      <c r="AU31" s="95" t="s">
        <v>124</v>
      </c>
      <c r="AV31" s="95">
        <f>8/24</f>
        <v>0.33333333333333331</v>
      </c>
      <c r="AW31" s="95" t="s">
        <v>125</v>
      </c>
      <c r="BA31" s="95" t="s">
        <v>126</v>
      </c>
      <c r="BB31" s="95">
        <f>8/24</f>
        <v>0.33333333333333331</v>
      </c>
      <c r="BC31" s="95" t="s">
        <v>127</v>
      </c>
      <c r="BD31" s="95" t="s">
        <v>124</v>
      </c>
      <c r="BE31" s="95">
        <f>8/24</f>
        <v>0.33333333333333331</v>
      </c>
      <c r="BF31" s="95" t="s">
        <v>125</v>
      </c>
      <c r="BJ31" s="95" t="s">
        <v>102</v>
      </c>
      <c r="BK31" s="95">
        <v>1.5699999999999999E-5</v>
      </c>
      <c r="BM31" s="95" t="s">
        <v>102</v>
      </c>
      <c r="BN31" s="95">
        <v>1.35E-4</v>
      </c>
      <c r="BW31" s="95">
        <v>365</v>
      </c>
      <c r="BX31" s="95" t="s">
        <v>55</v>
      </c>
      <c r="BY31" s="95" t="s">
        <v>243</v>
      </c>
      <c r="BZ31" s="354">
        <v>0.124</v>
      </c>
      <c r="CT31" s="95" t="s">
        <v>70</v>
      </c>
      <c r="CU31" s="95">
        <v>350</v>
      </c>
      <c r="CV31" s="95" t="s">
        <v>55</v>
      </c>
      <c r="CZ31" s="95" t="s">
        <v>265</v>
      </c>
      <c r="DA31" s="354">
        <f>B40</f>
        <v>14.8</v>
      </c>
      <c r="DB31" s="95" t="s">
        <v>413</v>
      </c>
      <c r="HD31" s="95" t="s">
        <v>61</v>
      </c>
      <c r="HE31" s="95">
        <v>26</v>
      </c>
    </row>
    <row r="32" spans="1:214" s="95" customFormat="1" x14ac:dyDescent="0.2">
      <c r="D32" s="95" t="s">
        <v>54</v>
      </c>
      <c r="E32" s="95">
        <v>350</v>
      </c>
      <c r="F32" s="95" t="s">
        <v>55</v>
      </c>
      <c r="G32" s="95" t="s">
        <v>88</v>
      </c>
      <c r="H32" s="95">
        <v>6</v>
      </c>
      <c r="J32" s="95" t="s">
        <v>78</v>
      </c>
      <c r="K32" s="95">
        <v>350</v>
      </c>
      <c r="L32" s="95" t="s">
        <v>55</v>
      </c>
      <c r="M32" s="95" t="s">
        <v>131</v>
      </c>
      <c r="N32" s="354">
        <f>B10</f>
        <v>1.5400000000000001E-6</v>
      </c>
      <c r="O32" s="95" t="s">
        <v>478</v>
      </c>
      <c r="P32" s="95" t="s">
        <v>131</v>
      </c>
      <c r="Q32" s="354">
        <f>B12</f>
        <v>4.5299999999999998E-6</v>
      </c>
      <c r="R32" s="95" t="s">
        <v>132</v>
      </c>
      <c r="V32" s="95" t="s">
        <v>84</v>
      </c>
      <c r="W32" s="95">
        <v>8</v>
      </c>
      <c r="X32" s="95" t="s">
        <v>85</v>
      </c>
      <c r="Y32" s="95" t="s">
        <v>84</v>
      </c>
      <c r="Z32" s="95">
        <v>8</v>
      </c>
      <c r="AA32" s="95" t="s">
        <v>85</v>
      </c>
      <c r="AB32" s="95" t="s">
        <v>52</v>
      </c>
      <c r="AC32" s="354">
        <f>0.693/AC33</f>
        <v>4.3312499999999997E-4</v>
      </c>
      <c r="AD32" s="354">
        <f>0.693/AD33</f>
        <v>4.3312499999999997E-4</v>
      </c>
      <c r="AE32" s="354">
        <f>0.693/AE33</f>
        <v>4.3312499999999997E-4</v>
      </c>
      <c r="AF32" s="354">
        <f>0.693/AF33</f>
        <v>4.3312499999999997E-4</v>
      </c>
      <c r="AG32" s="354">
        <f>0.693/AG33</f>
        <v>4.3312499999999997E-4</v>
      </c>
      <c r="AI32" s="95" t="s">
        <v>131</v>
      </c>
      <c r="AJ32" s="354">
        <f>B10</f>
        <v>1.5400000000000001E-6</v>
      </c>
      <c r="AK32" s="95" t="s">
        <v>132</v>
      </c>
      <c r="AL32" s="95" t="s">
        <v>131</v>
      </c>
      <c r="AM32" s="354">
        <f>B12</f>
        <v>4.5299999999999998E-6</v>
      </c>
      <c r="AN32" s="95" t="s">
        <v>132</v>
      </c>
      <c r="AR32" s="95" t="s">
        <v>131</v>
      </c>
      <c r="AS32" s="354">
        <f>B10</f>
        <v>1.5400000000000001E-6</v>
      </c>
      <c r="AT32" s="95" t="s">
        <v>132</v>
      </c>
      <c r="AU32" s="95" t="s">
        <v>131</v>
      </c>
      <c r="AV32" s="354">
        <f>B12</f>
        <v>4.5299999999999998E-6</v>
      </c>
      <c r="AW32" s="95" t="s">
        <v>132</v>
      </c>
      <c r="BA32" s="95" t="s">
        <v>131</v>
      </c>
      <c r="BB32" s="354">
        <f>B10</f>
        <v>1.5400000000000001E-6</v>
      </c>
      <c r="BC32" s="95" t="s">
        <v>132</v>
      </c>
      <c r="BD32" s="95" t="s">
        <v>131</v>
      </c>
      <c r="BE32" s="354">
        <f>B12</f>
        <v>4.5299999999999998E-6</v>
      </c>
      <c r="BF32" s="95" t="s">
        <v>132</v>
      </c>
      <c r="BJ32" s="95" t="s">
        <v>113</v>
      </c>
      <c r="BK32" s="95">
        <v>0.80900000000000005</v>
      </c>
      <c r="BM32" s="95" t="s">
        <v>113</v>
      </c>
      <c r="BN32" s="95">
        <v>0.71099999999999997</v>
      </c>
      <c r="BT32" s="354"/>
      <c r="BW32" s="95">
        <v>8760</v>
      </c>
      <c r="BX32" s="95" t="s">
        <v>258</v>
      </c>
      <c r="BY32" s="95" t="s">
        <v>113</v>
      </c>
      <c r="BZ32" s="95">
        <v>0.79200000000000004</v>
      </c>
      <c r="CT32" s="95" t="s">
        <v>78</v>
      </c>
      <c r="CU32" s="95">
        <v>350</v>
      </c>
      <c r="CV32" s="95" t="s">
        <v>55</v>
      </c>
      <c r="CZ32" s="95" t="s">
        <v>178</v>
      </c>
      <c r="DA32" s="354">
        <f>B41</f>
        <v>56.2</v>
      </c>
      <c r="DB32" s="95" t="s">
        <v>413</v>
      </c>
      <c r="DY32" s="406"/>
      <c r="HD32" s="95" t="s">
        <v>68</v>
      </c>
      <c r="HE32" s="354">
        <v>70</v>
      </c>
    </row>
    <row r="33" spans="1:214" s="95" customFormat="1" ht="13.15" customHeight="1" x14ac:dyDescent="0.2">
      <c r="A33" s="95" t="s">
        <v>93</v>
      </c>
      <c r="B33" s="397">
        <v>10</v>
      </c>
      <c r="C33" s="95" t="s">
        <v>83</v>
      </c>
      <c r="D33" s="95" t="s">
        <v>415</v>
      </c>
      <c r="E33" s="354">
        <f>B16</f>
        <v>5.1499999999999998E-10</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B17</f>
        <v>1600</v>
      </c>
      <c r="AD33" s="354">
        <f>B17</f>
        <v>1600</v>
      </c>
      <c r="AE33" s="354">
        <f>B17</f>
        <v>1600</v>
      </c>
      <c r="AF33" s="354">
        <f>B17</f>
        <v>1600</v>
      </c>
      <c r="AG33" s="354">
        <f>B17</f>
        <v>1600</v>
      </c>
      <c r="AH33" s="95" t="s">
        <v>129</v>
      </c>
      <c r="AI33" s="95" t="s">
        <v>151</v>
      </c>
      <c r="AJ33" s="95">
        <f>8/24</f>
        <v>0.33333333333333331</v>
      </c>
      <c r="AK33" s="95" t="s">
        <v>125</v>
      </c>
      <c r="AL33" s="95" t="s">
        <v>151</v>
      </c>
      <c r="AM33" s="95">
        <f>8/24</f>
        <v>0.33333333333333331</v>
      </c>
      <c r="AN33" s="95" t="s">
        <v>125</v>
      </c>
      <c r="AR33" s="95" t="s">
        <v>151</v>
      </c>
      <c r="AS33" s="95">
        <v>0</v>
      </c>
      <c r="AT33" s="95" t="s">
        <v>125</v>
      </c>
      <c r="AU33" s="95" t="s">
        <v>151</v>
      </c>
      <c r="AV33" s="95">
        <v>0</v>
      </c>
      <c r="AW33" s="95" t="s">
        <v>125</v>
      </c>
      <c r="BA33" s="95" t="s">
        <v>151</v>
      </c>
      <c r="BB33" s="95">
        <v>0</v>
      </c>
      <c r="BC33" s="95" t="s">
        <v>125</v>
      </c>
      <c r="BD33" s="95" t="s">
        <v>151</v>
      </c>
      <c r="BE33" s="95">
        <v>0</v>
      </c>
      <c r="BF33" s="95" t="s">
        <v>125</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266</v>
      </c>
      <c r="DA33" s="354">
        <f>B42</f>
        <v>10.4</v>
      </c>
      <c r="DB33" s="95" t="s">
        <v>413</v>
      </c>
      <c r="DY33" s="406"/>
      <c r="HD33" s="95" t="s">
        <v>428</v>
      </c>
      <c r="HE33" s="354">
        <f>1+((HE35*HE36*HE37)/(HE38*HE39))</f>
        <v>16.660043458695149</v>
      </c>
    </row>
    <row r="34" spans="1:214" s="95" customFormat="1" x14ac:dyDescent="0.2">
      <c r="A34" s="95" t="s">
        <v>103</v>
      </c>
      <c r="B34" s="397">
        <v>20</v>
      </c>
      <c r="C34" s="95" t="s">
        <v>83</v>
      </c>
      <c r="D34" s="95" t="s">
        <v>68</v>
      </c>
      <c r="E34" s="95">
        <v>26</v>
      </c>
      <c r="F34" s="95" t="s">
        <v>129</v>
      </c>
      <c r="G34" s="95" t="s">
        <v>179</v>
      </c>
      <c r="H34" s="95">
        <v>0.54</v>
      </c>
      <c r="I34" s="95" t="s">
        <v>180</v>
      </c>
      <c r="J34" s="95" t="s">
        <v>106</v>
      </c>
      <c r="K34" s="95">
        <v>20</v>
      </c>
      <c r="L34" s="95" t="s">
        <v>129</v>
      </c>
      <c r="V34" s="95" t="s">
        <v>104</v>
      </c>
      <c r="W34" s="95">
        <f>B35</f>
        <v>60</v>
      </c>
      <c r="X34" s="95" t="s">
        <v>83</v>
      </c>
      <c r="Y34" s="95" t="s">
        <v>104</v>
      </c>
      <c r="Z34" s="95">
        <f>B35</f>
        <v>60</v>
      </c>
      <c r="AA34" s="95" t="s">
        <v>83</v>
      </c>
      <c r="AC34" s="95">
        <v>365</v>
      </c>
      <c r="AD34" s="95">
        <v>365</v>
      </c>
      <c r="AE34" s="95">
        <v>365</v>
      </c>
      <c r="AF34" s="95">
        <v>365</v>
      </c>
      <c r="AG34" s="95">
        <v>365</v>
      </c>
      <c r="AH34" s="95" t="s">
        <v>189</v>
      </c>
      <c r="BJ34" s="95" t="s">
        <v>131</v>
      </c>
      <c r="BK34" s="354">
        <f>B10</f>
        <v>1.5400000000000001E-6</v>
      </c>
      <c r="BL34" s="95" t="s">
        <v>132</v>
      </c>
      <c r="BM34" s="95" t="s">
        <v>131</v>
      </c>
      <c r="BN34" s="354">
        <f>B12</f>
        <v>4.5299999999999998E-6</v>
      </c>
      <c r="BO34" s="95" t="s">
        <v>132</v>
      </c>
      <c r="BZ34" s="95">
        <v>365</v>
      </c>
      <c r="CA34" s="95" t="s">
        <v>189</v>
      </c>
      <c r="CH34" s="483" t="s">
        <v>430</v>
      </c>
      <c r="CI34" s="483"/>
      <c r="CJ34" s="483"/>
      <c r="CK34" s="483"/>
      <c r="CL34" s="483"/>
      <c r="CT34" s="95" t="s">
        <v>106</v>
      </c>
      <c r="CU34" s="95">
        <v>34</v>
      </c>
      <c r="CV34" s="95" t="s">
        <v>129</v>
      </c>
      <c r="CZ34" s="95" t="s">
        <v>267</v>
      </c>
      <c r="DA34" s="354">
        <f>B43</f>
        <v>28.5</v>
      </c>
      <c r="DB34" s="95" t="s">
        <v>413</v>
      </c>
      <c r="DS34" s="354"/>
      <c r="DY34" s="406"/>
      <c r="EH34" s="354"/>
      <c r="HD34" s="95" t="s">
        <v>183</v>
      </c>
      <c r="HE34" s="95">
        <v>8.1999999999999993</v>
      </c>
    </row>
    <row r="35" spans="1:214" s="95" customFormat="1" ht="13.15" customHeight="1" x14ac:dyDescent="0.2">
      <c r="A35" s="95" t="s">
        <v>104</v>
      </c>
      <c r="B35" s="397">
        <v>60</v>
      </c>
      <c r="C35" s="95" t="s">
        <v>83</v>
      </c>
      <c r="D35" s="95" t="s">
        <v>178</v>
      </c>
      <c r="E35" s="95">
        <f>B44</f>
        <v>54</v>
      </c>
      <c r="F35" s="95" t="s">
        <v>96</v>
      </c>
      <c r="G35" s="95" t="s">
        <v>181</v>
      </c>
      <c r="H35" s="95">
        <v>0.71</v>
      </c>
      <c r="I35" s="95" t="s">
        <v>180</v>
      </c>
      <c r="J35" s="95" t="s">
        <v>88</v>
      </c>
      <c r="K35" s="95">
        <v>6</v>
      </c>
      <c r="L35" s="95" t="s">
        <v>129</v>
      </c>
      <c r="M35" s="407"/>
      <c r="N35" s="407"/>
      <c r="O35" s="407"/>
      <c r="P35" s="407"/>
      <c r="Q35" s="407"/>
      <c r="R35" s="407"/>
      <c r="V35" s="95" t="s">
        <v>115</v>
      </c>
      <c r="W35" s="354">
        <f>B14</f>
        <v>7.8700000000000003E-9</v>
      </c>
      <c r="X35" s="95" t="s">
        <v>116</v>
      </c>
      <c r="Y35" s="95" t="s">
        <v>115</v>
      </c>
      <c r="Z35" s="354">
        <f>B14</f>
        <v>7.8700000000000003E-9</v>
      </c>
      <c r="AA35" s="95" t="s">
        <v>116</v>
      </c>
      <c r="AB35" s="95" t="s">
        <v>38</v>
      </c>
      <c r="AC35" s="95">
        <f>(AC31*AC32)/(1-EXP(-AC32*AC31))</f>
        <v>1.0054238331718262</v>
      </c>
      <c r="AD35" s="95">
        <f>(AD31*AD32)/(1-EXP(-AD32*AD31))</f>
        <v>1.0054238331718262</v>
      </c>
      <c r="AE35" s="95">
        <f>(AE31*AE32)/(1-EXP(-AE32*AE31))</f>
        <v>1.0054238331718262</v>
      </c>
      <c r="AF35" s="95">
        <f>(AF31*AF32)/(1-EXP(-AF32*AF31))</f>
        <v>1.0002165781331087</v>
      </c>
      <c r="AG35" s="95">
        <f>(AG31*AG32)/(1-EXP(-AG32*AG31))</f>
        <v>1.0002165781331087</v>
      </c>
      <c r="BT35" s="354"/>
      <c r="BZ35" s="95">
        <v>1000</v>
      </c>
      <c r="CA35" s="95" t="s">
        <v>195</v>
      </c>
      <c r="CH35" s="483"/>
      <c r="CI35" s="483"/>
      <c r="CJ35" s="483"/>
      <c r="CK35" s="483"/>
      <c r="CL35" s="483"/>
      <c r="CT35" s="95" t="s">
        <v>88</v>
      </c>
      <c r="CU35" s="95">
        <v>6</v>
      </c>
      <c r="CV35" s="95" t="s">
        <v>129</v>
      </c>
      <c r="CZ35" s="95" t="s">
        <v>269</v>
      </c>
      <c r="DA35" s="95">
        <v>350</v>
      </c>
      <c r="DB35" s="95" t="s">
        <v>268</v>
      </c>
      <c r="DS35" s="354"/>
      <c r="DY35" s="406"/>
      <c r="EH35" s="354"/>
      <c r="HD35" s="95" t="s">
        <v>145</v>
      </c>
      <c r="HE35" s="408">
        <v>5</v>
      </c>
      <c r="HF35" s="95" t="s">
        <v>186</v>
      </c>
    </row>
    <row r="36" spans="1:214" s="95" customFormat="1" ht="13.5" thickBot="1" x14ac:dyDescent="0.25">
      <c r="A36" s="95" t="s">
        <v>117</v>
      </c>
      <c r="B36" s="397">
        <v>200</v>
      </c>
      <c r="C36" s="95" t="s">
        <v>96</v>
      </c>
      <c r="D36" s="95" t="s">
        <v>142</v>
      </c>
      <c r="E36" s="354">
        <f>E31/(E33*E32*E34*E35)</f>
        <v>3.9514602621398736E-3</v>
      </c>
      <c r="F36" s="95" t="s">
        <v>23</v>
      </c>
      <c r="G36" s="95" t="s">
        <v>184</v>
      </c>
      <c r="H36" s="95">
        <v>24</v>
      </c>
      <c r="I36" s="95" t="s">
        <v>85</v>
      </c>
      <c r="J36" s="95" t="s">
        <v>259</v>
      </c>
      <c r="K36" s="95">
        <v>24</v>
      </c>
      <c r="L36" s="95" t="s">
        <v>85</v>
      </c>
      <c r="M36" s="407"/>
      <c r="N36" s="407"/>
      <c r="O36" s="407"/>
      <c r="P36" s="407"/>
      <c r="Q36" s="407"/>
      <c r="R36" s="407"/>
      <c r="V36" s="95" t="s">
        <v>414</v>
      </c>
      <c r="W36" s="95">
        <v>1</v>
      </c>
      <c r="Y36" s="95" t="s">
        <v>414</v>
      </c>
      <c r="Z36" s="95">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270</v>
      </c>
      <c r="DA36" s="95">
        <v>350</v>
      </c>
      <c r="DB36" s="95" t="s">
        <v>268</v>
      </c>
      <c r="DS36" s="354"/>
      <c r="DY36" s="409"/>
      <c r="EH36" s="354"/>
      <c r="HD36" s="95" t="s">
        <v>187</v>
      </c>
      <c r="HE36" s="408">
        <v>5</v>
      </c>
      <c r="HF36" s="95" t="s">
        <v>188</v>
      </c>
    </row>
    <row r="37" spans="1:214" s="95" customFormat="1" ht="13.5" thickBot="1" x14ac:dyDescent="0.25">
      <c r="A37" s="95" t="s">
        <v>140</v>
      </c>
      <c r="B37" s="397">
        <v>100</v>
      </c>
      <c r="C37" s="95" t="s">
        <v>96</v>
      </c>
      <c r="G37" s="95" t="s">
        <v>184</v>
      </c>
      <c r="H37" s="95">
        <v>24</v>
      </c>
      <c r="I37" s="95" t="s">
        <v>85</v>
      </c>
      <c r="J37" s="95" t="s">
        <v>260</v>
      </c>
      <c r="K37" s="95">
        <v>24</v>
      </c>
      <c r="L37" s="95" t="s">
        <v>85</v>
      </c>
      <c r="V37" s="374" t="s">
        <v>134</v>
      </c>
      <c r="W37" s="375">
        <f>W26/((W32/W33)*W29*W30*W31*W34)</f>
        <v>6.8965517241379316E-4</v>
      </c>
      <c r="X37" s="376" t="s">
        <v>37</v>
      </c>
      <c r="Y37" s="376" t="s">
        <v>134</v>
      </c>
      <c r="Z37" s="375">
        <f>(Z26*Z30*Z27)/((1-EXP(-Z27))*Z30*Z31*Z29*Z43*(Z32/Z33)*Z34)</f>
        <v>1.7245113416088084E-2</v>
      </c>
      <c r="AA37" s="377" t="s">
        <v>38</v>
      </c>
      <c r="AB37" s="374" t="s">
        <v>142</v>
      </c>
      <c r="AC37" s="375">
        <f>(AC5/(AC9*AC16*AC8*AC11*(1/AC6)))*AC35</f>
        <v>5.4531462138132936</v>
      </c>
      <c r="AD37" s="375">
        <f>(AD5/(AD9*AD16*AD8*AD11*(1/AD6)))*AD35</f>
        <v>10.906292427626587</v>
      </c>
      <c r="AE37" s="375">
        <f>(AE5/(AE9*AE16*AE8*AE11*(1/AE6)))*AE35</f>
        <v>6.0590513486814368</v>
      </c>
      <c r="AF37" s="375">
        <f>(AF5/(AF9*AF16*AF8*AF11*(1/AF6)))*AF35</f>
        <v>41.097753595607955</v>
      </c>
      <c r="AG37" s="410">
        <f>(AG5/(AG9*AG16*AG8*AG11*(1/AG6)))*AG35</f>
        <v>41.097753595607955</v>
      </c>
      <c r="BK37" s="483"/>
      <c r="BL37" s="483"/>
      <c r="BM37" s="483"/>
      <c r="BN37" s="483"/>
      <c r="BO37" s="483"/>
      <c r="CH37" s="483"/>
      <c r="CI37" s="483"/>
      <c r="CJ37" s="483"/>
      <c r="CK37" s="483"/>
      <c r="CL37" s="483"/>
      <c r="CT37" s="95" t="s">
        <v>260</v>
      </c>
      <c r="CU37" s="95">
        <v>24</v>
      </c>
      <c r="CV37" s="95" t="s">
        <v>85</v>
      </c>
      <c r="CZ37" s="95" t="s">
        <v>246</v>
      </c>
      <c r="DA37" s="95">
        <v>6</v>
      </c>
      <c r="DB37" s="95" t="s">
        <v>129</v>
      </c>
      <c r="DS37" s="354"/>
      <c r="DY37" s="406"/>
      <c r="EH37" s="354"/>
      <c r="HD37" s="95" t="s">
        <v>191</v>
      </c>
      <c r="HE37" s="408">
        <f>(0.0112*HE39*HE39)^0.5+HE40*(1-EXP((-HE38*HE39)/(HE35*HE36*HE40)))</f>
        <v>6.2013772096432787</v>
      </c>
      <c r="HF37" s="95" t="s">
        <v>192</v>
      </c>
    </row>
    <row r="38" spans="1:214" s="95" customFormat="1" ht="14.25" thickTop="1" thickBot="1" x14ac:dyDescent="0.25">
      <c r="A38" s="95" t="s">
        <v>451</v>
      </c>
      <c r="B38" s="397">
        <v>0.78</v>
      </c>
      <c r="D38" s="401" t="s">
        <v>3</v>
      </c>
      <c r="E38" s="19"/>
      <c r="F38" s="20" t="s">
        <v>459</v>
      </c>
      <c r="G38" s="95" t="s">
        <v>167</v>
      </c>
      <c r="H38" s="95">
        <v>1</v>
      </c>
      <c r="I38" s="95" t="s">
        <v>168</v>
      </c>
      <c r="J38" s="95" t="s">
        <v>399</v>
      </c>
      <c r="K38" s="95">
        <v>0.25</v>
      </c>
      <c r="V38" s="383" t="s">
        <v>139</v>
      </c>
      <c r="W38" s="384">
        <f>(W26)/((W32/W33)*W29*W30*W35*(1/365))</f>
        <v>22.261753494282082</v>
      </c>
      <c r="X38" s="385" t="s">
        <v>37</v>
      </c>
      <c r="Y38" s="385" t="s">
        <v>139</v>
      </c>
      <c r="Z38" s="384">
        <f>(Z26*Z30*Z27)/((1-EXP(-Z27*Z30))*Z35*Z29*Z43*(Z32/Z33)*Z36*(Z43/Z44))</f>
        <v>556.66437258234009</v>
      </c>
      <c r="AA38" s="386" t="s">
        <v>38</v>
      </c>
      <c r="AB38" s="411" t="s">
        <v>134</v>
      </c>
      <c r="AC38" s="354">
        <f>(AC5/(AC24*AC20*AC8*AC11*(1/AC40)*((8/1)/(24/1))*AC36))*AC35</f>
        <v>942.5636767097817</v>
      </c>
      <c r="AD38" s="354">
        <f>(AD5/(AD24*AD20*AD8*((8/1)/(24/1))*AD11*(1/AD40)*AD36))*AD35</f>
        <v>942.56367670978159</v>
      </c>
      <c r="AE38" s="354">
        <f>(AE5/(AE24*AE20*AE8*((8/1)/(24/1))*AE11*(1/AE40)*AE36))*AE35</f>
        <v>1047.2929741219796</v>
      </c>
      <c r="AF38" s="354">
        <f>(AF5/(AF24*AF20*AF8*AF11*(1/AF41)*AF28*AF19*AF36))*AF35</f>
        <v>13.342227623971057</v>
      </c>
      <c r="AG38" s="413">
        <v>432</v>
      </c>
      <c r="BK38" s="483"/>
      <c r="BL38" s="483"/>
      <c r="BM38" s="483"/>
      <c r="BN38" s="483"/>
      <c r="BO38" s="483"/>
      <c r="CT38" s="95" t="s">
        <v>420</v>
      </c>
      <c r="CU38" s="95">
        <v>1</v>
      </c>
      <c r="CZ38" s="95" t="s">
        <v>247</v>
      </c>
      <c r="DA38" s="95">
        <v>34</v>
      </c>
      <c r="DB38" s="95" t="s">
        <v>129</v>
      </c>
      <c r="DY38" s="406"/>
      <c r="HD38" s="95" t="s">
        <v>194</v>
      </c>
      <c r="HE38" s="408">
        <v>0.18</v>
      </c>
      <c r="HF38" s="95" t="s">
        <v>186</v>
      </c>
    </row>
    <row r="39" spans="1:214" s="95" customFormat="1" ht="13.5" thickBot="1" x14ac:dyDescent="0.25">
      <c r="A39" s="95" t="s">
        <v>452</v>
      </c>
      <c r="B39" s="397">
        <v>2.5</v>
      </c>
      <c r="D39" s="402" t="s">
        <v>166</v>
      </c>
      <c r="E39" s="101" t="s">
        <v>17</v>
      </c>
      <c r="F39" s="102" t="s">
        <v>25</v>
      </c>
      <c r="G39" s="95" t="s">
        <v>169</v>
      </c>
      <c r="H39" s="95">
        <v>1</v>
      </c>
      <c r="I39" s="95" t="s">
        <v>168</v>
      </c>
      <c r="J39" s="95" t="s">
        <v>171</v>
      </c>
      <c r="K39" s="95">
        <v>1.752</v>
      </c>
      <c r="L39" s="95" t="s">
        <v>127</v>
      </c>
      <c r="V39" s="374" t="s">
        <v>134</v>
      </c>
      <c r="W39" s="375">
        <f>(W26*W27*W30)/((W32/W33)*(1-EXP(-W27*W30))*W31*W34*W29*W30)</f>
        <v>6.9339574701505243E-4</v>
      </c>
      <c r="X39" s="376" t="s">
        <v>38</v>
      </c>
      <c r="Y39" s="376" t="s">
        <v>134</v>
      </c>
      <c r="Z39" s="375">
        <f>Z26/((Z31*Z29*Z43*(Z32/Z33)*Z34))</f>
        <v>1.7241379310344827E-2</v>
      </c>
      <c r="AA39" s="377" t="s">
        <v>37</v>
      </c>
      <c r="AB39" s="383" t="s">
        <v>197</v>
      </c>
      <c r="AC39" s="384">
        <f>(AC5/(AC23*AC22*AC29*AC19*AC8*(1/AC34)*AC11))*AC35</f>
        <v>2.0747968854146516E-2</v>
      </c>
      <c r="AD39" s="384">
        <f>(AD5/(AD23*AD22*AD29*AD21*AD8*(1/AD34)*AD11))*AD35</f>
        <v>5.1869922135366286E-2</v>
      </c>
      <c r="AE39" s="384">
        <f>(AE5/(AE23*AE22*AE29*AE19*AE8*(1/AE34)*AE11))*AE35</f>
        <v>2.3053298726829465E-2</v>
      </c>
      <c r="AF39" s="384">
        <f>(AF5/(AF23*AF22*(AF28+AF29*AF21)*AF8*(1/AF34)*AF11))*AF35</f>
        <v>0.3685805663993787</v>
      </c>
      <c r="AG39" s="414">
        <f>(AG5/(AG24*AG20*AG8*AG11*(1/AG42)*(AG28+(AG29*AG30))*AG36))*AG35</f>
        <v>444.13386539537328</v>
      </c>
      <c r="BK39" s="483"/>
      <c r="BL39" s="483"/>
      <c r="BM39" s="483"/>
      <c r="BN39" s="483"/>
      <c r="BO39" s="483"/>
      <c r="BT39" s="404"/>
      <c r="BU39" s="355"/>
      <c r="CT39" s="95" t="s">
        <v>171</v>
      </c>
      <c r="CU39" s="95">
        <v>12.167999999999999</v>
      </c>
      <c r="CV39" s="95" t="s">
        <v>127</v>
      </c>
      <c r="CZ39" s="95" t="s">
        <v>248</v>
      </c>
      <c r="DA39" s="95">
        <v>40</v>
      </c>
      <c r="DB39" s="95" t="s">
        <v>129</v>
      </c>
      <c r="DY39" s="406"/>
      <c r="HD39" s="95" t="s">
        <v>196</v>
      </c>
      <c r="HE39" s="408">
        <v>55</v>
      </c>
      <c r="HF39" s="95" t="s">
        <v>192</v>
      </c>
    </row>
    <row r="40" spans="1:214" s="95" customFormat="1" ht="15" customHeight="1" thickBot="1" x14ac:dyDescent="0.25">
      <c r="A40" s="95" t="s">
        <v>404</v>
      </c>
      <c r="B40" s="353">
        <v>14.8</v>
      </c>
      <c r="C40" s="95" t="s">
        <v>413</v>
      </c>
      <c r="D40" s="402" t="s">
        <v>193</v>
      </c>
      <c r="E40" s="403">
        <f>E50</f>
        <v>7.9029205242797468E-2</v>
      </c>
      <c r="F40" s="184"/>
      <c r="H40" s="95">
        <f>1/1000</f>
        <v>1E-3</v>
      </c>
      <c r="I40" s="95" t="s">
        <v>170</v>
      </c>
      <c r="J40" s="95" t="s">
        <v>174</v>
      </c>
      <c r="K40" s="95">
        <v>16.416</v>
      </c>
      <c r="L40" s="95" t="s">
        <v>127</v>
      </c>
      <c r="V40" s="383" t="s">
        <v>139</v>
      </c>
      <c r="W40" s="384">
        <f>(W26*W27*W30)/((W32/W33)*(1-EXP(-W27*W30))*W35*W29*W30*(1/365))</f>
        <v>22.382497531347386</v>
      </c>
      <c r="X40" s="385" t="s">
        <v>38</v>
      </c>
      <c r="Y40" s="385" t="s">
        <v>139</v>
      </c>
      <c r="Z40" s="384">
        <f>Z26/(Z35*Z29*(1/Z44)*Z43*(Z32/Z33)*Z36)</f>
        <v>556.54383735705198</v>
      </c>
      <c r="AA40" s="386" t="s">
        <v>37</v>
      </c>
      <c r="AB40" s="95" t="s">
        <v>164</v>
      </c>
      <c r="AC40" s="354">
        <f>B18</f>
        <v>1359344473.5814338</v>
      </c>
      <c r="AD40" s="354">
        <f>B18</f>
        <v>1359344473.5814338</v>
      </c>
      <c r="AE40" s="354">
        <f>B18</f>
        <v>1359344473.5814338</v>
      </c>
      <c r="AG40" s="354">
        <f>(AG5/(AG23*AG22*(AG28+AG29*AG21)*AG8*(1/AG34)*AG11))*AG35</f>
        <v>0.3685805663993787</v>
      </c>
      <c r="BT40" s="404"/>
      <c r="BU40" s="355"/>
      <c r="CT40" s="95" t="s">
        <v>174</v>
      </c>
      <c r="CU40" s="95">
        <v>10.007999999999999</v>
      </c>
      <c r="CV40" s="95" t="s">
        <v>127</v>
      </c>
      <c r="CZ40" s="95" t="s">
        <v>446</v>
      </c>
      <c r="DA40" s="95">
        <v>24</v>
      </c>
      <c r="DB40" s="95" t="s">
        <v>85</v>
      </c>
      <c r="DY40" s="406"/>
      <c r="HD40" s="95" t="s">
        <v>198</v>
      </c>
      <c r="HE40" s="408">
        <v>5</v>
      </c>
      <c r="HF40" s="95" t="s">
        <v>192</v>
      </c>
    </row>
    <row r="41" spans="1:214" s="95" customFormat="1" ht="15" thickBot="1" x14ac:dyDescent="0.25">
      <c r="A41" s="95" t="s">
        <v>405</v>
      </c>
      <c r="B41" s="353">
        <v>56.2</v>
      </c>
      <c r="C41" s="95" t="s">
        <v>413</v>
      </c>
      <c r="D41" s="405" t="s">
        <v>10</v>
      </c>
      <c r="E41" s="256" t="s">
        <v>34</v>
      </c>
      <c r="F41" s="257"/>
      <c r="H41" s="95">
        <v>1000</v>
      </c>
      <c r="I41" s="95" t="s">
        <v>173</v>
      </c>
      <c r="J41" s="95" t="s">
        <v>177</v>
      </c>
      <c r="K41" s="95">
        <v>0.4</v>
      </c>
      <c r="Y41" s="95" t="s">
        <v>411</v>
      </c>
      <c r="Z41" s="95">
        <v>50</v>
      </c>
      <c r="AA41" s="95" t="s">
        <v>211</v>
      </c>
      <c r="AB41" s="415" t="s">
        <v>201</v>
      </c>
      <c r="AF41" s="416">
        <f>B19</f>
        <v>773681.6396651821</v>
      </c>
      <c r="AH41" s="415" t="s">
        <v>165</v>
      </c>
      <c r="BT41" s="354"/>
      <c r="CT41" s="95" t="s">
        <v>177</v>
      </c>
      <c r="CU41" s="95">
        <v>0.4</v>
      </c>
      <c r="CZ41" s="95" t="s">
        <v>447</v>
      </c>
      <c r="DA41" s="95">
        <v>24</v>
      </c>
      <c r="DB41" s="95" t="s">
        <v>85</v>
      </c>
      <c r="DY41" s="406"/>
      <c r="HD41" s="95" t="s">
        <v>199</v>
      </c>
      <c r="HE41" s="408">
        <v>5</v>
      </c>
      <c r="HF41" s="95" t="s">
        <v>192</v>
      </c>
    </row>
    <row r="42" spans="1:214" s="95" customFormat="1" ht="13.9" customHeight="1" thickTop="1" x14ac:dyDescent="0.2">
      <c r="A42" s="95" t="s">
        <v>400</v>
      </c>
      <c r="B42" s="353">
        <v>10.4</v>
      </c>
      <c r="C42" s="95" t="s">
        <v>413</v>
      </c>
      <c r="D42" s="95" t="s">
        <v>46</v>
      </c>
      <c r="E42" s="354">
        <v>9.9999999999999995E-7</v>
      </c>
      <c r="H42" s="95">
        <v>1000</v>
      </c>
      <c r="I42" s="95" t="s">
        <v>408</v>
      </c>
      <c r="J42" s="95" t="s">
        <v>242</v>
      </c>
      <c r="K42" s="95">
        <v>0.4</v>
      </c>
      <c r="Y42" s="95" t="s">
        <v>410</v>
      </c>
      <c r="Z42" s="95">
        <v>5</v>
      </c>
      <c r="AA42" s="95" t="s">
        <v>327</v>
      </c>
      <c r="AB42" s="415" t="s">
        <v>202</v>
      </c>
      <c r="AF42" s="415"/>
      <c r="AG42" s="416">
        <f>B20</f>
        <v>36055860.959050171</v>
      </c>
      <c r="AH42" s="415"/>
      <c r="AI42" s="415"/>
      <c r="AJ42" s="415"/>
      <c r="AK42" s="415"/>
      <c r="CT42" s="95" t="s">
        <v>242</v>
      </c>
      <c r="CU42" s="95">
        <v>0.4</v>
      </c>
      <c r="CZ42" s="95" t="s">
        <v>167</v>
      </c>
      <c r="DA42" s="95">
        <v>1</v>
      </c>
      <c r="DB42" s="95" t="s">
        <v>271</v>
      </c>
    </row>
    <row r="43" spans="1:214" s="95" customFormat="1" ht="13.15" customHeight="1" x14ac:dyDescent="0.2">
      <c r="A43" s="95" t="s">
        <v>401</v>
      </c>
      <c r="B43" s="353">
        <v>28.5</v>
      </c>
      <c r="C43" s="95" t="s">
        <v>413</v>
      </c>
      <c r="D43" s="95" t="s">
        <v>54</v>
      </c>
      <c r="E43" s="95">
        <v>350</v>
      </c>
      <c r="F43" s="95" t="s">
        <v>55</v>
      </c>
      <c r="G43" s="95" t="s">
        <v>399</v>
      </c>
      <c r="H43" s="95">
        <v>0.25</v>
      </c>
      <c r="J43" s="95" t="s">
        <v>243</v>
      </c>
      <c r="K43" s="95">
        <v>1</v>
      </c>
      <c r="Y43" s="95" t="s">
        <v>328</v>
      </c>
      <c r="Z43" s="95">
        <v>1</v>
      </c>
      <c r="AA43" s="95" t="s">
        <v>276</v>
      </c>
      <c r="AF43" s="483" t="s">
        <v>429</v>
      </c>
      <c r="AG43" s="483"/>
      <c r="AH43" s="483"/>
      <c r="AI43" s="415"/>
      <c r="AJ43" s="415"/>
      <c r="AK43" s="415"/>
      <c r="BT43" s="354"/>
      <c r="CT43" s="95" t="s">
        <v>243</v>
      </c>
      <c r="CU43" s="95">
        <v>1</v>
      </c>
      <c r="CZ43" s="95" t="s">
        <v>169</v>
      </c>
      <c r="DA43" s="95">
        <v>1</v>
      </c>
      <c r="DB43" s="95" t="s">
        <v>271</v>
      </c>
    </row>
    <row r="44" spans="1:214" s="95" customFormat="1" x14ac:dyDescent="0.2">
      <c r="A44" s="95" t="s">
        <v>178</v>
      </c>
      <c r="B44" s="397">
        <v>54</v>
      </c>
      <c r="C44" s="95" t="s">
        <v>96</v>
      </c>
      <c r="D44" s="95" t="s">
        <v>415</v>
      </c>
      <c r="E44" s="354">
        <f>B16</f>
        <v>5.1499999999999998E-10</v>
      </c>
      <c r="F44" s="95" t="s">
        <v>176</v>
      </c>
      <c r="H44" s="95">
        <v>365</v>
      </c>
      <c r="I44" s="95" t="s">
        <v>55</v>
      </c>
      <c r="J44" s="95" t="s">
        <v>113</v>
      </c>
      <c r="K44" s="95">
        <v>1</v>
      </c>
      <c r="Z44" s="95">
        <v>365</v>
      </c>
      <c r="AA44" s="95" t="s">
        <v>161</v>
      </c>
      <c r="AF44" s="483"/>
      <c r="AG44" s="483"/>
      <c r="AH44" s="483"/>
      <c r="CT44" s="95" t="s">
        <v>113</v>
      </c>
      <c r="CU44" s="95">
        <v>1</v>
      </c>
      <c r="CZ44" s="95" t="s">
        <v>272</v>
      </c>
      <c r="DA44" s="95">
        <v>0.54</v>
      </c>
      <c r="DB44" s="95" t="s">
        <v>274</v>
      </c>
    </row>
    <row r="45" spans="1:214" s="95" customFormat="1" ht="12.75" customHeight="1" x14ac:dyDescent="0.2">
      <c r="A45" s="95" t="s">
        <v>278</v>
      </c>
      <c r="B45" s="397">
        <v>256</v>
      </c>
      <c r="C45" s="95" t="s">
        <v>413</v>
      </c>
      <c r="D45" s="95" t="s">
        <v>68</v>
      </c>
      <c r="E45" s="95">
        <v>26</v>
      </c>
      <c r="F45" s="95" t="s">
        <v>129</v>
      </c>
      <c r="H45" s="95">
        <v>8760</v>
      </c>
      <c r="I45" s="95" t="s">
        <v>258</v>
      </c>
      <c r="J45" s="95" t="s">
        <v>185</v>
      </c>
      <c r="K45" s="95">
        <v>26</v>
      </c>
      <c r="L45" s="95" t="s">
        <v>94</v>
      </c>
      <c r="AB45" s="415"/>
      <c r="AC45" s="415"/>
      <c r="AF45" s="483"/>
      <c r="AG45" s="483"/>
      <c r="AH45" s="483"/>
      <c r="AI45" s="415"/>
      <c r="AJ45" s="415"/>
      <c r="AK45" s="415"/>
      <c r="CT45" s="95" t="s">
        <v>329</v>
      </c>
      <c r="CU45" s="95">
        <v>40</v>
      </c>
      <c r="CV45" s="95" t="s">
        <v>94</v>
      </c>
      <c r="CZ45" s="95" t="s">
        <v>273</v>
      </c>
      <c r="DA45" s="95">
        <v>0.71</v>
      </c>
      <c r="DB45" s="95" t="s">
        <v>274</v>
      </c>
    </row>
    <row r="46" spans="1:214" s="95" customFormat="1" x14ac:dyDescent="0.2">
      <c r="A46" s="95" t="s">
        <v>279</v>
      </c>
      <c r="B46" s="397">
        <v>615</v>
      </c>
      <c r="C46" s="95" t="s">
        <v>413</v>
      </c>
      <c r="D46" s="95" t="s">
        <v>178</v>
      </c>
      <c r="E46" s="95">
        <f>B44</f>
        <v>54</v>
      </c>
      <c r="F46" s="95" t="s">
        <v>96</v>
      </c>
      <c r="G46" s="95" t="s">
        <v>49</v>
      </c>
      <c r="H46" s="95">
        <f>H48</f>
        <v>0.04</v>
      </c>
      <c r="K46" s="95">
        <v>365</v>
      </c>
      <c r="L46" s="95" t="s">
        <v>189</v>
      </c>
      <c r="AB46" s="415"/>
      <c r="AC46" s="417"/>
      <c r="AI46" s="415"/>
      <c r="AJ46" s="415"/>
      <c r="AK46" s="415"/>
      <c r="CU46" s="95">
        <v>365</v>
      </c>
      <c r="CV46" s="95" t="s">
        <v>189</v>
      </c>
      <c r="DA46" s="95">
        <v>365</v>
      </c>
      <c r="DB46" s="95" t="s">
        <v>268</v>
      </c>
    </row>
    <row r="47" spans="1:214" s="95" customFormat="1" ht="15" x14ac:dyDescent="0.2">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c r="CZ47" s="95" t="s">
        <v>145</v>
      </c>
      <c r="DA47" s="95">
        <v>0.5</v>
      </c>
      <c r="DB47" s="95" t="s">
        <v>275</v>
      </c>
    </row>
    <row r="48" spans="1:214" s="95" customFormat="1" x14ac:dyDescent="0.2">
      <c r="D48" s="95" t="s">
        <v>203</v>
      </c>
      <c r="E48" s="95">
        <f>B22</f>
        <v>50</v>
      </c>
      <c r="F48" s="95" t="s">
        <v>48</v>
      </c>
      <c r="G48" s="95" t="s">
        <v>66</v>
      </c>
      <c r="H48" s="354">
        <f>B30</f>
        <v>0.04</v>
      </c>
      <c r="K48" s="95">
        <v>1000</v>
      </c>
      <c r="L48" s="95" t="s">
        <v>53</v>
      </c>
      <c r="W48" s="404"/>
      <c r="X48" s="355"/>
      <c r="Y48" s="355"/>
      <c r="Z48" s="355"/>
      <c r="AA48" s="355"/>
      <c r="AB48" s="415"/>
      <c r="AC48" s="415"/>
      <c r="AF48" s="418"/>
      <c r="AG48" s="415"/>
      <c r="AH48" s="415"/>
      <c r="AI48" s="415"/>
      <c r="AJ48" s="415"/>
      <c r="AK48" s="415"/>
      <c r="CU48" s="95">
        <v>1000</v>
      </c>
      <c r="CV48" s="95" t="s">
        <v>53</v>
      </c>
      <c r="DA48" s="95">
        <v>1</v>
      </c>
      <c r="DB48" s="95" t="s">
        <v>276</v>
      </c>
    </row>
    <row r="49" spans="4:106" s="95" customFormat="1" x14ac:dyDescent="0.2">
      <c r="D49" s="95" t="s">
        <v>205</v>
      </c>
      <c r="E49" s="95">
        <v>1</v>
      </c>
      <c r="F49" s="95" t="s">
        <v>206</v>
      </c>
      <c r="G49" s="95" t="s">
        <v>73</v>
      </c>
      <c r="H49" s="95">
        <v>0.26</v>
      </c>
      <c r="J49" s="95" t="s">
        <v>49</v>
      </c>
      <c r="K49" s="95">
        <f>K51</f>
        <v>0.04</v>
      </c>
      <c r="W49" s="354"/>
      <c r="AB49" s="415"/>
      <c r="AC49" s="415"/>
      <c r="AF49" s="418"/>
      <c r="AG49" s="415"/>
      <c r="AH49" s="415"/>
      <c r="AI49" s="415"/>
      <c r="AJ49" s="415"/>
      <c r="AK49" s="415"/>
      <c r="BT49" s="354"/>
      <c r="DA49" s="95">
        <v>8760</v>
      </c>
      <c r="DB49" s="95" t="s">
        <v>258</v>
      </c>
    </row>
    <row r="50" spans="4:106" s="95" customFormat="1" x14ac:dyDescent="0.2">
      <c r="D50" s="95" t="s">
        <v>142</v>
      </c>
      <c r="E50" s="354">
        <f>E42/(E44*E43*E45*E46*E48*E49*(1/E47))</f>
        <v>7.9029205242797468E-2</v>
      </c>
      <c r="G50" s="95" t="s">
        <v>47</v>
      </c>
      <c r="H50" s="354">
        <f>(H53*H54*H55*((1-EXP(-H56*H57))))/(H58*H56)</f>
        <v>1.4210610877202989</v>
      </c>
      <c r="I50" s="95" t="s">
        <v>48</v>
      </c>
      <c r="J50" s="95" t="s">
        <v>57</v>
      </c>
      <c r="K50" s="95">
        <f>K52</f>
        <v>0.26</v>
      </c>
      <c r="W50" s="354"/>
      <c r="AB50" s="415"/>
      <c r="AC50" s="415"/>
      <c r="AF50" s="418"/>
      <c r="AG50" s="415"/>
      <c r="AH50" s="415"/>
      <c r="AI50" s="415"/>
      <c r="AJ50" s="415"/>
      <c r="AK50" s="415"/>
      <c r="BW50" s="354"/>
      <c r="DA50" s="95">
        <v>1000</v>
      </c>
      <c r="DB50" s="95" t="s">
        <v>195</v>
      </c>
    </row>
    <row r="51" spans="4:106" s="95" customFormat="1" x14ac:dyDescent="0.2">
      <c r="G51" s="95" t="s">
        <v>56</v>
      </c>
      <c r="H51" s="354">
        <f>(H53*H54*H59*((1-EXP(-H56*H57))))/(H58*H56)</f>
        <v>9.2368970701819411</v>
      </c>
      <c r="I51" s="95" t="s">
        <v>48</v>
      </c>
      <c r="J51" s="95" t="s">
        <v>66</v>
      </c>
      <c r="K51" s="354">
        <f>B30</f>
        <v>0.04</v>
      </c>
      <c r="AB51" s="415"/>
      <c r="AC51" s="415"/>
      <c r="AF51" s="418"/>
      <c r="AG51" s="415"/>
      <c r="BW51" s="354"/>
    </row>
    <row r="52" spans="4:106" s="95" customFormat="1" x14ac:dyDescent="0.2">
      <c r="G52" s="95" t="s">
        <v>65</v>
      </c>
      <c r="H52" s="354">
        <f>(H53*H54*H60*H66*((1-EXP(-H61*H62))))/(H63*H61)</f>
        <v>3.6423470278489711</v>
      </c>
      <c r="I52" s="95" t="s">
        <v>48</v>
      </c>
      <c r="J52" s="95" t="s">
        <v>73</v>
      </c>
      <c r="K52" s="95">
        <v>0.26</v>
      </c>
      <c r="AB52" s="415"/>
      <c r="AC52" s="415"/>
      <c r="AF52" s="418"/>
      <c r="AG52" s="415"/>
      <c r="BW52" s="354"/>
    </row>
    <row r="53" spans="4:106" s="95" customFormat="1" x14ac:dyDescent="0.2">
      <c r="G53" s="95" t="s">
        <v>71</v>
      </c>
      <c r="H53" s="95">
        <v>3.62</v>
      </c>
      <c r="I53" s="95" t="s">
        <v>72</v>
      </c>
      <c r="W53" s="354"/>
      <c r="AB53" s="415"/>
      <c r="AC53" s="415"/>
      <c r="AF53" s="418"/>
      <c r="AG53" s="415"/>
    </row>
    <row r="54" spans="4:106" s="95" customFormat="1" x14ac:dyDescent="0.2">
      <c r="G54" s="95" t="s">
        <v>79</v>
      </c>
      <c r="H54" s="95">
        <v>0.25</v>
      </c>
      <c r="I54" s="95" t="s">
        <v>80</v>
      </c>
      <c r="AB54" s="415"/>
      <c r="AC54" s="415"/>
      <c r="AF54" s="418"/>
      <c r="AG54" s="415"/>
    </row>
    <row r="55" spans="4:106" s="95" customFormat="1" x14ac:dyDescent="0.2">
      <c r="G55" s="95" t="s">
        <v>66</v>
      </c>
      <c r="H55" s="354">
        <f>B30</f>
        <v>0.04</v>
      </c>
      <c r="AB55" s="415"/>
      <c r="AC55" s="415"/>
      <c r="AD55" s="415"/>
      <c r="AF55" s="418"/>
      <c r="AG55" s="415"/>
      <c r="AH55" s="415"/>
      <c r="AI55" s="415"/>
      <c r="AJ55" s="415"/>
      <c r="AK55" s="415"/>
    </row>
    <row r="56" spans="4:106" s="95" customFormat="1" x14ac:dyDescent="0.2">
      <c r="G56" s="95" t="s">
        <v>99</v>
      </c>
      <c r="H56" s="95">
        <f>H64+H65</f>
        <v>2.8186643835616437E-5</v>
      </c>
      <c r="AB56" s="415"/>
      <c r="AC56" s="415"/>
      <c r="AD56" s="415"/>
      <c r="AF56" s="418"/>
      <c r="AG56" s="415"/>
      <c r="AH56" s="415"/>
      <c r="AI56" s="415"/>
      <c r="AJ56" s="415"/>
      <c r="AK56" s="415"/>
    </row>
    <row r="57" spans="4:106" s="95" customFormat="1" x14ac:dyDescent="0.2">
      <c r="G57" s="95" t="s">
        <v>109</v>
      </c>
      <c r="H57" s="95">
        <v>10950</v>
      </c>
      <c r="I57" s="95" t="s">
        <v>110</v>
      </c>
      <c r="AB57" s="415"/>
      <c r="AC57" s="415"/>
      <c r="AD57" s="415"/>
      <c r="AF57" s="418"/>
      <c r="AG57" s="415"/>
      <c r="AH57" s="415"/>
      <c r="AI57" s="415"/>
      <c r="AJ57" s="415"/>
      <c r="AK57" s="415"/>
    </row>
    <row r="58" spans="4:106" s="95" customFormat="1" x14ac:dyDescent="0.2">
      <c r="G58" s="95" t="s">
        <v>120</v>
      </c>
      <c r="H58" s="95">
        <v>240</v>
      </c>
      <c r="I58" s="95" t="s">
        <v>121</v>
      </c>
      <c r="AB58" s="415"/>
      <c r="AC58" s="415"/>
      <c r="AF58" s="418"/>
      <c r="AG58" s="415"/>
      <c r="AH58" s="415"/>
      <c r="AI58" s="415"/>
      <c r="AJ58" s="415"/>
      <c r="AK58" s="415"/>
    </row>
    <row r="59" spans="4:106" s="95" customFormat="1" x14ac:dyDescent="0.2">
      <c r="G59" s="95" t="s">
        <v>130</v>
      </c>
      <c r="H59" s="95">
        <v>0.26</v>
      </c>
      <c r="AB59" s="415"/>
      <c r="AC59" s="415"/>
      <c r="AF59" s="415"/>
      <c r="AG59" s="415"/>
      <c r="AH59" s="415"/>
      <c r="AI59" s="415"/>
      <c r="AJ59" s="415"/>
      <c r="AK59" s="415"/>
    </row>
    <row r="60" spans="4:106" s="95" customFormat="1" x14ac:dyDescent="0.2">
      <c r="G60" s="95" t="s">
        <v>137</v>
      </c>
      <c r="H60" s="95">
        <v>0.42</v>
      </c>
      <c r="I60" s="95" t="s">
        <v>80</v>
      </c>
      <c r="AB60" s="415"/>
      <c r="AC60" s="415"/>
      <c r="AF60" s="415"/>
      <c r="AG60" s="415"/>
      <c r="AH60" s="415"/>
      <c r="AI60" s="415"/>
      <c r="AJ60" s="415"/>
      <c r="AK60" s="415"/>
    </row>
    <row r="61" spans="4:106" s="95" customFormat="1" x14ac:dyDescent="0.2">
      <c r="G61" s="95" t="s">
        <v>143</v>
      </c>
      <c r="H61" s="95">
        <f>H65+(0.693/H67)</f>
        <v>4.9501186643835612E-2</v>
      </c>
      <c r="I61" s="95" t="s">
        <v>144</v>
      </c>
      <c r="AB61" s="415"/>
      <c r="AC61" s="415"/>
      <c r="AD61" s="415"/>
      <c r="AF61" s="415"/>
      <c r="AG61" s="415"/>
      <c r="AH61" s="415"/>
      <c r="AI61" s="415"/>
      <c r="AJ61" s="415"/>
      <c r="AK61" s="415"/>
      <c r="DA61" s="354"/>
    </row>
    <row r="62" spans="4:106" s="95" customFormat="1" x14ac:dyDescent="0.2">
      <c r="G62" s="95" t="s">
        <v>148</v>
      </c>
      <c r="H62" s="95">
        <v>60</v>
      </c>
      <c r="I62" s="95" t="s">
        <v>110</v>
      </c>
      <c r="AB62" s="415"/>
      <c r="AC62" s="415"/>
      <c r="AD62" s="415"/>
      <c r="AF62" s="418"/>
      <c r="AG62" s="415"/>
      <c r="AH62" s="415"/>
      <c r="AI62" s="415"/>
      <c r="AJ62" s="415"/>
      <c r="AK62" s="415"/>
    </row>
    <row r="63" spans="4:106" s="95" customFormat="1" x14ac:dyDescent="0.2">
      <c r="G63" s="95" t="s">
        <v>150</v>
      </c>
      <c r="H63" s="95">
        <v>2</v>
      </c>
      <c r="I63" s="95" t="s">
        <v>121</v>
      </c>
      <c r="AB63" s="415"/>
      <c r="AC63" s="415"/>
      <c r="AD63" s="415"/>
      <c r="AF63" s="418"/>
      <c r="AG63" s="415"/>
      <c r="AH63" s="415"/>
      <c r="AI63" s="415"/>
      <c r="AJ63" s="415"/>
      <c r="AK63" s="415"/>
    </row>
    <row r="64" spans="4:106"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1.1866438356164383E-6</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B31</f>
        <v>0.2</v>
      </c>
      <c r="AB68" s="415"/>
      <c r="AC68" s="420"/>
      <c r="AD68" s="415"/>
      <c r="AF68" s="418"/>
      <c r="AG68" s="415"/>
      <c r="AH68" s="415"/>
      <c r="AI68" s="415"/>
      <c r="AJ68" s="415"/>
      <c r="AK68" s="415"/>
    </row>
    <row r="69" spans="7:105" s="95" customFormat="1" x14ac:dyDescent="0.2">
      <c r="G69" s="95" t="s">
        <v>453</v>
      </c>
      <c r="H69" s="354">
        <f>B21</f>
        <v>584000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S7Ucr92oVU9DEKxHuD7iBEBjvNoMksObhgL04KTIs6Ijd4Q/on3+G1yO8ekPaOgCbRrbT4fVphVLFo87u70raA==" saltValue="lz0mvgupk7l1ljLjTKNy+w==" spinCount="100000" sheet="1" objects="1" scenarios="1" formatColumns="0" formatRows="0"/>
  <mergeCells count="4">
    <mergeCell ref="A1:C4"/>
    <mergeCell ref="CH34:CL37"/>
    <mergeCell ref="BK36:BO39"/>
    <mergeCell ref="AF43:AH4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F86"/>
  <sheetViews>
    <sheetView workbookViewId="0">
      <pane xSplit="3" ySplit="4" topLeftCell="D5" activePane="bottomRight" state="frozen"/>
      <selection pane="topRight" activeCell="D1" sqref="D1"/>
      <selection pane="bottomLeft" activeCell="A5" sqref="A5"/>
      <selection pane="bottomRight" activeCell="D5" sqref="D5"/>
    </sheetView>
  </sheetViews>
  <sheetFormatPr defaultRowHeight="12.75" x14ac:dyDescent="0.2"/>
  <cols>
    <col min="1" max="1" width="14.42578125" bestFit="1" customWidth="1"/>
    <col min="2" max="2" width="9.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2" width="15.42578125"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85546875" bestFit="1" customWidth="1"/>
    <col min="115" max="115" width="9.28515625" bestFit="1" customWidth="1"/>
    <col min="116" max="116" width="7.7109375" bestFit="1" customWidth="1"/>
    <col min="117" max="117" width="8.8554687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1" width="8.28515625" bestFit="1" customWidth="1"/>
    <col min="162" max="162" width="8.8554687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5" thickTop="1" x14ac:dyDescent="0.2">
      <c r="A1" s="484" t="s">
        <v>450</v>
      </c>
      <c r="B1" s="485"/>
      <c r="C1" s="486"/>
      <c r="D1" s="14" t="s">
        <v>3</v>
      </c>
      <c r="E1" s="15"/>
      <c r="F1" s="15" t="s">
        <v>460</v>
      </c>
      <c r="G1" s="16" t="s">
        <v>3</v>
      </c>
      <c r="H1" s="17"/>
      <c r="I1" s="17" t="s">
        <v>460</v>
      </c>
      <c r="J1" s="18" t="s">
        <v>3</v>
      </c>
      <c r="K1" s="19"/>
      <c r="L1" s="20" t="s">
        <v>460</v>
      </c>
      <c r="M1" s="21" t="s">
        <v>13</v>
      </c>
      <c r="N1" s="22" t="s">
        <v>14</v>
      </c>
      <c r="O1" s="22" t="s">
        <v>460</v>
      </c>
      <c r="P1" s="23" t="s">
        <v>13</v>
      </c>
      <c r="Q1" s="22" t="s">
        <v>157</v>
      </c>
      <c r="R1" s="22" t="s">
        <v>460</v>
      </c>
      <c r="S1" s="23" t="s">
        <v>13</v>
      </c>
      <c r="T1" s="22" t="s">
        <v>16</v>
      </c>
      <c r="U1" s="24" t="s">
        <v>460</v>
      </c>
      <c r="V1" s="25" t="s">
        <v>1</v>
      </c>
      <c r="W1" s="26" t="s">
        <v>2</v>
      </c>
      <c r="X1" s="26" t="s">
        <v>460</v>
      </c>
      <c r="Y1" s="27" t="s">
        <v>1</v>
      </c>
      <c r="Z1" s="26" t="s">
        <v>4</v>
      </c>
      <c r="AA1" s="28" t="s">
        <v>460</v>
      </c>
      <c r="AB1" s="29" t="s">
        <v>1</v>
      </c>
      <c r="AC1" s="30" t="s">
        <v>4</v>
      </c>
      <c r="AD1" s="31" t="s">
        <v>5</v>
      </c>
      <c r="AE1" s="30" t="s">
        <v>2</v>
      </c>
      <c r="AF1" s="30" t="s">
        <v>7</v>
      </c>
      <c r="AG1" s="31" t="s">
        <v>6</v>
      </c>
      <c r="AH1" s="32" t="s">
        <v>15</v>
      </c>
      <c r="AI1" s="33" t="s">
        <v>13</v>
      </c>
      <c r="AJ1" s="34" t="s">
        <v>14</v>
      </c>
      <c r="AK1" s="34" t="s">
        <v>460</v>
      </c>
      <c r="AL1" s="35" t="s">
        <v>13</v>
      </c>
      <c r="AM1" s="34" t="s">
        <v>157</v>
      </c>
      <c r="AN1" s="34" t="s">
        <v>460</v>
      </c>
      <c r="AO1" s="35" t="s">
        <v>13</v>
      </c>
      <c r="AP1" s="34" t="s">
        <v>16</v>
      </c>
      <c r="AQ1" s="36" t="s">
        <v>460</v>
      </c>
      <c r="AR1" s="37" t="s">
        <v>13</v>
      </c>
      <c r="AS1" s="38" t="s">
        <v>14</v>
      </c>
      <c r="AT1" s="38" t="s">
        <v>460</v>
      </c>
      <c r="AU1" s="39" t="s">
        <v>13</v>
      </c>
      <c r="AV1" s="38" t="s">
        <v>157</v>
      </c>
      <c r="AW1" s="38" t="s">
        <v>460</v>
      </c>
      <c r="AX1" s="39" t="s">
        <v>13</v>
      </c>
      <c r="AY1" s="38" t="s">
        <v>16</v>
      </c>
      <c r="AZ1" s="40" t="s">
        <v>460</v>
      </c>
      <c r="BA1" s="37" t="s">
        <v>13</v>
      </c>
      <c r="BB1" s="38" t="s">
        <v>14</v>
      </c>
      <c r="BC1" s="38" t="s">
        <v>460</v>
      </c>
      <c r="BD1" s="39" t="s">
        <v>13</v>
      </c>
      <c r="BE1" s="38" t="s">
        <v>157</v>
      </c>
      <c r="BF1" s="38" t="s">
        <v>460</v>
      </c>
      <c r="BG1" s="39" t="s">
        <v>13</v>
      </c>
      <c r="BH1" s="38" t="s">
        <v>16</v>
      </c>
      <c r="BI1" s="40" t="s">
        <v>460</v>
      </c>
      <c r="BJ1" s="37" t="s">
        <v>13</v>
      </c>
      <c r="BK1" s="38" t="s">
        <v>14</v>
      </c>
      <c r="BL1" s="38" t="s">
        <v>460</v>
      </c>
      <c r="BM1" s="39" t="s">
        <v>13</v>
      </c>
      <c r="BN1" s="38" t="s">
        <v>157</v>
      </c>
      <c r="BO1" s="38" t="s">
        <v>460</v>
      </c>
      <c r="BP1" s="39" t="s">
        <v>13</v>
      </c>
      <c r="BQ1" s="38" t="s">
        <v>16</v>
      </c>
      <c r="BR1" s="40" t="s">
        <v>460</v>
      </c>
      <c r="BS1" s="41" t="s">
        <v>8</v>
      </c>
      <c r="BT1" s="42"/>
      <c r="BU1" s="42" t="s">
        <v>460</v>
      </c>
      <c r="BV1" s="41" t="s">
        <v>8</v>
      </c>
      <c r="BW1" s="42"/>
      <c r="BX1" s="42" t="s">
        <v>460</v>
      </c>
      <c r="BY1" s="41" t="s">
        <v>434</v>
      </c>
      <c r="BZ1" s="42"/>
      <c r="CA1" s="42" t="s">
        <v>460</v>
      </c>
      <c r="CB1" s="41" t="s">
        <v>8</v>
      </c>
      <c r="CC1" s="42" t="s">
        <v>14</v>
      </c>
      <c r="CD1" s="42" t="s">
        <v>460</v>
      </c>
      <c r="CE1" s="41" t="s">
        <v>8</v>
      </c>
      <c r="CF1" s="42" t="s">
        <v>157</v>
      </c>
      <c r="CG1" s="42" t="s">
        <v>460</v>
      </c>
      <c r="CH1" s="41" t="s">
        <v>8</v>
      </c>
      <c r="CI1" s="42" t="s">
        <v>16</v>
      </c>
      <c r="CJ1" s="43" t="s">
        <v>460</v>
      </c>
      <c r="CK1" s="41" t="s">
        <v>8</v>
      </c>
      <c r="CL1" s="42" t="s">
        <v>331</v>
      </c>
      <c r="CM1" s="43" t="s">
        <v>460</v>
      </c>
      <c r="CN1" s="41" t="s">
        <v>8</v>
      </c>
      <c r="CO1" s="42" t="s">
        <v>331</v>
      </c>
      <c r="CP1" s="43" t="s">
        <v>460</v>
      </c>
      <c r="CQ1" s="41" t="s">
        <v>8</v>
      </c>
      <c r="CR1" s="42" t="s">
        <v>331</v>
      </c>
      <c r="CS1" s="43" t="s">
        <v>460</v>
      </c>
      <c r="CT1" s="44" t="s">
        <v>321</v>
      </c>
      <c r="CU1" s="45"/>
      <c r="CV1" s="46" t="s">
        <v>460</v>
      </c>
      <c r="CW1" s="47" t="s">
        <v>321</v>
      </c>
      <c r="CX1" s="48"/>
      <c r="CY1" s="48" t="s">
        <v>460</v>
      </c>
      <c r="CZ1" s="49" t="s">
        <v>9</v>
      </c>
      <c r="DA1" s="50"/>
      <c r="DB1" s="51" t="s">
        <v>460</v>
      </c>
      <c r="DC1" s="52" t="s">
        <v>9</v>
      </c>
      <c r="DD1" s="52"/>
      <c r="DE1" s="52" t="s">
        <v>460</v>
      </c>
      <c r="DF1" s="53" t="s">
        <v>9</v>
      </c>
      <c r="DG1" s="54" t="s">
        <v>10</v>
      </c>
      <c r="DH1" s="54" t="s">
        <v>460</v>
      </c>
      <c r="DI1" s="55" t="s">
        <v>9</v>
      </c>
      <c r="DJ1" s="54" t="s">
        <v>11</v>
      </c>
      <c r="DK1" s="54" t="s">
        <v>460</v>
      </c>
      <c r="DL1" s="55" t="s">
        <v>9</v>
      </c>
      <c r="DM1" s="54" t="s">
        <v>12</v>
      </c>
      <c r="DN1" s="54" t="s">
        <v>460</v>
      </c>
      <c r="DO1" s="55" t="s">
        <v>9</v>
      </c>
      <c r="DP1" s="54" t="s">
        <v>12</v>
      </c>
      <c r="DQ1" s="56" t="s">
        <v>460</v>
      </c>
      <c r="DR1" s="57" t="s">
        <v>9</v>
      </c>
      <c r="DS1" s="57"/>
      <c r="DT1" s="57" t="s">
        <v>460</v>
      </c>
      <c r="DU1" s="58" t="s">
        <v>9</v>
      </c>
      <c r="DV1" s="59" t="s">
        <v>10</v>
      </c>
      <c r="DW1" s="59" t="s">
        <v>460</v>
      </c>
      <c r="DX1" s="60" t="s">
        <v>9</v>
      </c>
      <c r="DY1" s="59" t="s">
        <v>11</v>
      </c>
      <c r="DZ1" s="59" t="s">
        <v>460</v>
      </c>
      <c r="EA1" s="60" t="s">
        <v>9</v>
      </c>
      <c r="EB1" s="59" t="s">
        <v>12</v>
      </c>
      <c r="EC1" s="59" t="s">
        <v>460</v>
      </c>
      <c r="ED1" s="60" t="s">
        <v>9</v>
      </c>
      <c r="EE1" s="59" t="s">
        <v>12</v>
      </c>
      <c r="EF1" s="61" t="s">
        <v>460</v>
      </c>
      <c r="EG1" s="62" t="s">
        <v>9</v>
      </c>
      <c r="EH1" s="62"/>
      <c r="EI1" s="62" t="s">
        <v>460</v>
      </c>
      <c r="EJ1" s="63" t="s">
        <v>9</v>
      </c>
      <c r="EK1" s="64" t="s">
        <v>10</v>
      </c>
      <c r="EL1" s="64" t="s">
        <v>460</v>
      </c>
      <c r="EM1" s="65" t="s">
        <v>9</v>
      </c>
      <c r="EN1" s="64" t="s">
        <v>11</v>
      </c>
      <c r="EO1" s="64" t="s">
        <v>460</v>
      </c>
      <c r="EP1" s="65" t="s">
        <v>9</v>
      </c>
      <c r="EQ1" s="64" t="s">
        <v>12</v>
      </c>
      <c r="ER1" s="64" t="s">
        <v>460</v>
      </c>
      <c r="ES1" s="65" t="s">
        <v>9</v>
      </c>
      <c r="ET1" s="64" t="s">
        <v>12</v>
      </c>
      <c r="EU1" s="66" t="s">
        <v>460</v>
      </c>
      <c r="EV1" s="67" t="s">
        <v>9</v>
      </c>
      <c r="EW1" s="67"/>
      <c r="EX1" s="67" t="s">
        <v>460</v>
      </c>
      <c r="EY1" s="68" t="s">
        <v>9</v>
      </c>
      <c r="EZ1" s="69" t="s">
        <v>10</v>
      </c>
      <c r="FA1" s="69" t="s">
        <v>460</v>
      </c>
      <c r="FB1" s="70" t="s">
        <v>9</v>
      </c>
      <c r="FC1" s="69" t="s">
        <v>11</v>
      </c>
      <c r="FD1" s="69" t="s">
        <v>460</v>
      </c>
      <c r="FE1" s="70" t="s">
        <v>9</v>
      </c>
      <c r="FF1" s="69" t="s">
        <v>12</v>
      </c>
      <c r="FG1" s="69" t="s">
        <v>460</v>
      </c>
      <c r="FH1" s="70" t="s">
        <v>9</v>
      </c>
      <c r="FI1" s="69" t="s">
        <v>12</v>
      </c>
      <c r="FJ1" s="71" t="s">
        <v>460</v>
      </c>
      <c r="FK1" s="72" t="s">
        <v>9</v>
      </c>
      <c r="FL1" s="73"/>
      <c r="FM1" s="74" t="s">
        <v>460</v>
      </c>
      <c r="FN1" s="75" t="s">
        <v>9</v>
      </c>
      <c r="FO1" s="76" t="s">
        <v>10</v>
      </c>
      <c r="FP1" s="76" t="s">
        <v>460</v>
      </c>
      <c r="FQ1" s="77" t="s">
        <v>9</v>
      </c>
      <c r="FR1" s="76" t="s">
        <v>11</v>
      </c>
      <c r="FS1" s="76" t="s">
        <v>460</v>
      </c>
      <c r="FT1" s="77" t="s">
        <v>9</v>
      </c>
      <c r="FU1" s="76" t="s">
        <v>12</v>
      </c>
      <c r="FV1" s="76" t="s">
        <v>460</v>
      </c>
      <c r="FW1" s="77" t="s">
        <v>9</v>
      </c>
      <c r="FX1" s="76" t="s">
        <v>12</v>
      </c>
      <c r="FY1" s="78" t="s">
        <v>460</v>
      </c>
      <c r="FZ1" s="79" t="s">
        <v>9</v>
      </c>
      <c r="GA1" s="80"/>
      <c r="GB1" s="81" t="s">
        <v>460</v>
      </c>
      <c r="GC1" s="82" t="s">
        <v>9</v>
      </c>
      <c r="GD1" s="83" t="s">
        <v>10</v>
      </c>
      <c r="GE1" s="83" t="s">
        <v>460</v>
      </c>
      <c r="GF1" s="84" t="s">
        <v>9</v>
      </c>
      <c r="GG1" s="83" t="s">
        <v>11</v>
      </c>
      <c r="GH1" s="83" t="s">
        <v>460</v>
      </c>
      <c r="GI1" s="84" t="s">
        <v>9</v>
      </c>
      <c r="GJ1" s="83" t="s">
        <v>12</v>
      </c>
      <c r="GK1" s="83" t="s">
        <v>460</v>
      </c>
      <c r="GL1" s="84" t="s">
        <v>9</v>
      </c>
      <c r="GM1" s="83" t="s">
        <v>12</v>
      </c>
      <c r="GN1" s="85" t="s">
        <v>460</v>
      </c>
      <c r="GO1" s="86" t="s">
        <v>9</v>
      </c>
      <c r="GP1" s="87"/>
      <c r="GQ1" s="88" t="s">
        <v>460</v>
      </c>
      <c r="GR1" s="89" t="s">
        <v>9</v>
      </c>
      <c r="GS1" s="90" t="s">
        <v>10</v>
      </c>
      <c r="GT1" s="90" t="s">
        <v>460</v>
      </c>
      <c r="GU1" s="91" t="s">
        <v>9</v>
      </c>
      <c r="GV1" s="90" t="s">
        <v>11</v>
      </c>
      <c r="GW1" s="90" t="s">
        <v>460</v>
      </c>
      <c r="GX1" s="91" t="s">
        <v>9</v>
      </c>
      <c r="GY1" s="90" t="s">
        <v>12</v>
      </c>
      <c r="GZ1" s="90" t="s">
        <v>460</v>
      </c>
      <c r="HA1" s="91" t="s">
        <v>9</v>
      </c>
      <c r="HB1" s="90" t="s">
        <v>12</v>
      </c>
      <c r="HC1" s="90" t="s">
        <v>460</v>
      </c>
      <c r="HD1" s="92" t="s">
        <v>17</v>
      </c>
      <c r="HE1" s="93" t="s">
        <v>460</v>
      </c>
      <c r="HF1" s="94" t="s">
        <v>18</v>
      </c>
    </row>
    <row r="2" spans="1:214" s="95" customFormat="1" x14ac:dyDescent="0.2">
      <c r="A2" s="487"/>
      <c r="B2" s="488"/>
      <c r="C2" s="489"/>
      <c r="D2" s="96"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x14ac:dyDescent="0.2">
      <c r="A3" s="487"/>
      <c r="B3" s="488"/>
      <c r="C3" s="489"/>
      <c r="D3" s="96" t="s">
        <v>37</v>
      </c>
      <c r="E3" s="181">
        <f>1/((1/E20)+(1/E21))</f>
        <v>0.32323625913806608</v>
      </c>
      <c r="F3" s="182"/>
      <c r="G3" s="98"/>
      <c r="H3" s="181">
        <f>1/((1/H11)+(1/H12))</f>
        <v>0.69012544990953739</v>
      </c>
      <c r="I3" s="183"/>
      <c r="J3" s="100"/>
      <c r="K3" s="181">
        <f>1/((1/K15)+(1/K16))</f>
        <v>23.472827109655821</v>
      </c>
      <c r="L3" s="184"/>
      <c r="M3" s="103" t="s">
        <v>39</v>
      </c>
      <c r="N3" s="185">
        <f>(N5*N6*N7)/((1-EXP(-N7*N6))*N10*N15*(N9/365)*N13*(((N14/24)*N12)+((N16/24)*N11)))</f>
        <v>23.47282779256243</v>
      </c>
      <c r="O3" s="105"/>
      <c r="P3" s="106" t="s">
        <v>39</v>
      </c>
      <c r="Q3" s="185">
        <f>(Q5*Q6*Q7)/((1-EXP(-Q7*Q6))*Q10*Q15*(Q9/365)*Q13*(((Q14/24)*Q12)+((Q16/24)*Q11)))</f>
        <v>202080.79155424304</v>
      </c>
      <c r="R3" s="105"/>
      <c r="S3" s="106" t="s">
        <v>39</v>
      </c>
      <c r="T3" s="185">
        <f>(T5*T6*T7)/((1-EXP(-T7*T6))*T10*T15*(T9/365)*T13*(((T14/24)*T12)+((T16/24)*T11)))</f>
        <v>27.684225268557636</v>
      </c>
      <c r="U3" s="107"/>
      <c r="V3" s="108" t="s">
        <v>38</v>
      </c>
      <c r="W3" s="186">
        <f>1/((1/W18)+(1/W19))</f>
        <v>800.78612149711228</v>
      </c>
      <c r="X3" s="187"/>
      <c r="Y3" s="188" t="s">
        <v>38</v>
      </c>
      <c r="Z3" s="186">
        <f>1/((1/Z18)+(1/Z19))</f>
        <v>720.70750934740113</v>
      </c>
      <c r="AA3" s="189"/>
      <c r="AB3" s="112"/>
      <c r="AC3" s="191">
        <f>1/((1/AC38)+(1/AC39))</f>
        <v>34.169863705673457</v>
      </c>
      <c r="AD3" s="191">
        <f>1/((1/AD38)+(1/AD39))</f>
        <v>85.424654882250778</v>
      </c>
      <c r="AE3" s="191">
        <f>1/((1/AE38)+(1/AE39))</f>
        <v>37.966515228526056</v>
      </c>
      <c r="AF3" s="191">
        <f>1/((1/AF38)+(1/AF39))</f>
        <v>24.405998903834206</v>
      </c>
      <c r="AG3" s="191">
        <f>1/((1/AG38)+(1/AG39))</f>
        <v>431.99014203538621</v>
      </c>
      <c r="AH3" s="192"/>
      <c r="AI3" s="116" t="s">
        <v>39</v>
      </c>
      <c r="AJ3" s="193">
        <f>(AJ5*AJ6*AJ7)/((1-EXP(-AJ7*AJ6))*AJ10*AJ15*(AJ9/365)*AJ13*((AJ14*AJ12)+(AJ16*AJ11)))</f>
        <v>85.424662185472457</v>
      </c>
      <c r="AK3" s="118"/>
      <c r="AL3" s="119" t="s">
        <v>39</v>
      </c>
      <c r="AM3" s="193">
        <f>(AM5*AM6*AM7)/((1-EXP(-AM7*AM6))*AM10*AM15*(AM9/365)*AM13*((AM14*AM12)+(AM16*AM11)))</f>
        <v>735432.62470335688</v>
      </c>
      <c r="AN3" s="118"/>
      <c r="AO3" s="119" t="s">
        <v>39</v>
      </c>
      <c r="AP3" s="193">
        <f>(AP5*AP6*AP7)/((1-EXP(-AP7*AP6))*AP10*AP15*(AP9/365)*AP13*((AP14*AP12)+(AP16*AP11)))</f>
        <v>100.75120101986181</v>
      </c>
      <c r="AQ3" s="120"/>
      <c r="AR3" s="121" t="s">
        <v>39</v>
      </c>
      <c r="AS3" s="194">
        <f>(AS5*AS6*AS7)/((1-EXP(-AS7*AS6))*AS10*AS15*(AS9/365)*AS13*((AS14*AS12)+(AS16*AS11)))</f>
        <v>37.966516526876646</v>
      </c>
      <c r="AT3" s="123"/>
      <c r="AU3" s="124" t="s">
        <v>39</v>
      </c>
      <c r="AV3" s="194">
        <f>(AV5*AV6*AV7)/((1-EXP(-AV7*AV6))*AV10*AV15*(AV9/365)*AV13*((AV14*AV12)+(AV16*AV11)))</f>
        <v>326858.94431260298</v>
      </c>
      <c r="AW3" s="123"/>
      <c r="AX3" s="124" t="s">
        <v>39</v>
      </c>
      <c r="AY3" s="194">
        <f>(AY5*AY6*AY7)/((1-EXP(-AY7*AY6))*AY10*AY15*(AY9/365)*AY13*((AY14*AY12)+(AY16*AY11)))</f>
        <v>44.778311564383024</v>
      </c>
      <c r="AZ3" s="125"/>
      <c r="BA3" s="121" t="s">
        <v>39</v>
      </c>
      <c r="BB3" s="194">
        <f>(BB5*BB6*BB7)/((1-EXP(-BB7*BB6))*BB10*BB15*(BB9/365)*BB13*((BB14*BB12)+(BB16*BB11)))</f>
        <v>34.169864874188988</v>
      </c>
      <c r="BC3" s="123"/>
      <c r="BD3" s="124" t="s">
        <v>39</v>
      </c>
      <c r="BE3" s="194">
        <f>(BE5*BE6*BE7)/((1-EXP(-BE7*BE6))*BE10*BE15*(BE9/365)*BE13*((BE14*BE12)+(BE16*BE11)))</f>
        <v>294173.04988134274</v>
      </c>
      <c r="BF3" s="123"/>
      <c r="BG3" s="124" t="s">
        <v>39</v>
      </c>
      <c r="BH3" s="194">
        <f>(BH5*BH6*BH7)/((1-EXP(-BH7*BH6))*BH10*BH15*(BH9/365)*BH13*((BH14*BH12)+(BH16*BH11)))</f>
        <v>40.300480407944725</v>
      </c>
      <c r="BI3" s="125"/>
      <c r="BJ3" s="121" t="s">
        <v>39</v>
      </c>
      <c r="BK3" s="194">
        <f>(BK5*BK6*BK7)/((1-EXP(-BK7*BK6))*BK12*BK16*(BK9/365)*BK14*BK15*BK13)</f>
        <v>188291.72865489073</v>
      </c>
      <c r="BL3" s="123"/>
      <c r="BM3" s="124" t="s">
        <v>39</v>
      </c>
      <c r="BN3" s="194">
        <f>(BN5*BN6*BN7)/((1-EXP(-BN7*BN6))*BN12*BN16*(BN9/365)*BN14*BN15*BN13)</f>
        <v>393068.81174942176</v>
      </c>
      <c r="BO3" s="123"/>
      <c r="BP3" s="124" t="s">
        <v>39</v>
      </c>
      <c r="BQ3" s="194">
        <f>(BQ5*BQ6*BQ7)/((1-EXP(-BQ7*BQ6))*BQ12*BQ16*(BQ9/365)*BQ14*BQ15*BQ13)</f>
        <v>228389.86761883393</v>
      </c>
      <c r="BR3" s="125"/>
      <c r="BS3" s="126" t="s">
        <v>37</v>
      </c>
      <c r="BT3" s="195">
        <f>1/((1/BT21)+(1/BT22))</f>
        <v>36.202461023463407</v>
      </c>
      <c r="BU3" s="128"/>
      <c r="BV3" s="126"/>
      <c r="BW3" s="195">
        <f>1/((1/BW12))</f>
        <v>437846.75363622728</v>
      </c>
      <c r="BX3" s="128"/>
      <c r="BY3" s="126"/>
      <c r="BZ3" s="195" t="e">
        <f>1/((1/BZ13)+(1/BZ14)+(1/BZ15))</f>
        <v>#DIV/0!</v>
      </c>
      <c r="CA3" s="128"/>
      <c r="CB3" s="126" t="s">
        <v>39</v>
      </c>
      <c r="CC3" s="195">
        <f>(CC5*CC6*CC7)/((1-EXP(-CC7*CC6))*CC10*CC14*(CC9/365)*CC12*(CC13/24)*CC11)</f>
        <v>17724.797631595073</v>
      </c>
      <c r="CD3" s="128"/>
      <c r="CE3" s="126" t="s">
        <v>39</v>
      </c>
      <c r="CF3" s="195">
        <f>(CF5*CF6*CF7)/((1-EXP(-CF7*CF6))*CF10*CF14*(CF9/365)*CF12*(CF13/24)*CF11)</f>
        <v>325300214.11994493</v>
      </c>
      <c r="CG3" s="128"/>
      <c r="CH3" s="126" t="s">
        <v>39</v>
      </c>
      <c r="CI3" s="195">
        <f>(CI5*CI6*CI7)/((1-EXP(-CI7*CI6))*CI10*CI14*(CI9/365)*CI12*(CI13/24)*CI11)</f>
        <v>26251.135304388856</v>
      </c>
      <c r="CJ3" s="129"/>
      <c r="CK3" s="126" t="s">
        <v>17</v>
      </c>
      <c r="CL3" s="195" t="e">
        <f>CL5/(CL6*CL7*CL8*CL9)</f>
        <v>#DIV/0!</v>
      </c>
      <c r="CM3" s="129"/>
      <c r="CN3" s="126" t="s">
        <v>17</v>
      </c>
      <c r="CO3" s="195" t="e">
        <f>CL3/(CO5*((CO10*CO12*CO13*(CO6+CO7))+(CO11*CO12)))</f>
        <v>#DIV/0!</v>
      </c>
      <c r="CP3" s="129"/>
      <c r="CQ3" s="126" t="s">
        <v>17</v>
      </c>
      <c r="CR3" s="195" t="e">
        <f>CL3/(CR5*CR6*(1/CR7))</f>
        <v>#DIV/0!</v>
      </c>
      <c r="CS3" s="129"/>
      <c r="CT3" s="130"/>
      <c r="CU3" s="196" t="e">
        <f>1/((1/CU14)+(1/CU15)+(1/CU16+(1/CU17)))</f>
        <v>#DIV/0!</v>
      </c>
      <c r="CV3" s="197"/>
      <c r="CW3" s="133" t="s">
        <v>37</v>
      </c>
      <c r="CX3" s="198">
        <f>1/((1/CX20)+(1/CX21))</f>
        <v>0.20148714070426654</v>
      </c>
      <c r="CY3" s="199"/>
      <c r="CZ3" s="200"/>
      <c r="DA3" s="201" t="e">
        <f>1/((1/DA13)+(1/DA14)+(1/DA15)+(1/DA16))</f>
        <v>#DIV/0!</v>
      </c>
      <c r="DB3" s="202"/>
      <c r="DC3" s="138"/>
      <c r="DD3" s="203" t="e">
        <f>DD7</f>
        <v>#DIV/0!</v>
      </c>
      <c r="DE3" s="204" t="s">
        <v>421</v>
      </c>
      <c r="DF3" s="139"/>
      <c r="DG3" s="205" t="e">
        <f>DD7/((1/DG24)*(DG5+DG6+DG7))</f>
        <v>#DIV/0!</v>
      </c>
      <c r="DH3" s="206" t="s">
        <v>421</v>
      </c>
      <c r="DI3" s="141"/>
      <c r="DJ3" s="205" t="e">
        <f>DD7/(DJ5+DJ6)</f>
        <v>#DIV/0!</v>
      </c>
      <c r="DK3" s="206" t="s">
        <v>421</v>
      </c>
      <c r="DL3" s="141"/>
      <c r="DM3" s="205" t="e">
        <f>(DD7)/(DM5+DM6)</f>
        <v>#DIV/0!</v>
      </c>
      <c r="DN3" s="206"/>
      <c r="DO3" s="141"/>
      <c r="DP3" s="205">
        <f>-(DP5+DP6+DP7)/(DP23+DP24)</f>
        <v>-49.755719687869203</v>
      </c>
      <c r="DQ3" s="207"/>
      <c r="DR3" s="143"/>
      <c r="DS3" s="208" t="e">
        <f>DS7</f>
        <v>#DIV/0!</v>
      </c>
      <c r="DT3" s="209" t="s">
        <v>421</v>
      </c>
      <c r="DU3" s="144"/>
      <c r="DV3" s="210" t="e">
        <f>DS7/(DV5*DV6)</f>
        <v>#DIV/0!</v>
      </c>
      <c r="DW3" s="211"/>
      <c r="DX3" s="146"/>
      <c r="DY3" s="210" t="e">
        <f>DS7/(DY9*((DY10*DY12*DY13*(DY5+DY6))+(DY11*DY12)))</f>
        <v>#DIV/0!</v>
      </c>
      <c r="DZ3" s="211" t="s">
        <v>421</v>
      </c>
      <c r="EA3" s="146"/>
      <c r="EB3" s="210" t="e">
        <f>DS7/(EB9*((EB10*EB12*EB13*(EB5+EB6))+(EB11*EB12)))</f>
        <v>#DIV/0!</v>
      </c>
      <c r="EC3" s="211"/>
      <c r="ED3" s="146"/>
      <c r="EE3" s="210">
        <f>-EE15/((EE10*EE12*EE13*(EE5+EE6))+(EE11*EE12))</f>
        <v>-19.848975188781015</v>
      </c>
      <c r="EF3" s="212"/>
      <c r="EG3" s="148"/>
      <c r="EH3" s="213" t="e">
        <f>EH7</f>
        <v>#DIV/0!</v>
      </c>
      <c r="EI3" s="214" t="s">
        <v>421</v>
      </c>
      <c r="EJ3" s="149"/>
      <c r="EK3" s="215" t="e">
        <f>EH7/(EK5*EK6)</f>
        <v>#DIV/0!</v>
      </c>
      <c r="EL3" s="216"/>
      <c r="EM3" s="151"/>
      <c r="EN3" s="215" t="e">
        <f>EH7/(EN9*((EN10*EN12*EN13*(EN5+EN6))+(EN11*EN12)))</f>
        <v>#DIV/0!</v>
      </c>
      <c r="EO3" s="216" t="s">
        <v>421</v>
      </c>
      <c r="EP3" s="151"/>
      <c r="EQ3" s="215" t="e">
        <f>EH7/(EQ9*((EQ10*EQ12*EQ13*(EQ5+EQ6))+(EQ11*EQ12)))</f>
        <v>#DIV/0!</v>
      </c>
      <c r="ER3" s="216"/>
      <c r="ES3" s="151"/>
      <c r="ET3" s="215">
        <f>-ET15/((ET10*ET12*ET13*(ET5+ET6))+(ET11*ET12))</f>
        <v>-15.9039759939985</v>
      </c>
      <c r="EU3" s="217"/>
      <c r="EV3" s="218"/>
      <c r="EW3" s="219" t="e">
        <f>EW7</f>
        <v>#DIV/0!</v>
      </c>
      <c r="EX3" s="218" t="s">
        <v>421</v>
      </c>
      <c r="EY3" s="220"/>
      <c r="EZ3" s="221" t="e">
        <f>EW7/(EZ5*EZ6*(1/EZ7))</f>
        <v>#DIV/0!</v>
      </c>
      <c r="FA3" s="221"/>
      <c r="FB3" s="222"/>
      <c r="FC3" s="221" t="e">
        <f>EW7/(FC9*((FC10*FC12*FC13*(FC5+FC6))+(FC11*FC12)))</f>
        <v>#DIV/0!</v>
      </c>
      <c r="FD3" s="223" t="s">
        <v>421</v>
      </c>
      <c r="FE3" s="224"/>
      <c r="FF3" s="221" t="e">
        <f>EW7/(FF9*(FF10*FF12*FF13*(FF5*FF6))+(FF11*FF12))</f>
        <v>#DIV/0!</v>
      </c>
      <c r="FG3" s="221"/>
      <c r="FH3" s="222"/>
      <c r="FI3" s="221">
        <f>FI15/((FI10*FI12*FI13*(FI5+FI6))+(FI11*FI12))</f>
        <v>5.5555555555555554</v>
      </c>
      <c r="FJ3" s="225"/>
      <c r="FK3" s="226"/>
      <c r="FL3" s="227" t="e">
        <f>FL7</f>
        <v>#DIV/0!</v>
      </c>
      <c r="FM3" s="228"/>
      <c r="FN3" s="229"/>
      <c r="FO3" s="230" t="e">
        <f>FL7/(FR5*(1/FO7))</f>
        <v>#DIV/0!</v>
      </c>
      <c r="FP3" s="230"/>
      <c r="FQ3" s="231"/>
      <c r="FR3" s="230" t="e">
        <f>(FL7*FR6)/FR5</f>
        <v>#DIV/0!</v>
      </c>
      <c r="FS3" s="230"/>
      <c r="FT3" s="231"/>
      <c r="FU3" s="230" t="e">
        <f>(FL7*FU15)/FU14</f>
        <v>#DIV/0!</v>
      </c>
      <c r="FV3" s="230"/>
      <c r="FW3" s="231"/>
      <c r="FX3" s="230">
        <f>-FX29/FX30</f>
        <v>-8.199999999999999E-3</v>
      </c>
      <c r="FY3" s="232"/>
      <c r="FZ3" s="233"/>
      <c r="GA3" s="234" t="e">
        <f>GA7</f>
        <v>#DIV/0!</v>
      </c>
      <c r="GB3" s="235" t="s">
        <v>421</v>
      </c>
      <c r="GC3" s="236"/>
      <c r="GD3" s="237" t="e">
        <f>FL7/(GD5*GD6*(1/GD7))</f>
        <v>#DIV/0!</v>
      </c>
      <c r="GE3" s="237"/>
      <c r="GF3" s="238"/>
      <c r="GG3" s="237" t="e">
        <f>GA7/((GG9)*((GG10*GG12*GG13*(GG5+GG6))+(GG11*GG12)))</f>
        <v>#DIV/0!</v>
      </c>
      <c r="GH3" s="237" t="s">
        <v>421</v>
      </c>
      <c r="GI3" s="238"/>
      <c r="GJ3" s="237" t="e">
        <f>FL7/(GJ9*(GJ10*GJ12*GJ13*(GJ5*GJ6))+(GJ11*GJ12))</f>
        <v>#DIV/0!</v>
      </c>
      <c r="GK3" s="237"/>
      <c r="GL3" s="238"/>
      <c r="GM3" s="237">
        <f>GM15/((GM10*GM12*GM13*(GM5+GM6))+(GM11*GM12))</f>
        <v>5.5555555555555554</v>
      </c>
      <c r="GN3" s="239"/>
      <c r="GO3" s="240"/>
      <c r="GP3" s="241" t="e">
        <f>GP7</f>
        <v>#DIV/0!</v>
      </c>
      <c r="GQ3" s="242" t="s">
        <v>421</v>
      </c>
      <c r="GR3" s="243"/>
      <c r="GS3" s="244" t="e">
        <f>GP7/(GS5*GS6*(1/GS7))</f>
        <v>#DIV/0!</v>
      </c>
      <c r="GT3" s="244"/>
      <c r="GU3" s="245"/>
      <c r="GV3" s="244" t="e">
        <f>GP7/((GV9)*((GV10*GV12*GV13*(GV5+GV6))+(GV11*GV12)))</f>
        <v>#DIV/0!</v>
      </c>
      <c r="GW3" s="244" t="s">
        <v>421</v>
      </c>
      <c r="GX3" s="245"/>
      <c r="GY3" s="244" t="e">
        <f>GP7/((GY9*((GY10*GY12*GY13*(GY5+GY6))+(GY11*GY12))))</f>
        <v>#DIV/0!</v>
      </c>
      <c r="GZ3" s="244"/>
      <c r="HA3" s="245"/>
      <c r="HB3" s="244" t="e">
        <f>GP7/((HB10*HB12*HB13*(HB5+HB6))+(HB11*HB12))</f>
        <v>#DIV/0!</v>
      </c>
      <c r="HC3" s="246"/>
      <c r="HD3" s="247">
        <f>HE5*HE13*10^-3*(HE14+(HE9/HE10))*((HE11*HE7)/(1-EXP(-HE7*HE11)))</f>
        <v>2167.2494240641768</v>
      </c>
      <c r="HE3" s="248"/>
      <c r="HF3" s="180" t="s">
        <v>40</v>
      </c>
    </row>
    <row r="4" spans="1:214" s="95" customFormat="1" ht="13.5" thickBot="1" x14ac:dyDescent="0.25">
      <c r="A4" s="490"/>
      <c r="B4" s="491"/>
      <c r="C4" s="492"/>
      <c r="D4" s="249" t="s">
        <v>38</v>
      </c>
      <c r="E4" s="250">
        <f>1/((1/E22)+(1/E23))</f>
        <v>555.9790448044705</v>
      </c>
      <c r="F4" s="251"/>
      <c r="G4" s="252"/>
      <c r="H4" s="253"/>
      <c r="I4" s="254"/>
      <c r="J4" s="255" t="s">
        <v>460</v>
      </c>
      <c r="K4" s="256" t="s">
        <v>34</v>
      </c>
      <c r="L4" s="257"/>
      <c r="M4" s="258"/>
      <c r="N4" s="259"/>
      <c r="O4" s="260"/>
      <c r="P4" s="261"/>
      <c r="Q4" s="259"/>
      <c r="R4" s="260"/>
      <c r="S4" s="261"/>
      <c r="T4" s="259"/>
      <c r="U4" s="262"/>
      <c r="V4" s="263" t="s">
        <v>37</v>
      </c>
      <c r="W4" s="264">
        <f>1/((1/W16)+(1/W17))</f>
        <v>0.48418521742735154</v>
      </c>
      <c r="X4" s="265"/>
      <c r="Y4" s="266" t="s">
        <v>37</v>
      </c>
      <c r="Z4" s="264">
        <f>1/((1/Z16)+(1/Z17))</f>
        <v>0.43576669568461635</v>
      </c>
      <c r="AA4" s="267"/>
      <c r="AB4" s="268" t="s">
        <v>460</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62269.653018100704</v>
      </c>
      <c r="BU4" s="286"/>
      <c r="BV4" s="284"/>
      <c r="BW4" s="285"/>
      <c r="BX4" s="286"/>
      <c r="BY4" s="284" t="s">
        <v>460</v>
      </c>
      <c r="BZ4" s="285" t="s">
        <v>34</v>
      </c>
      <c r="CA4" s="286"/>
      <c r="CB4" s="284"/>
      <c r="CC4" s="285"/>
      <c r="CD4" s="286"/>
      <c r="CE4" s="284"/>
      <c r="CF4" s="285"/>
      <c r="CG4" s="286"/>
      <c r="CH4" s="284"/>
      <c r="CI4" s="285"/>
      <c r="CJ4" s="287"/>
      <c r="CK4" s="284"/>
      <c r="CL4" s="285"/>
      <c r="CM4" s="287"/>
      <c r="CN4" s="284"/>
      <c r="CO4" s="285"/>
      <c r="CP4" s="287"/>
      <c r="CQ4" s="284"/>
      <c r="CR4" s="285"/>
      <c r="CS4" s="287"/>
      <c r="CT4" s="288" t="s">
        <v>460</v>
      </c>
      <c r="CU4" s="289" t="s">
        <v>9</v>
      </c>
      <c r="CV4" s="290"/>
      <c r="CW4" s="291" t="s">
        <v>38</v>
      </c>
      <c r="CX4" s="292">
        <f>1/((1/CX22)+(1/CX23))</f>
        <v>533.17813143792364</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99.711598923231705</v>
      </c>
      <c r="HE4" s="351"/>
      <c r="HF4" s="352" t="s">
        <v>45</v>
      </c>
    </row>
    <row r="5" spans="1:214" s="95" customFormat="1" ht="13.5" thickTop="1" x14ac:dyDescent="0.2">
      <c r="A5" s="95" t="s">
        <v>75</v>
      </c>
      <c r="B5" s="353">
        <v>1.7999999999999999E-11</v>
      </c>
      <c r="C5" s="95" t="s">
        <v>64</v>
      </c>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B29</f>
        <v>0</v>
      </c>
      <c r="CQ5" s="95" t="s">
        <v>432</v>
      </c>
      <c r="CR5" s="95">
        <f>CO5</f>
        <v>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0</v>
      </c>
      <c r="DH5" s="95" t="s">
        <v>48</v>
      </c>
      <c r="DI5" s="95" t="s">
        <v>49</v>
      </c>
      <c r="DJ5" s="95">
        <f>DJ7</f>
        <v>0</v>
      </c>
      <c r="DL5" s="95" t="s">
        <v>49</v>
      </c>
      <c r="DM5" s="95">
        <f>DM7</f>
        <v>0</v>
      </c>
      <c r="DO5" s="95" t="s">
        <v>47</v>
      </c>
      <c r="DP5" s="95">
        <f>(DP8*DP9*DP10*((1-EXP(-DP11*DP12))))/(DP13*DP11)</f>
        <v>0</v>
      </c>
      <c r="DQ5" s="95" t="s">
        <v>48</v>
      </c>
      <c r="DR5" s="95" t="s">
        <v>46</v>
      </c>
      <c r="DS5" s="354">
        <v>9.9999999999999995E-7</v>
      </c>
      <c r="DU5" s="95" t="s">
        <v>347</v>
      </c>
      <c r="DV5" s="354">
        <f>B23</f>
        <v>0</v>
      </c>
      <c r="DX5" s="95" t="s">
        <v>50</v>
      </c>
      <c r="DY5" s="95">
        <f>DY7</f>
        <v>0</v>
      </c>
      <c r="EA5" s="95" t="s">
        <v>50</v>
      </c>
      <c r="EB5" s="95">
        <f>EB7</f>
        <v>0</v>
      </c>
      <c r="ED5" s="95" t="s">
        <v>50</v>
      </c>
      <c r="EE5" s="95">
        <f>EE7</f>
        <v>0</v>
      </c>
      <c r="EG5" s="95" t="s">
        <v>46</v>
      </c>
      <c r="EH5" s="354">
        <v>9.9999999999999995E-7</v>
      </c>
      <c r="EJ5" s="95" t="s">
        <v>348</v>
      </c>
      <c r="EK5" s="354">
        <f>B24</f>
        <v>0</v>
      </c>
      <c r="EM5" s="95" t="s">
        <v>50</v>
      </c>
      <c r="EN5" s="95">
        <f>EN7</f>
        <v>0</v>
      </c>
      <c r="EP5" s="95" t="s">
        <v>50</v>
      </c>
      <c r="EQ5" s="95">
        <f>EQ7</f>
        <v>0</v>
      </c>
      <c r="ES5" s="95" t="s">
        <v>50</v>
      </c>
      <c r="ET5" s="95">
        <f>ET7</f>
        <v>0</v>
      </c>
      <c r="EV5" s="95" t="s">
        <v>46</v>
      </c>
      <c r="EW5" s="354">
        <v>9.9999999999999995E-7</v>
      </c>
      <c r="EY5" s="95" t="s">
        <v>349</v>
      </c>
      <c r="EZ5" s="356">
        <f>B26</f>
        <v>0</v>
      </c>
      <c r="FB5" s="95" t="s">
        <v>50</v>
      </c>
      <c r="FC5" s="95">
        <f>FC7</f>
        <v>0</v>
      </c>
      <c r="FE5" s="95" t="s">
        <v>50</v>
      </c>
      <c r="FF5" s="95">
        <f>FF7</f>
        <v>0</v>
      </c>
      <c r="FH5" s="95" t="s">
        <v>50</v>
      </c>
      <c r="FI5" s="95">
        <f>FI7</f>
        <v>0</v>
      </c>
      <c r="FK5" s="95" t="s">
        <v>46</v>
      </c>
      <c r="FL5" s="354">
        <v>9.9999999999999995E-7</v>
      </c>
      <c r="FN5" s="95" t="s">
        <v>350</v>
      </c>
      <c r="FO5" s="357">
        <v>1</v>
      </c>
      <c r="FQ5" s="95" t="s">
        <v>203</v>
      </c>
      <c r="FR5" s="354">
        <f>B22</f>
        <v>0</v>
      </c>
      <c r="FT5" s="95" t="s">
        <v>50</v>
      </c>
      <c r="FU5" s="95">
        <f>FU7</f>
        <v>0</v>
      </c>
      <c r="FW5" s="95" t="s">
        <v>50</v>
      </c>
      <c r="FX5" s="95">
        <f>FX7</f>
        <v>0</v>
      </c>
      <c r="FZ5" s="95" t="s">
        <v>46</v>
      </c>
      <c r="GA5" s="354">
        <v>9.9999999999999995E-7</v>
      </c>
      <c r="GC5" s="95" t="s">
        <v>351</v>
      </c>
      <c r="GD5" s="356">
        <f>B25</f>
        <v>0</v>
      </c>
      <c r="GF5" s="95" t="s">
        <v>50</v>
      </c>
      <c r="GG5" s="95">
        <f>GG7</f>
        <v>0</v>
      </c>
      <c r="GI5" s="95" t="s">
        <v>50</v>
      </c>
      <c r="GJ5" s="95">
        <f>GJ7</f>
        <v>0</v>
      </c>
      <c r="GL5" s="95" t="s">
        <v>50</v>
      </c>
      <c r="GM5" s="95">
        <f>GM7</f>
        <v>0</v>
      </c>
      <c r="GO5" s="95" t="s">
        <v>46</v>
      </c>
      <c r="GP5" s="354">
        <v>9.9999999999999995E-7</v>
      </c>
      <c r="GR5" s="95" t="s">
        <v>352</v>
      </c>
      <c r="GS5" s="356">
        <f>B27</f>
        <v>0</v>
      </c>
      <c r="GU5" s="95" t="s">
        <v>50</v>
      </c>
      <c r="GV5" s="95">
        <f>GV7</f>
        <v>0</v>
      </c>
      <c r="GX5" s="95" t="s">
        <v>50</v>
      </c>
      <c r="GY5" s="95">
        <f>GY7</f>
        <v>0</v>
      </c>
      <c r="HA5" s="95" t="s">
        <v>50</v>
      </c>
      <c r="HB5" s="95">
        <f>HB7</f>
        <v>0</v>
      </c>
      <c r="HD5" s="355" t="s">
        <v>51</v>
      </c>
      <c r="HE5" s="95">
        <v>15</v>
      </c>
      <c r="HF5" s="95" t="s">
        <v>25</v>
      </c>
    </row>
    <row r="6" spans="1:214" s="95" customFormat="1" x14ac:dyDescent="0.2">
      <c r="A6" s="95" t="s">
        <v>261</v>
      </c>
      <c r="B6" s="353">
        <v>0</v>
      </c>
      <c r="C6" s="95" t="s">
        <v>64</v>
      </c>
      <c r="D6" s="95" t="s">
        <v>52</v>
      </c>
      <c r="E6" s="354">
        <f>0.693/E7</f>
        <v>66.155354824913829</v>
      </c>
      <c r="G6" s="95" t="s">
        <v>261</v>
      </c>
      <c r="H6" s="354">
        <f>B6</f>
        <v>0</v>
      </c>
      <c r="I6" s="95" t="s">
        <v>64</v>
      </c>
      <c r="J6" s="95" t="s">
        <v>77</v>
      </c>
      <c r="K6" s="354">
        <f>B7</f>
        <v>0</v>
      </c>
      <c r="L6" s="95" t="s">
        <v>64</v>
      </c>
      <c r="M6" s="95" t="s">
        <v>61</v>
      </c>
      <c r="N6" s="95">
        <v>26</v>
      </c>
      <c r="O6" s="95" t="s">
        <v>62</v>
      </c>
      <c r="P6" s="95" t="s">
        <v>61</v>
      </c>
      <c r="Q6" s="95">
        <v>26</v>
      </c>
      <c r="R6" s="95" t="s">
        <v>62</v>
      </c>
      <c r="S6" s="95" t="s">
        <v>61</v>
      </c>
      <c r="T6" s="95">
        <v>26</v>
      </c>
      <c r="U6" s="95" t="s">
        <v>62</v>
      </c>
      <c r="V6" s="95" t="s">
        <v>52</v>
      </c>
      <c r="W6" s="354">
        <f>0.693/W7</f>
        <v>66.155354824913829</v>
      </c>
      <c r="Y6" s="95" t="s">
        <v>52</v>
      </c>
      <c r="Z6" s="354">
        <f>0.693/Z7</f>
        <v>66.155354824913829</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25</v>
      </c>
      <c r="AT6" s="95" t="s">
        <v>62</v>
      </c>
      <c r="AU6" s="95" t="s">
        <v>61</v>
      </c>
      <c r="AV6" s="95">
        <v>25</v>
      </c>
      <c r="AW6" s="95" t="s">
        <v>62</v>
      </c>
      <c r="AX6" s="95" t="s">
        <v>61</v>
      </c>
      <c r="AY6" s="95">
        <v>25</v>
      </c>
      <c r="AZ6" s="95" t="s">
        <v>62</v>
      </c>
      <c r="BA6" s="95" t="s">
        <v>61</v>
      </c>
      <c r="BB6" s="95">
        <v>25</v>
      </c>
      <c r="BC6" s="95" t="s">
        <v>62</v>
      </c>
      <c r="BD6" s="95" t="s">
        <v>61</v>
      </c>
      <c r="BE6" s="95">
        <v>25</v>
      </c>
      <c r="BF6" s="95" t="s">
        <v>62</v>
      </c>
      <c r="BG6" s="95" t="s">
        <v>61</v>
      </c>
      <c r="BH6" s="95">
        <v>25</v>
      </c>
      <c r="BI6" s="95" t="s">
        <v>62</v>
      </c>
      <c r="BJ6" s="95" t="s">
        <v>61</v>
      </c>
      <c r="BK6" s="95">
        <v>1</v>
      </c>
      <c r="BL6" s="95" t="s">
        <v>62</v>
      </c>
      <c r="BM6" s="95" t="s">
        <v>61</v>
      </c>
      <c r="BN6" s="95">
        <v>1</v>
      </c>
      <c r="BO6" s="95" t="s">
        <v>62</v>
      </c>
      <c r="BP6" s="95" t="s">
        <v>61</v>
      </c>
      <c r="BQ6" s="95">
        <v>1</v>
      </c>
      <c r="BR6" s="95" t="s">
        <v>62</v>
      </c>
      <c r="BS6" s="95" t="s">
        <v>52</v>
      </c>
      <c r="BT6" s="354">
        <f>0.693/BT7</f>
        <v>66.155354824913829</v>
      </c>
      <c r="BV6" s="95" t="s">
        <v>261</v>
      </c>
      <c r="BW6" s="354">
        <f>H6</f>
        <v>0</v>
      </c>
      <c r="BX6" s="95" t="s">
        <v>64</v>
      </c>
      <c r="BY6" s="95" t="s">
        <v>77</v>
      </c>
      <c r="BZ6" s="354">
        <f>B7</f>
        <v>0</v>
      </c>
      <c r="CA6" s="95" t="s">
        <v>64</v>
      </c>
      <c r="CB6" s="95" t="s">
        <v>61</v>
      </c>
      <c r="CC6" s="95">
        <v>26</v>
      </c>
      <c r="CD6" s="95" t="s">
        <v>62</v>
      </c>
      <c r="CE6" s="95" t="s">
        <v>61</v>
      </c>
      <c r="CF6" s="95">
        <v>26</v>
      </c>
      <c r="CG6" s="95" t="s">
        <v>62</v>
      </c>
      <c r="CH6" s="95" t="s">
        <v>61</v>
      </c>
      <c r="CI6" s="95">
        <v>26</v>
      </c>
      <c r="CJ6" s="95" t="s">
        <v>62</v>
      </c>
      <c r="CK6" s="95" t="s">
        <v>415</v>
      </c>
      <c r="CL6" s="354">
        <f>E33</f>
        <v>0</v>
      </c>
      <c r="CM6" s="95" t="s">
        <v>23</v>
      </c>
      <c r="CN6" s="95" t="s">
        <v>50</v>
      </c>
      <c r="CO6" s="95">
        <f>CO8</f>
        <v>0</v>
      </c>
      <c r="CQ6" s="95" t="s">
        <v>345</v>
      </c>
      <c r="CR6" s="357">
        <v>1</v>
      </c>
      <c r="CS6" s="95" t="s">
        <v>59</v>
      </c>
      <c r="CT6" s="95" t="s">
        <v>77</v>
      </c>
      <c r="CU6" s="354">
        <f>B7</f>
        <v>0</v>
      </c>
      <c r="CV6" s="95" t="s">
        <v>64</v>
      </c>
      <c r="CW6" s="95" t="s">
        <v>52</v>
      </c>
      <c r="CX6" s="354">
        <f>0.693/CX7</f>
        <v>66.155354824913829</v>
      </c>
      <c r="CZ6" s="95" t="s">
        <v>261</v>
      </c>
      <c r="DA6" s="354">
        <f>B6</f>
        <v>0</v>
      </c>
      <c r="DB6" s="95" t="s">
        <v>64</v>
      </c>
      <c r="DC6" s="95" t="s">
        <v>415</v>
      </c>
      <c r="DD6" s="354">
        <f>B16</f>
        <v>0</v>
      </c>
      <c r="DE6" s="95" t="s">
        <v>64</v>
      </c>
      <c r="DF6" s="95" t="s">
        <v>56</v>
      </c>
      <c r="DG6" s="95">
        <f>(DG8*DG9*DG14*((1-EXP(-DG11*DG12))))/(DG13*DG11)</f>
        <v>5.4035127681958941E-3</v>
      </c>
      <c r="DH6" s="95" t="s">
        <v>48</v>
      </c>
      <c r="DI6" s="95" t="s">
        <v>57</v>
      </c>
      <c r="DJ6" s="95">
        <f>DJ8</f>
        <v>0.26</v>
      </c>
      <c r="DL6" s="95" t="s">
        <v>57</v>
      </c>
      <c r="DM6" s="95">
        <f>DM8</f>
        <v>0.26</v>
      </c>
      <c r="DO6" s="95" t="s">
        <v>56</v>
      </c>
      <c r="DP6" s="95">
        <f>(DP8*DP9*DP14*((1-EXP(-DP11*DP12))))/(DP13*DP11)</f>
        <v>9.2940667982112686</v>
      </c>
      <c r="DQ6" s="95" t="s">
        <v>48</v>
      </c>
      <c r="DR6" s="95" t="s">
        <v>415</v>
      </c>
      <c r="DS6" s="354">
        <f>B16</f>
        <v>0</v>
      </c>
      <c r="DT6" s="95" t="s">
        <v>64</v>
      </c>
      <c r="DU6" s="95" t="s">
        <v>58</v>
      </c>
      <c r="DV6" s="95">
        <v>92</v>
      </c>
      <c r="DW6" s="95" t="s">
        <v>59</v>
      </c>
      <c r="DX6" s="95" t="s">
        <v>57</v>
      </c>
      <c r="DY6" s="95">
        <f>DY8</f>
        <v>0.25</v>
      </c>
      <c r="EA6" s="95" t="s">
        <v>57</v>
      </c>
      <c r="EB6" s="95">
        <f>EB8</f>
        <v>0.25</v>
      </c>
      <c r="ED6" s="95" t="s">
        <v>57</v>
      </c>
      <c r="EE6" s="95">
        <f>EE8</f>
        <v>0.25</v>
      </c>
      <c r="EG6" s="95" t="s">
        <v>415</v>
      </c>
      <c r="EH6" s="354">
        <f>B16</f>
        <v>0</v>
      </c>
      <c r="EI6" s="95" t="s">
        <v>64</v>
      </c>
      <c r="EJ6" s="95" t="s">
        <v>60</v>
      </c>
      <c r="EK6" s="95">
        <v>53</v>
      </c>
      <c r="EL6" s="95" t="s">
        <v>59</v>
      </c>
      <c r="EM6" s="95" t="s">
        <v>57</v>
      </c>
      <c r="EN6" s="95">
        <f>EN8</f>
        <v>0.25</v>
      </c>
      <c r="EP6" s="95" t="s">
        <v>57</v>
      </c>
      <c r="EQ6" s="95">
        <f>EQ8</f>
        <v>0.25</v>
      </c>
      <c r="ES6" s="95" t="s">
        <v>57</v>
      </c>
      <c r="ET6" s="95">
        <f>ET8</f>
        <v>0.25</v>
      </c>
      <c r="EV6" s="95" t="s">
        <v>415</v>
      </c>
      <c r="EW6" s="354">
        <f>B16</f>
        <v>0</v>
      </c>
      <c r="EX6" s="95" t="s">
        <v>64</v>
      </c>
      <c r="EY6" s="95" t="s">
        <v>297</v>
      </c>
      <c r="EZ6" s="95">
        <v>0.4</v>
      </c>
      <c r="FA6" s="95" t="s">
        <v>59</v>
      </c>
      <c r="FB6" s="95" t="s">
        <v>57</v>
      </c>
      <c r="FC6" s="95">
        <f>FC8</f>
        <v>0.25</v>
      </c>
      <c r="FE6" s="95" t="s">
        <v>57</v>
      </c>
      <c r="FF6" s="95">
        <f>FF8</f>
        <v>0.25</v>
      </c>
      <c r="FH6" s="95" t="s">
        <v>57</v>
      </c>
      <c r="FI6" s="95">
        <f>FI8</f>
        <v>0.25</v>
      </c>
      <c r="FK6" s="95" t="s">
        <v>415</v>
      </c>
      <c r="FL6" s="354">
        <f>B16</f>
        <v>0</v>
      </c>
      <c r="FM6" s="95" t="s">
        <v>64</v>
      </c>
      <c r="FN6" s="95" t="s">
        <v>300</v>
      </c>
      <c r="FO6" s="357">
        <v>1</v>
      </c>
      <c r="FP6" s="95" t="s">
        <v>59</v>
      </c>
      <c r="FQ6" s="95" t="s">
        <v>322</v>
      </c>
      <c r="FR6" s="354">
        <v>8.1999999999999993</v>
      </c>
      <c r="FT6" s="95" t="s">
        <v>57</v>
      </c>
      <c r="FU6" s="95">
        <f>FU8</f>
        <v>0.25</v>
      </c>
      <c r="FW6" s="95" t="s">
        <v>57</v>
      </c>
      <c r="FX6" s="95">
        <f>FX8</f>
        <v>0.25</v>
      </c>
      <c r="FZ6" s="95" t="s">
        <v>415</v>
      </c>
      <c r="GA6" s="354">
        <f>B16</f>
        <v>0</v>
      </c>
      <c r="GB6" s="95" t="s">
        <v>64</v>
      </c>
      <c r="GC6" s="95" t="s">
        <v>298</v>
      </c>
      <c r="GD6" s="95">
        <v>0.4</v>
      </c>
      <c r="GE6" s="95" t="s">
        <v>59</v>
      </c>
      <c r="GF6" s="95" t="s">
        <v>57</v>
      </c>
      <c r="GG6" s="95">
        <f>GG8</f>
        <v>0.25</v>
      </c>
      <c r="GI6" s="95" t="s">
        <v>57</v>
      </c>
      <c r="GJ6" s="95">
        <f>GJ8</f>
        <v>0.25</v>
      </c>
      <c r="GL6" s="95" t="s">
        <v>57</v>
      </c>
      <c r="GM6" s="95">
        <f>GM8</f>
        <v>0.25</v>
      </c>
      <c r="GO6" s="95" t="s">
        <v>415</v>
      </c>
      <c r="GP6" s="354">
        <f>B16</f>
        <v>0</v>
      </c>
      <c r="GQ6" s="95" t="s">
        <v>64</v>
      </c>
      <c r="GR6" s="95" t="s">
        <v>299</v>
      </c>
      <c r="GS6" s="95">
        <v>11.4</v>
      </c>
      <c r="GT6" s="95" t="s">
        <v>59</v>
      </c>
      <c r="GU6" s="95" t="s">
        <v>57</v>
      </c>
      <c r="GV6" s="95">
        <f>GV8</f>
        <v>0.25</v>
      </c>
      <c r="GX6" s="95" t="s">
        <v>57</v>
      </c>
      <c r="GY6" s="95">
        <f>GY8</f>
        <v>0.25</v>
      </c>
      <c r="HA6" s="95" t="s">
        <v>57</v>
      </c>
      <c r="HB6" s="95">
        <f>HB8</f>
        <v>0.25</v>
      </c>
      <c r="HD6" s="95" t="s">
        <v>17</v>
      </c>
      <c r="HE6" s="354">
        <f>H3</f>
        <v>0.69012544990953739</v>
      </c>
      <c r="HF6" s="95" t="s">
        <v>25</v>
      </c>
    </row>
    <row r="7" spans="1:214" s="95" customFormat="1" x14ac:dyDescent="0.2">
      <c r="A7" s="95" t="s">
        <v>77</v>
      </c>
      <c r="B7" s="353">
        <v>0</v>
      </c>
      <c r="C7" s="95" t="s">
        <v>64</v>
      </c>
      <c r="D7" s="95" t="s">
        <v>448</v>
      </c>
      <c r="E7" s="354">
        <f>B17</f>
        <v>1.04753425E-2</v>
      </c>
      <c r="F7" s="95" t="s">
        <v>129</v>
      </c>
      <c r="G7" s="95" t="s">
        <v>75</v>
      </c>
      <c r="H7" s="354">
        <f>B5</f>
        <v>1.7999999999999999E-11</v>
      </c>
      <c r="I7" s="95" t="s">
        <v>64</v>
      </c>
      <c r="J7" s="95" t="s">
        <v>75</v>
      </c>
      <c r="K7" s="354">
        <f>B5</f>
        <v>1.7999999999999999E-11</v>
      </c>
      <c r="L7" s="95" t="s">
        <v>64</v>
      </c>
      <c r="M7" s="95" t="s">
        <v>52</v>
      </c>
      <c r="N7" s="354">
        <f>0.693/N8</f>
        <v>66.155354824913829</v>
      </c>
      <c r="P7" s="95" t="s">
        <v>52</v>
      </c>
      <c r="Q7" s="354">
        <f>0.693/Q8</f>
        <v>66.155354824913829</v>
      </c>
      <c r="S7" s="95" t="s">
        <v>52</v>
      </c>
      <c r="T7" s="354">
        <f>0.693/T8</f>
        <v>66.155354824913829</v>
      </c>
      <c r="V7" s="95" t="s">
        <v>448</v>
      </c>
      <c r="W7" s="354">
        <f>B17</f>
        <v>1.04753425E-2</v>
      </c>
      <c r="X7" s="95" t="s">
        <v>129</v>
      </c>
      <c r="Y7" s="95" t="s">
        <v>448</v>
      </c>
      <c r="Z7" s="354">
        <f>B17</f>
        <v>1.04753425E-2</v>
      </c>
      <c r="AA7" s="95" t="s">
        <v>129</v>
      </c>
      <c r="AI7" s="95" t="s">
        <v>52</v>
      </c>
      <c r="AJ7" s="354">
        <f>0.693/AJ8</f>
        <v>66.155354824913829</v>
      </c>
      <c r="AL7" s="95" t="s">
        <v>52</v>
      </c>
      <c r="AM7" s="354">
        <f>0.693/AM8</f>
        <v>66.155354824913829</v>
      </c>
      <c r="AO7" s="95" t="s">
        <v>52</v>
      </c>
      <c r="AP7" s="354">
        <f>0.693/AP8</f>
        <v>66.155354824913829</v>
      </c>
      <c r="AR7" s="95" t="s">
        <v>52</v>
      </c>
      <c r="AS7" s="354">
        <f>0.693/AS8</f>
        <v>66.155354824913829</v>
      </c>
      <c r="AU7" s="95" t="s">
        <v>52</v>
      </c>
      <c r="AV7" s="354">
        <f>0.693/AV8</f>
        <v>66.155354824913829</v>
      </c>
      <c r="AX7" s="95" t="s">
        <v>52</v>
      </c>
      <c r="AY7" s="354">
        <f>0.693/AY8</f>
        <v>66.155354824913829</v>
      </c>
      <c r="BA7" s="95" t="s">
        <v>52</v>
      </c>
      <c r="BB7" s="354">
        <f>0.693/BB8</f>
        <v>66.155354824913829</v>
      </c>
      <c r="BD7" s="95" t="s">
        <v>52</v>
      </c>
      <c r="BE7" s="354">
        <f>0.693/BE8</f>
        <v>66.155354824913829</v>
      </c>
      <c r="BG7" s="95" t="s">
        <v>52</v>
      </c>
      <c r="BH7" s="354">
        <f>0.693/BH8</f>
        <v>66.155354824913829</v>
      </c>
      <c r="BJ7" s="95" t="s">
        <v>52</v>
      </c>
      <c r="BK7" s="354">
        <f>0.693/BK8</f>
        <v>66.155354824913829</v>
      </c>
      <c r="BM7" s="95" t="s">
        <v>52</v>
      </c>
      <c r="BN7" s="354">
        <f>0.693/BN8</f>
        <v>66.155354824913829</v>
      </c>
      <c r="BP7" s="95" t="s">
        <v>52</v>
      </c>
      <c r="BQ7" s="354">
        <f>0.693/BQ8</f>
        <v>66.155354824913829</v>
      </c>
      <c r="BS7" s="95" t="s">
        <v>448</v>
      </c>
      <c r="BT7" s="354">
        <f>B17</f>
        <v>1.04753425E-2</v>
      </c>
      <c r="BU7" s="95" t="s">
        <v>129</v>
      </c>
      <c r="BV7" s="95" t="s">
        <v>75</v>
      </c>
      <c r="BW7" s="354">
        <f>E10</f>
        <v>1.7999999999999999E-11</v>
      </c>
      <c r="BX7" s="95" t="s">
        <v>64</v>
      </c>
      <c r="BY7" s="95" t="s">
        <v>75</v>
      </c>
      <c r="BZ7" s="354">
        <f>B5</f>
        <v>1.7999999999999999E-11</v>
      </c>
      <c r="CA7" s="95" t="s">
        <v>64</v>
      </c>
      <c r="CB7" s="95" t="s">
        <v>52</v>
      </c>
      <c r="CC7" s="354">
        <f>0.693/CC8</f>
        <v>66.155354824913829</v>
      </c>
      <c r="CE7" s="95" t="s">
        <v>52</v>
      </c>
      <c r="CF7" s="354">
        <f>0.693/CF8</f>
        <v>66.155354824913829</v>
      </c>
      <c r="CH7" s="95" t="s">
        <v>52</v>
      </c>
      <c r="CI7" s="354">
        <f>0.693/CI8</f>
        <v>66.155354824913829</v>
      </c>
      <c r="CK7" s="95" t="s">
        <v>238</v>
      </c>
      <c r="CL7" s="95">
        <v>75</v>
      </c>
      <c r="CM7" s="95" t="s">
        <v>268</v>
      </c>
      <c r="CN7" s="95" t="s">
        <v>57</v>
      </c>
      <c r="CO7" s="95">
        <f>CO9</f>
        <v>0.25</v>
      </c>
      <c r="CR7" s="95">
        <v>1000</v>
      </c>
      <c r="CS7" s="95" t="s">
        <v>230</v>
      </c>
      <c r="CT7" s="95" t="s">
        <v>75</v>
      </c>
      <c r="CU7" s="354">
        <f>B5</f>
        <v>1.7999999999999999E-11</v>
      </c>
      <c r="CV7" s="95" t="s">
        <v>64</v>
      </c>
      <c r="CW7" s="95" t="s">
        <v>448</v>
      </c>
      <c r="CX7" s="354">
        <f>B17</f>
        <v>1.04753425E-2</v>
      </c>
      <c r="CY7" s="95" t="s">
        <v>129</v>
      </c>
      <c r="CZ7" s="95" t="s">
        <v>75</v>
      </c>
      <c r="DA7" s="354">
        <f>B5</f>
        <v>1.7999999999999999E-11</v>
      </c>
      <c r="DB7" s="95" t="s">
        <v>64</v>
      </c>
      <c r="DC7" s="95" t="s">
        <v>142</v>
      </c>
      <c r="DD7" s="358" t="e">
        <f>(DD5)/(DD6*(DD8+DD11)*DD21)</f>
        <v>#DIV/0!</v>
      </c>
      <c r="DE7" s="95" t="s">
        <v>23</v>
      </c>
      <c r="DF7" s="95" t="s">
        <v>65</v>
      </c>
      <c r="DG7" s="95">
        <f>(DG8*DG9*DG15*DG21*((1-EXP(-DG16*DG17))))/(DG18*DG16)</f>
        <v>0.82303427313698274</v>
      </c>
      <c r="DH7" s="95" t="s">
        <v>48</v>
      </c>
      <c r="DI7" s="95" t="s">
        <v>66</v>
      </c>
      <c r="DJ7" s="354">
        <f>B30</f>
        <v>0</v>
      </c>
      <c r="DL7" s="95" t="s">
        <v>66</v>
      </c>
      <c r="DM7" s="354">
        <f>B30</f>
        <v>0</v>
      </c>
      <c r="DO7" s="95" t="s">
        <v>65</v>
      </c>
      <c r="DP7" s="95">
        <f>(DP8*DP9*DP15*DP21*((1-EXP(-DP16*DP17))))/(DP18*DP16)</f>
        <v>3.6424203206347228</v>
      </c>
      <c r="DQ7" s="95" t="s">
        <v>48</v>
      </c>
      <c r="DR7" s="95" t="s">
        <v>142</v>
      </c>
      <c r="DS7" s="358" t="e">
        <f>DS5/(DS6*DS8*DS17)</f>
        <v>#DIV/0!</v>
      </c>
      <c r="DT7" s="95" t="s">
        <v>23</v>
      </c>
      <c r="DX7" s="95" t="s">
        <v>67</v>
      </c>
      <c r="DY7" s="354">
        <f>B31</f>
        <v>0</v>
      </c>
      <c r="EA7" s="95" t="s">
        <v>67</v>
      </c>
      <c r="EB7" s="354">
        <f>B31</f>
        <v>0</v>
      </c>
      <c r="ED7" s="95" t="s">
        <v>67</v>
      </c>
      <c r="EE7" s="354">
        <f>B31</f>
        <v>0</v>
      </c>
      <c r="EG7" s="95" t="s">
        <v>142</v>
      </c>
      <c r="EH7" s="422" t="e">
        <f>EH5/(EH6*EH8*EH15*EH16)</f>
        <v>#DIV/0!</v>
      </c>
      <c r="EI7" s="95" t="s">
        <v>23</v>
      </c>
      <c r="EM7" s="95" t="s">
        <v>67</v>
      </c>
      <c r="EN7" s="354">
        <f>B31</f>
        <v>0</v>
      </c>
      <c r="EP7" s="95" t="s">
        <v>67</v>
      </c>
      <c r="EQ7" s="354">
        <f>B31</f>
        <v>0</v>
      </c>
      <c r="ES7" s="95" t="s">
        <v>67</v>
      </c>
      <c r="ET7" s="354">
        <f>B31</f>
        <v>0</v>
      </c>
      <c r="EV7" s="95" t="s">
        <v>142</v>
      </c>
      <c r="EW7" s="358" t="e">
        <f>EW5/(EW6*EW8*EW17)</f>
        <v>#DIV/0!</v>
      </c>
      <c r="EX7" s="95" t="s">
        <v>23</v>
      </c>
      <c r="EZ7" s="95">
        <v>1000</v>
      </c>
      <c r="FA7" s="95" t="s">
        <v>230</v>
      </c>
      <c r="FB7" s="95" t="s">
        <v>67</v>
      </c>
      <c r="FC7" s="354">
        <f>B31</f>
        <v>0</v>
      </c>
      <c r="FE7" s="95" t="s">
        <v>67</v>
      </c>
      <c r="FF7" s="354">
        <f>B31</f>
        <v>0</v>
      </c>
      <c r="FH7" s="95" t="s">
        <v>67</v>
      </c>
      <c r="FI7" s="354">
        <f>B31</f>
        <v>0</v>
      </c>
      <c r="FK7" s="95" t="s">
        <v>142</v>
      </c>
      <c r="FL7" s="358" t="e">
        <f>FL5/(FL6*FL8*FL17)</f>
        <v>#DIV/0!</v>
      </c>
      <c r="FM7" s="95" t="s">
        <v>23</v>
      </c>
      <c r="FO7" s="95">
        <v>1000</v>
      </c>
      <c r="FP7" s="95" t="s">
        <v>230</v>
      </c>
      <c r="FT7" s="95" t="s">
        <v>67</v>
      </c>
      <c r="FU7" s="354">
        <f>B31</f>
        <v>0</v>
      </c>
      <c r="FW7" s="95" t="s">
        <v>67</v>
      </c>
      <c r="FX7" s="354">
        <f>B31</f>
        <v>0</v>
      </c>
      <c r="FZ7" s="95" t="s">
        <v>142</v>
      </c>
      <c r="GA7" s="358" t="e">
        <f>GA5/(GA6*GA8*GA17)</f>
        <v>#DIV/0!</v>
      </c>
      <c r="GB7" s="95" t="s">
        <v>23</v>
      </c>
      <c r="GD7" s="95">
        <v>1000</v>
      </c>
      <c r="GE7" s="95" t="s">
        <v>230</v>
      </c>
      <c r="GF7" s="95" t="s">
        <v>67</v>
      </c>
      <c r="GG7" s="354">
        <f>B31</f>
        <v>0</v>
      </c>
      <c r="GI7" s="95" t="s">
        <v>67</v>
      </c>
      <c r="GJ7" s="354">
        <f>B31</f>
        <v>0</v>
      </c>
      <c r="GL7" s="95" t="s">
        <v>67</v>
      </c>
      <c r="GM7" s="354">
        <f>B31</f>
        <v>0</v>
      </c>
      <c r="GO7" s="95" t="s">
        <v>142</v>
      </c>
      <c r="GP7" s="358" t="e">
        <f>GP5/(GP6*GP8*GP16)</f>
        <v>#DIV/0!</v>
      </c>
      <c r="GQ7" s="95" t="s">
        <v>23</v>
      </c>
      <c r="GS7" s="95">
        <v>1000</v>
      </c>
      <c r="GT7" s="95" t="s">
        <v>230</v>
      </c>
      <c r="GU7" s="95" t="s">
        <v>67</v>
      </c>
      <c r="GV7" s="354">
        <f>B31</f>
        <v>0</v>
      </c>
      <c r="GX7" s="95" t="s">
        <v>67</v>
      </c>
      <c r="GY7" s="354">
        <f>B31</f>
        <v>0</v>
      </c>
      <c r="HA7" s="95" t="s">
        <v>67</v>
      </c>
      <c r="HB7" s="354">
        <f>B31</f>
        <v>0</v>
      </c>
      <c r="HD7" s="95" t="s">
        <v>52</v>
      </c>
      <c r="HE7" s="354">
        <f>0.693/HE8</f>
        <v>66.155354824913829</v>
      </c>
    </row>
    <row r="8" spans="1:214" s="95" customFormat="1" x14ac:dyDescent="0.2">
      <c r="A8" s="95" t="s">
        <v>461</v>
      </c>
      <c r="B8" s="353">
        <v>0</v>
      </c>
      <c r="C8" s="95" t="s">
        <v>64</v>
      </c>
      <c r="D8" s="95" t="s">
        <v>54</v>
      </c>
      <c r="E8" s="95">
        <v>350</v>
      </c>
      <c r="F8" s="95" t="s">
        <v>63</v>
      </c>
      <c r="G8" s="95" t="s">
        <v>409</v>
      </c>
      <c r="H8" s="354">
        <f>B15</f>
        <v>1.7100000000000001E-11</v>
      </c>
      <c r="I8" s="95" t="s">
        <v>64</v>
      </c>
      <c r="J8" s="95" t="s">
        <v>131</v>
      </c>
      <c r="K8" s="354">
        <f>B9</f>
        <v>8.4800000000000001E-6</v>
      </c>
      <c r="L8" s="95" t="s">
        <v>163</v>
      </c>
      <c r="M8" s="95" t="s">
        <v>448</v>
      </c>
      <c r="N8" s="354">
        <f>B17</f>
        <v>1.04753425E-2</v>
      </c>
      <c r="O8" s="95" t="s">
        <v>129</v>
      </c>
      <c r="P8" s="95" t="s">
        <v>448</v>
      </c>
      <c r="Q8" s="354">
        <f>B17</f>
        <v>1.04753425E-2</v>
      </c>
      <c r="R8" s="95" t="s">
        <v>129</v>
      </c>
      <c r="S8" s="95" t="s">
        <v>448</v>
      </c>
      <c r="T8" s="354">
        <f>B17</f>
        <v>1.04753425E-2</v>
      </c>
      <c r="U8" s="95" t="s">
        <v>129</v>
      </c>
      <c r="V8" s="95" t="s">
        <v>54</v>
      </c>
      <c r="W8" s="95">
        <v>225</v>
      </c>
      <c r="X8" s="95" t="s">
        <v>63</v>
      </c>
      <c r="Y8" s="95" t="s">
        <v>54</v>
      </c>
      <c r="Z8" s="95">
        <v>250</v>
      </c>
      <c r="AA8" s="95" t="s">
        <v>63</v>
      </c>
      <c r="AB8" s="95" t="s">
        <v>69</v>
      </c>
      <c r="AC8" s="95">
        <v>250</v>
      </c>
      <c r="AD8" s="95">
        <v>250</v>
      </c>
      <c r="AE8" s="95">
        <v>225</v>
      </c>
      <c r="AF8" s="95">
        <f>AF12*AF13</f>
        <v>250</v>
      </c>
      <c r="AG8" s="95">
        <f>AG12*AG13</f>
        <v>250</v>
      </c>
      <c r="AH8" s="95" t="s">
        <v>55</v>
      </c>
      <c r="AI8" s="95" t="s">
        <v>448</v>
      </c>
      <c r="AJ8" s="354">
        <f>B17</f>
        <v>1.04753425E-2</v>
      </c>
      <c r="AK8" s="95" t="s">
        <v>129</v>
      </c>
      <c r="AL8" s="95" t="s">
        <v>448</v>
      </c>
      <c r="AM8" s="354">
        <f>B17</f>
        <v>1.04753425E-2</v>
      </c>
      <c r="AN8" s="95" t="s">
        <v>129</v>
      </c>
      <c r="AO8" s="95" t="s">
        <v>448</v>
      </c>
      <c r="AP8" s="354">
        <f>B17</f>
        <v>1.04753425E-2</v>
      </c>
      <c r="AQ8" s="95" t="s">
        <v>129</v>
      </c>
      <c r="AR8" s="95" t="s">
        <v>448</v>
      </c>
      <c r="AS8" s="354">
        <f>B17</f>
        <v>1.04753425E-2</v>
      </c>
      <c r="AT8" s="95" t="s">
        <v>129</v>
      </c>
      <c r="AU8" s="95" t="s">
        <v>448</v>
      </c>
      <c r="AV8" s="354">
        <f>B17</f>
        <v>1.04753425E-2</v>
      </c>
      <c r="AW8" s="95" t="s">
        <v>129</v>
      </c>
      <c r="AX8" s="95" t="s">
        <v>448</v>
      </c>
      <c r="AY8" s="354">
        <f>B17</f>
        <v>1.04753425E-2</v>
      </c>
      <c r="AZ8" s="95" t="s">
        <v>129</v>
      </c>
      <c r="BA8" s="95" t="s">
        <v>448</v>
      </c>
      <c r="BB8" s="354">
        <f>B17</f>
        <v>1.04753425E-2</v>
      </c>
      <c r="BC8" s="95" t="s">
        <v>129</v>
      </c>
      <c r="BD8" s="95" t="s">
        <v>448</v>
      </c>
      <c r="BE8" s="354">
        <f>B17</f>
        <v>1.04753425E-2</v>
      </c>
      <c r="BF8" s="95" t="s">
        <v>129</v>
      </c>
      <c r="BG8" s="95" t="s">
        <v>448</v>
      </c>
      <c r="BH8" s="354">
        <f>B17</f>
        <v>1.04753425E-2</v>
      </c>
      <c r="BI8" s="95" t="s">
        <v>129</v>
      </c>
      <c r="BJ8" s="95" t="s">
        <v>448</v>
      </c>
      <c r="BK8" s="354">
        <f>B17</f>
        <v>1.04753425E-2</v>
      </c>
      <c r="BL8" s="95" t="s">
        <v>129</v>
      </c>
      <c r="BM8" s="95" t="s">
        <v>448</v>
      </c>
      <c r="BN8" s="354">
        <f>B17</f>
        <v>1.04753425E-2</v>
      </c>
      <c r="BO8" s="95" t="s">
        <v>129</v>
      </c>
      <c r="BP8" s="95" t="s">
        <v>448</v>
      </c>
      <c r="BQ8" s="354">
        <f>B17</f>
        <v>1.04753425E-2</v>
      </c>
      <c r="BR8" s="95" t="s">
        <v>129</v>
      </c>
      <c r="BS8" s="95" t="s">
        <v>54</v>
      </c>
      <c r="BT8" s="95">
        <v>75</v>
      </c>
      <c r="BU8" s="95" t="s">
        <v>63</v>
      </c>
      <c r="BV8" s="95" t="s">
        <v>409</v>
      </c>
      <c r="BW8" s="354">
        <f>H8</f>
        <v>1.7100000000000001E-11</v>
      </c>
      <c r="BX8" s="95" t="s">
        <v>64</v>
      </c>
      <c r="BY8" s="95" t="s">
        <v>131</v>
      </c>
      <c r="BZ8" s="354">
        <f>B9</f>
        <v>8.4800000000000001E-6</v>
      </c>
      <c r="CA8" s="95" t="s">
        <v>163</v>
      </c>
      <c r="CB8" s="95" t="s">
        <v>448</v>
      </c>
      <c r="CC8" s="354">
        <f>B17</f>
        <v>1.04753425E-2</v>
      </c>
      <c r="CD8" s="95" t="s">
        <v>129</v>
      </c>
      <c r="CE8" s="95" t="s">
        <v>448</v>
      </c>
      <c r="CF8" s="354">
        <f>B17</f>
        <v>1.04753425E-2</v>
      </c>
      <c r="CG8" s="95" t="s">
        <v>129</v>
      </c>
      <c r="CH8" s="95" t="s">
        <v>448</v>
      </c>
      <c r="CI8" s="354">
        <f>B17</f>
        <v>1.04753425E-2</v>
      </c>
      <c r="CJ8" s="95" t="s">
        <v>129</v>
      </c>
      <c r="CK8" s="95" t="s">
        <v>107</v>
      </c>
      <c r="CL8" s="95">
        <v>26</v>
      </c>
      <c r="CM8" s="95" t="s">
        <v>276</v>
      </c>
      <c r="CN8" s="95" t="s">
        <v>67</v>
      </c>
      <c r="CO8" s="354">
        <f>B31</f>
        <v>0</v>
      </c>
      <c r="CT8" s="95" t="s">
        <v>131</v>
      </c>
      <c r="CU8" s="354">
        <f>B9</f>
        <v>8.4800000000000001E-6</v>
      </c>
      <c r="CV8" s="95" t="s">
        <v>163</v>
      </c>
      <c r="CW8" s="95" t="s">
        <v>54</v>
      </c>
      <c r="CX8" s="95">
        <v>350</v>
      </c>
      <c r="CY8" s="95" t="s">
        <v>63</v>
      </c>
      <c r="CZ8" s="95" t="s">
        <v>257</v>
      </c>
      <c r="DA8" s="359">
        <f>B15</f>
        <v>1.7100000000000001E-11</v>
      </c>
      <c r="DB8" s="95" t="s">
        <v>64</v>
      </c>
      <c r="DC8" s="95" t="s">
        <v>282</v>
      </c>
      <c r="DD8" s="360">
        <f>(DD9*DD15*DD16)+(DD10*DD14*DD17)</f>
        <v>699860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7856100</v>
      </c>
      <c r="DT8" s="95" t="s">
        <v>230</v>
      </c>
      <c r="DX8" s="95" t="s">
        <v>73</v>
      </c>
      <c r="DY8" s="95">
        <v>0.25</v>
      </c>
      <c r="EA8" s="95" t="s">
        <v>73</v>
      </c>
      <c r="EB8" s="95">
        <v>0.25</v>
      </c>
      <c r="ED8" s="95" t="s">
        <v>73</v>
      </c>
      <c r="EE8" s="95">
        <v>0.25</v>
      </c>
      <c r="EG8" s="95" t="s">
        <v>284</v>
      </c>
      <c r="EH8" s="360">
        <f>(EH13*EH11*EH9)+(EH14*EH12*EH10)</f>
        <v>1663698.6301369865</v>
      </c>
      <c r="EI8" s="95" t="s">
        <v>230</v>
      </c>
      <c r="EM8" s="95" t="s">
        <v>73</v>
      </c>
      <c r="EN8" s="95">
        <v>0.25</v>
      </c>
      <c r="EP8" s="95" t="s">
        <v>73</v>
      </c>
      <c r="EQ8" s="95">
        <v>0.25</v>
      </c>
      <c r="ES8" s="95" t="s">
        <v>73</v>
      </c>
      <c r="ET8" s="95">
        <v>0.25</v>
      </c>
      <c r="EV8" s="95" t="s">
        <v>286</v>
      </c>
      <c r="EW8" s="360">
        <f>(EW11*EW13*EW9)+(EW12*EW14*EW10)</f>
        <v>499013.69863013696</v>
      </c>
      <c r="EX8" s="95" t="s">
        <v>230</v>
      </c>
      <c r="FB8" s="95" t="s">
        <v>316</v>
      </c>
      <c r="FC8" s="95">
        <v>0.25</v>
      </c>
      <c r="FE8" s="95" t="s">
        <v>316</v>
      </c>
      <c r="FF8" s="95">
        <v>0.25</v>
      </c>
      <c r="FH8" s="95" t="s">
        <v>316</v>
      </c>
      <c r="FI8" s="95">
        <v>0.25</v>
      </c>
      <c r="FK8" s="95" t="s">
        <v>289</v>
      </c>
      <c r="FL8" s="361">
        <f>(FL13*FL9*FL11)+(FL14*FL10*FL12)</f>
        <v>1530027.397260274</v>
      </c>
      <c r="FM8" s="95" t="s">
        <v>230</v>
      </c>
      <c r="FT8" s="95" t="s">
        <v>311</v>
      </c>
      <c r="FU8" s="95">
        <v>0.25</v>
      </c>
      <c r="FW8" s="95" t="s">
        <v>311</v>
      </c>
      <c r="FX8" s="95">
        <v>0.25</v>
      </c>
      <c r="FZ8" s="95" t="s">
        <v>292</v>
      </c>
      <c r="GA8" s="361">
        <f>(GA11*GA9*GA13)+(GA14*GA10*GA12)</f>
        <v>1195945.2054794519</v>
      </c>
      <c r="GB8" s="95" t="s">
        <v>230</v>
      </c>
      <c r="GF8" s="95" t="s">
        <v>305</v>
      </c>
      <c r="GG8" s="95">
        <v>0.25</v>
      </c>
      <c r="GI8" s="95" t="s">
        <v>305</v>
      </c>
      <c r="GJ8" s="95">
        <v>0.25</v>
      </c>
      <c r="GL8" s="95" t="s">
        <v>305</v>
      </c>
      <c r="GM8" s="95">
        <v>0.25</v>
      </c>
      <c r="GO8" s="95" t="s">
        <v>293</v>
      </c>
      <c r="GP8" s="360">
        <f>(GP13*GP9*GP11)+(GP14*GP10*GP12)</f>
        <v>928986.30136986298</v>
      </c>
      <c r="GQ8" s="95" t="s">
        <v>230</v>
      </c>
      <c r="GU8" s="95" t="s">
        <v>310</v>
      </c>
      <c r="GV8" s="95">
        <v>0.25</v>
      </c>
      <c r="GX8" s="95" t="s">
        <v>310</v>
      </c>
      <c r="GY8" s="95">
        <v>0.25</v>
      </c>
      <c r="HA8" s="95" t="s">
        <v>310</v>
      </c>
      <c r="HB8" s="95">
        <v>0.25</v>
      </c>
      <c r="HD8" s="95" t="s">
        <v>448</v>
      </c>
      <c r="HE8" s="354">
        <f>B17</f>
        <v>1.04753425E-2</v>
      </c>
      <c r="HF8" s="95" t="s">
        <v>129</v>
      </c>
    </row>
    <row r="9" spans="1:214" s="95" customFormat="1" x14ac:dyDescent="0.2">
      <c r="A9" s="95" t="s">
        <v>131</v>
      </c>
      <c r="B9" s="353">
        <v>8.4800000000000001E-6</v>
      </c>
      <c r="C9" s="95" t="s">
        <v>163</v>
      </c>
      <c r="D9" s="95" t="s">
        <v>68</v>
      </c>
      <c r="E9" s="95">
        <v>26</v>
      </c>
      <c r="F9" s="95" t="s">
        <v>62</v>
      </c>
      <c r="G9" s="95" t="s">
        <v>415</v>
      </c>
      <c r="H9" s="354">
        <f>B16</f>
        <v>0</v>
      </c>
      <c r="I9" s="95" t="s">
        <v>64</v>
      </c>
      <c r="J9" s="95" t="s">
        <v>415</v>
      </c>
      <c r="K9" s="354">
        <f>B16</f>
        <v>0</v>
      </c>
      <c r="L9" s="95" t="s">
        <v>64</v>
      </c>
      <c r="M9" s="95" t="s">
        <v>54</v>
      </c>
      <c r="N9" s="95">
        <v>350</v>
      </c>
      <c r="O9" s="95" t="s">
        <v>63</v>
      </c>
      <c r="P9" s="95" t="s">
        <v>54</v>
      </c>
      <c r="Q9" s="95">
        <v>350</v>
      </c>
      <c r="R9" s="95" t="s">
        <v>63</v>
      </c>
      <c r="S9" s="95" t="s">
        <v>54</v>
      </c>
      <c r="T9" s="95">
        <v>350</v>
      </c>
      <c r="U9" s="95" t="s">
        <v>63</v>
      </c>
      <c r="V9" s="95" t="s">
        <v>68</v>
      </c>
      <c r="W9" s="95">
        <v>25</v>
      </c>
      <c r="X9" s="95" t="s">
        <v>62</v>
      </c>
      <c r="Y9" s="95" t="s">
        <v>68</v>
      </c>
      <c r="Z9" s="95">
        <v>25</v>
      </c>
      <c r="AA9" s="95" t="s">
        <v>62</v>
      </c>
      <c r="AB9" s="95" t="s">
        <v>77</v>
      </c>
      <c r="AC9" s="354">
        <f>B7</f>
        <v>0</v>
      </c>
      <c r="AD9" s="354">
        <f>B7</f>
        <v>0</v>
      </c>
      <c r="AE9" s="354">
        <f>B7</f>
        <v>0</v>
      </c>
      <c r="AF9" s="354">
        <f>B7</f>
        <v>0</v>
      </c>
      <c r="AG9" s="354">
        <f>B7</f>
        <v>0</v>
      </c>
      <c r="AH9" s="95" t="s">
        <v>64</v>
      </c>
      <c r="AI9" s="95" t="s">
        <v>54</v>
      </c>
      <c r="AJ9" s="95">
        <v>250</v>
      </c>
      <c r="AK9" s="95" t="s">
        <v>63</v>
      </c>
      <c r="AL9" s="95" t="s">
        <v>54</v>
      </c>
      <c r="AM9" s="95">
        <v>250</v>
      </c>
      <c r="AN9" s="95" t="s">
        <v>63</v>
      </c>
      <c r="AO9" s="95" t="s">
        <v>54</v>
      </c>
      <c r="AP9" s="95">
        <v>250</v>
      </c>
      <c r="AQ9" s="95" t="s">
        <v>63</v>
      </c>
      <c r="AR9" s="95" t="s">
        <v>54</v>
      </c>
      <c r="AS9" s="95">
        <v>225</v>
      </c>
      <c r="AT9" s="95" t="s">
        <v>63</v>
      </c>
      <c r="AU9" s="95" t="s">
        <v>54</v>
      </c>
      <c r="AV9" s="95">
        <v>225</v>
      </c>
      <c r="AW9" s="95" t="s">
        <v>63</v>
      </c>
      <c r="AX9" s="95" t="s">
        <v>54</v>
      </c>
      <c r="AY9" s="95">
        <v>225</v>
      </c>
      <c r="AZ9" s="95" t="s">
        <v>63</v>
      </c>
      <c r="BA9" s="95" t="s">
        <v>54</v>
      </c>
      <c r="BB9" s="95">
        <v>250</v>
      </c>
      <c r="BC9" s="95" t="s">
        <v>63</v>
      </c>
      <c r="BD9" s="95" t="s">
        <v>54</v>
      </c>
      <c r="BE9" s="95">
        <v>250</v>
      </c>
      <c r="BF9" s="95" t="s">
        <v>63</v>
      </c>
      <c r="BG9" s="95" t="s">
        <v>54</v>
      </c>
      <c r="BH9" s="95">
        <v>250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0</v>
      </c>
      <c r="BX9" s="95" t="s">
        <v>64</v>
      </c>
      <c r="BY9" s="95" t="s">
        <v>164</v>
      </c>
      <c r="BZ9" s="354">
        <f>B18</f>
        <v>1359344473.5814338</v>
      </c>
      <c r="CA9" s="95" t="s">
        <v>165</v>
      </c>
      <c r="CB9" s="95" t="s">
        <v>54</v>
      </c>
      <c r="CC9" s="95">
        <v>75</v>
      </c>
      <c r="CD9" s="95" t="s">
        <v>63</v>
      </c>
      <c r="CE9" s="95" t="s">
        <v>54</v>
      </c>
      <c r="CF9" s="95">
        <v>75</v>
      </c>
      <c r="CG9" s="95" t="s">
        <v>63</v>
      </c>
      <c r="CH9" s="95" t="s">
        <v>54</v>
      </c>
      <c r="CI9" s="95">
        <v>75</v>
      </c>
      <c r="CJ9" s="95" t="s">
        <v>63</v>
      </c>
      <c r="CK9" s="95" t="s">
        <v>330</v>
      </c>
      <c r="CL9" s="357">
        <v>1</v>
      </c>
      <c r="CM9" s="95" t="s">
        <v>413</v>
      </c>
      <c r="CN9" s="95" t="s">
        <v>340</v>
      </c>
      <c r="CO9" s="357">
        <v>0.25</v>
      </c>
      <c r="CT9" s="95" t="s">
        <v>415</v>
      </c>
      <c r="CU9" s="354">
        <f>B16</f>
        <v>0</v>
      </c>
      <c r="CV9" s="95" t="s">
        <v>64</v>
      </c>
      <c r="CW9" s="95" t="s">
        <v>68</v>
      </c>
      <c r="CX9" s="95">
        <v>40</v>
      </c>
      <c r="CY9" s="95" t="s">
        <v>62</v>
      </c>
      <c r="CZ9" s="95" t="s">
        <v>415</v>
      </c>
      <c r="DA9" s="354">
        <f>B16</f>
        <v>0</v>
      </c>
      <c r="DB9" s="95" t="s">
        <v>64</v>
      </c>
      <c r="DC9" s="95" t="s">
        <v>97</v>
      </c>
      <c r="DD9" s="354">
        <f>B40</f>
        <v>14.8</v>
      </c>
      <c r="DE9" s="95" t="s">
        <v>413</v>
      </c>
      <c r="DF9" s="95" t="s">
        <v>79</v>
      </c>
      <c r="DG9" s="95">
        <v>0.25</v>
      </c>
      <c r="DH9" s="95" t="s">
        <v>80</v>
      </c>
      <c r="DO9" s="95" t="s">
        <v>79</v>
      </c>
      <c r="DP9" s="95">
        <v>0.25</v>
      </c>
      <c r="DQ9" s="95" t="s">
        <v>80</v>
      </c>
      <c r="DR9" s="95" t="s">
        <v>278</v>
      </c>
      <c r="DS9" s="95">
        <f>B45</f>
        <v>256</v>
      </c>
      <c r="DT9" s="95" t="s">
        <v>413</v>
      </c>
      <c r="DX9" s="95" t="s">
        <v>347</v>
      </c>
      <c r="DY9" s="354">
        <f>B23</f>
        <v>0</v>
      </c>
      <c r="EA9" s="95" t="s">
        <v>347</v>
      </c>
      <c r="EB9" s="354">
        <f>B23</f>
        <v>0</v>
      </c>
      <c r="ED9" s="95" t="s">
        <v>347</v>
      </c>
      <c r="EE9" s="354">
        <f>B23</f>
        <v>0</v>
      </c>
      <c r="EG9" s="95" t="s">
        <v>98</v>
      </c>
      <c r="EH9" s="95">
        <f>4.7*1000/365</f>
        <v>12.876712328767123</v>
      </c>
      <c r="EI9" s="95" t="s">
        <v>413</v>
      </c>
      <c r="EM9" s="95" t="s">
        <v>348</v>
      </c>
      <c r="EN9" s="354">
        <f>B24</f>
        <v>0</v>
      </c>
      <c r="EP9" s="95" t="s">
        <v>348</v>
      </c>
      <c r="EQ9" s="354">
        <f>B24</f>
        <v>0</v>
      </c>
      <c r="ES9" s="95" t="s">
        <v>348</v>
      </c>
      <c r="ET9" s="354">
        <f>B24</f>
        <v>0</v>
      </c>
      <c r="EV9" s="95" t="s">
        <v>287</v>
      </c>
      <c r="EW9" s="95">
        <f>2.3*1000/365</f>
        <v>6.3013698630136989</v>
      </c>
      <c r="EX9" s="95" t="s">
        <v>413</v>
      </c>
      <c r="FB9" s="95" t="s">
        <v>349</v>
      </c>
      <c r="FC9" s="356">
        <f>B26</f>
        <v>0</v>
      </c>
      <c r="FE9" s="95" t="s">
        <v>349</v>
      </c>
      <c r="FF9" s="356">
        <f>B26</f>
        <v>0</v>
      </c>
      <c r="FH9" s="95" t="s">
        <v>349</v>
      </c>
      <c r="FI9" s="356">
        <f>B26</f>
        <v>0</v>
      </c>
      <c r="FK9" s="95" t="s">
        <v>254</v>
      </c>
      <c r="FL9" s="95">
        <f>6.4*1000/365</f>
        <v>17.534246575342465</v>
      </c>
      <c r="FM9" s="95" t="s">
        <v>413</v>
      </c>
      <c r="FT9" s="95" t="s">
        <v>350</v>
      </c>
      <c r="FU9" s="357">
        <v>1</v>
      </c>
      <c r="FW9" s="95" t="s">
        <v>350</v>
      </c>
      <c r="FX9" s="357">
        <v>1</v>
      </c>
      <c r="FZ9" s="95" t="s">
        <v>252</v>
      </c>
      <c r="GA9" s="362">
        <f>5*1000/365</f>
        <v>13.698630136986301</v>
      </c>
      <c r="GB9" s="95" t="s">
        <v>413</v>
      </c>
      <c r="GF9" s="95" t="s">
        <v>351</v>
      </c>
      <c r="GG9" s="356">
        <f>B25</f>
        <v>0</v>
      </c>
      <c r="GI9" s="95" t="s">
        <v>351</v>
      </c>
      <c r="GJ9" s="356">
        <f>B25</f>
        <v>0</v>
      </c>
      <c r="GL9" s="95" t="s">
        <v>351</v>
      </c>
      <c r="GM9" s="356">
        <f>B25</f>
        <v>0</v>
      </c>
      <c r="GO9" s="95" t="s">
        <v>295</v>
      </c>
      <c r="GP9" s="95">
        <f>4.5*1000/365</f>
        <v>12.328767123287671</v>
      </c>
      <c r="GQ9" s="95" t="s">
        <v>413</v>
      </c>
      <c r="GU9" s="95" t="s">
        <v>352</v>
      </c>
      <c r="GV9" s="356">
        <f>B27</f>
        <v>0</v>
      </c>
      <c r="GX9" s="95" t="s">
        <v>352</v>
      </c>
      <c r="GY9" s="356">
        <f>B27</f>
        <v>0</v>
      </c>
      <c r="HA9" s="95" t="s">
        <v>352</v>
      </c>
      <c r="HB9" s="356">
        <f>B27</f>
        <v>0</v>
      </c>
      <c r="HD9" s="95" t="s">
        <v>74</v>
      </c>
      <c r="HE9" s="95">
        <v>0.3</v>
      </c>
    </row>
    <row r="10" spans="1:214" s="95" customFormat="1" x14ac:dyDescent="0.2">
      <c r="A10" s="95" t="s">
        <v>473</v>
      </c>
      <c r="B10" s="353">
        <v>1.5400000000000001E-6</v>
      </c>
      <c r="C10" s="95" t="s">
        <v>477</v>
      </c>
      <c r="D10" s="95" t="s">
        <v>75</v>
      </c>
      <c r="E10" s="354">
        <f>B5</f>
        <v>1.7999999999999999E-11</v>
      </c>
      <c r="F10" s="95" t="s">
        <v>64</v>
      </c>
      <c r="G10" s="363" t="s">
        <v>142</v>
      </c>
      <c r="H10" s="364" t="e">
        <f>H5/(H6*H15)</f>
        <v>#DIV/0!</v>
      </c>
      <c r="I10" s="365" t="s">
        <v>22</v>
      </c>
      <c r="J10" s="95" t="s">
        <v>164</v>
      </c>
      <c r="K10" s="354">
        <f>B18</f>
        <v>1359344473.5814338</v>
      </c>
      <c r="L10" s="95" t="s">
        <v>165</v>
      </c>
      <c r="M10" s="95" t="s">
        <v>68</v>
      </c>
      <c r="N10" s="95">
        <v>26</v>
      </c>
      <c r="O10" s="95" t="s">
        <v>62</v>
      </c>
      <c r="P10" s="95" t="s">
        <v>68</v>
      </c>
      <c r="Q10" s="95">
        <v>26</v>
      </c>
      <c r="R10" s="95" t="s">
        <v>62</v>
      </c>
      <c r="S10" s="95" t="s">
        <v>68</v>
      </c>
      <c r="T10" s="95">
        <v>26</v>
      </c>
      <c r="U10" s="95" t="s">
        <v>62</v>
      </c>
      <c r="V10" s="95" t="s">
        <v>75</v>
      </c>
      <c r="W10" s="354">
        <f>B5</f>
        <v>1.7999999999999999E-11</v>
      </c>
      <c r="X10" s="95" t="s">
        <v>76</v>
      </c>
      <c r="Y10" s="95" t="s">
        <v>75</v>
      </c>
      <c r="Z10" s="354">
        <f>B5</f>
        <v>1.7999999999999999E-11</v>
      </c>
      <c r="AA10" s="95" t="s">
        <v>76</v>
      </c>
      <c r="AI10" s="95" t="s">
        <v>68</v>
      </c>
      <c r="AJ10" s="95">
        <v>25</v>
      </c>
      <c r="AK10" s="95" t="s">
        <v>62</v>
      </c>
      <c r="AL10" s="95" t="s">
        <v>68</v>
      </c>
      <c r="AM10" s="95">
        <v>25</v>
      </c>
      <c r="AN10" s="95" t="s">
        <v>62</v>
      </c>
      <c r="AO10" s="95" t="s">
        <v>68</v>
      </c>
      <c r="AP10" s="95">
        <v>25</v>
      </c>
      <c r="AQ10" s="95" t="s">
        <v>62</v>
      </c>
      <c r="AR10" s="95" t="s">
        <v>68</v>
      </c>
      <c r="AS10" s="95">
        <v>25</v>
      </c>
      <c r="AT10" s="95" t="s">
        <v>62</v>
      </c>
      <c r="AU10" s="95" t="s">
        <v>68</v>
      </c>
      <c r="AV10" s="95">
        <v>25</v>
      </c>
      <c r="AW10" s="95" t="s">
        <v>62</v>
      </c>
      <c r="AX10" s="95" t="s">
        <v>68</v>
      </c>
      <c r="AY10" s="95">
        <v>25</v>
      </c>
      <c r="AZ10" s="95" t="s">
        <v>62</v>
      </c>
      <c r="BA10" s="95" t="s">
        <v>68</v>
      </c>
      <c r="BB10" s="95">
        <v>25</v>
      </c>
      <c r="BC10" s="95" t="s">
        <v>62</v>
      </c>
      <c r="BD10" s="95" t="s">
        <v>68</v>
      </c>
      <c r="BE10" s="95">
        <v>25</v>
      </c>
      <c r="BF10" s="95" t="s">
        <v>62</v>
      </c>
      <c r="BG10" s="95" t="s">
        <v>68</v>
      </c>
      <c r="BH10" s="95">
        <v>25</v>
      </c>
      <c r="BI10" s="95" t="s">
        <v>62</v>
      </c>
      <c r="BJ10" s="95" t="s">
        <v>411</v>
      </c>
      <c r="BK10" s="95">
        <v>50</v>
      </c>
      <c r="BL10" s="95" t="s">
        <v>426</v>
      </c>
      <c r="BM10" s="95" t="s">
        <v>411</v>
      </c>
      <c r="BN10" s="95">
        <v>50</v>
      </c>
      <c r="BO10" s="95" t="s">
        <v>426</v>
      </c>
      <c r="BP10" s="95" t="s">
        <v>411</v>
      </c>
      <c r="BQ10" s="95">
        <v>50</v>
      </c>
      <c r="BR10" s="95" t="s">
        <v>426</v>
      </c>
      <c r="BS10" s="95" t="s">
        <v>75</v>
      </c>
      <c r="BT10" s="354">
        <f>E10</f>
        <v>1.7999999999999999E-11</v>
      </c>
      <c r="BU10" s="95" t="s">
        <v>64</v>
      </c>
      <c r="BV10" s="95" t="s">
        <v>142</v>
      </c>
      <c r="BW10" s="354" t="e">
        <f>BW5/(BW6*BW13)</f>
        <v>#DIV/0!</v>
      </c>
      <c r="BX10" s="95" t="s">
        <v>22</v>
      </c>
      <c r="BY10" s="95" t="s">
        <v>38</v>
      </c>
      <c r="BZ10" s="354">
        <f>(BZ33*BZ11)/(1-EXP(-BZ11*BZ33))</f>
        <v>1720.0392254477595</v>
      </c>
      <c r="CB10" s="95" t="s">
        <v>68</v>
      </c>
      <c r="CC10" s="95">
        <v>26</v>
      </c>
      <c r="CD10" s="95" t="s">
        <v>62</v>
      </c>
      <c r="CE10" s="95" t="s">
        <v>68</v>
      </c>
      <c r="CF10" s="95">
        <v>26</v>
      </c>
      <c r="CG10" s="95" t="s">
        <v>62</v>
      </c>
      <c r="CH10" s="95" t="s">
        <v>68</v>
      </c>
      <c r="CI10" s="95">
        <v>26</v>
      </c>
      <c r="CJ10" s="95" t="s">
        <v>62</v>
      </c>
      <c r="CN10" s="95" t="s">
        <v>338</v>
      </c>
      <c r="CO10" s="357">
        <v>1</v>
      </c>
      <c r="CP10" s="95" t="s">
        <v>479</v>
      </c>
      <c r="CT10" s="95" t="s">
        <v>164</v>
      </c>
      <c r="CU10" s="354">
        <f>B18</f>
        <v>1359344473.5814338</v>
      </c>
      <c r="CV10" s="95" t="s">
        <v>165</v>
      </c>
      <c r="CW10" s="95" t="s">
        <v>75</v>
      </c>
      <c r="CX10" s="354">
        <f>B5</f>
        <v>1.7999999999999999E-11</v>
      </c>
      <c r="CY10" s="95" t="s">
        <v>64</v>
      </c>
      <c r="CZ10" s="95" t="s">
        <v>38</v>
      </c>
      <c r="DA10" s="354">
        <f>(DA39*DA11)/(1-EXP(-DA11*DA39))</f>
        <v>2646.2141929965533</v>
      </c>
      <c r="DC10" s="95" t="s">
        <v>118</v>
      </c>
      <c r="DD10" s="354">
        <f>B41</f>
        <v>56.2</v>
      </c>
      <c r="DE10" s="95" t="s">
        <v>413</v>
      </c>
      <c r="DF10" s="95" t="s">
        <v>66</v>
      </c>
      <c r="DG10" s="354">
        <f>B30</f>
        <v>0</v>
      </c>
      <c r="DO10" s="95" t="s">
        <v>66</v>
      </c>
      <c r="DP10" s="354">
        <f>B30</f>
        <v>0</v>
      </c>
      <c r="DR10" s="95" t="s">
        <v>279</v>
      </c>
      <c r="DS10" s="95">
        <f>B46</f>
        <v>615</v>
      </c>
      <c r="DT10" s="95" t="s">
        <v>413</v>
      </c>
      <c r="DX10" s="95" t="s">
        <v>89</v>
      </c>
      <c r="DY10" s="95">
        <v>16.899999999999999</v>
      </c>
      <c r="EA10" s="95" t="s">
        <v>89</v>
      </c>
      <c r="EB10" s="95">
        <v>16.899999999999999</v>
      </c>
      <c r="ED10" s="95" t="s">
        <v>89</v>
      </c>
      <c r="EE10" s="95">
        <v>16.899999999999999</v>
      </c>
      <c r="EG10" s="95" t="s">
        <v>119</v>
      </c>
      <c r="EH10" s="95">
        <f>50.2*1000/365</f>
        <v>137.53424657534248</v>
      </c>
      <c r="EI10" s="95" t="s">
        <v>413</v>
      </c>
      <c r="EM10" s="95" t="s">
        <v>90</v>
      </c>
      <c r="EN10" s="95">
        <v>11.77</v>
      </c>
      <c r="EP10" s="95" t="s">
        <v>90</v>
      </c>
      <c r="EQ10" s="95">
        <v>11.77</v>
      </c>
      <c r="ES10" s="95" t="s">
        <v>90</v>
      </c>
      <c r="ET10" s="95">
        <v>11.77</v>
      </c>
      <c r="EV10" s="95" t="s">
        <v>288</v>
      </c>
      <c r="EW10" s="95">
        <f>14.9*1000/365</f>
        <v>40.821917808219176</v>
      </c>
      <c r="EX10" s="95" t="s">
        <v>413</v>
      </c>
      <c r="FB10" s="95" t="s">
        <v>318</v>
      </c>
      <c r="FC10" s="95">
        <v>0.2</v>
      </c>
      <c r="FE10" s="95" t="s">
        <v>318</v>
      </c>
      <c r="FF10" s="95">
        <v>0.2</v>
      </c>
      <c r="FH10" s="95" t="s">
        <v>318</v>
      </c>
      <c r="FI10" s="95">
        <v>0.2</v>
      </c>
      <c r="FK10" s="95" t="s">
        <v>255</v>
      </c>
      <c r="FL10" s="95">
        <f>45.8*1000/365</f>
        <v>125.47945205479452</v>
      </c>
      <c r="FM10" s="95" t="s">
        <v>413</v>
      </c>
      <c r="FT10" s="95" t="s">
        <v>315</v>
      </c>
      <c r="FU10" s="357">
        <v>1</v>
      </c>
      <c r="FW10" s="95" t="s">
        <v>315</v>
      </c>
      <c r="FX10" s="357">
        <v>1</v>
      </c>
      <c r="FZ10" s="95" t="s">
        <v>253</v>
      </c>
      <c r="GA10" s="95">
        <f>35.8*1000/365</f>
        <v>98.082191780821915</v>
      </c>
      <c r="GB10" s="95" t="s">
        <v>413</v>
      </c>
      <c r="GF10" s="95" t="s">
        <v>301</v>
      </c>
      <c r="GG10" s="95">
        <v>0.2</v>
      </c>
      <c r="GI10" s="95" t="s">
        <v>301</v>
      </c>
      <c r="GJ10" s="95">
        <v>0.2</v>
      </c>
      <c r="GL10" s="95" t="s">
        <v>301</v>
      </c>
      <c r="GM10" s="95">
        <v>0.2</v>
      </c>
      <c r="GO10" s="95" t="s">
        <v>294</v>
      </c>
      <c r="GP10" s="95">
        <f>27.7*1000/365</f>
        <v>75.890410958904113</v>
      </c>
      <c r="GQ10" s="95" t="s">
        <v>413</v>
      </c>
      <c r="GU10" s="95" t="s">
        <v>306</v>
      </c>
      <c r="GV10" s="95">
        <v>4.7</v>
      </c>
      <c r="GX10" s="95" t="s">
        <v>306</v>
      </c>
      <c r="GY10" s="95">
        <v>4.7</v>
      </c>
      <c r="HA10" s="95" t="s">
        <v>306</v>
      </c>
      <c r="HB10" s="95">
        <v>4.7</v>
      </c>
      <c r="HD10" s="95" t="s">
        <v>81</v>
      </c>
      <c r="HE10" s="354">
        <v>1.5</v>
      </c>
    </row>
    <row r="11" spans="1:214" s="95" customFormat="1" x14ac:dyDescent="0.2">
      <c r="A11" s="95" t="s">
        <v>476</v>
      </c>
      <c r="B11" s="353">
        <v>9.8500000000000001E-10</v>
      </c>
      <c r="C11" s="95" t="s">
        <v>163</v>
      </c>
      <c r="D11" s="95" t="s">
        <v>82</v>
      </c>
      <c r="E11" s="360">
        <f>((E14/E15)*E24*E12*E16)+((E14/E15)*E25*E13*E17)</f>
        <v>161000</v>
      </c>
      <c r="F11" s="95" t="s">
        <v>444</v>
      </c>
      <c r="G11" s="366" t="s">
        <v>134</v>
      </c>
      <c r="H11" s="354">
        <f>H5/(H7*H16*H28)</f>
        <v>0.69013112491373352</v>
      </c>
      <c r="I11" s="367" t="s">
        <v>22</v>
      </c>
      <c r="J11" s="95" t="s">
        <v>38</v>
      </c>
      <c r="K11" s="354">
        <f>(K45*K12)/(1-EXP(-K12*K45))</f>
        <v>1720.0392254477595</v>
      </c>
      <c r="M11" s="95" t="s">
        <v>91</v>
      </c>
      <c r="N11" s="95">
        <v>0.4</v>
      </c>
      <c r="P11" s="95" t="s">
        <v>91</v>
      </c>
      <c r="Q11" s="95">
        <v>0.4</v>
      </c>
      <c r="S11" s="95" t="s">
        <v>91</v>
      </c>
      <c r="T11" s="95">
        <v>0.4</v>
      </c>
      <c r="V11" s="95" t="s">
        <v>84</v>
      </c>
      <c r="W11" s="95">
        <v>8</v>
      </c>
      <c r="X11" s="95" t="s">
        <v>85</v>
      </c>
      <c r="Y11" s="95" t="s">
        <v>84</v>
      </c>
      <c r="Z11" s="95">
        <v>8</v>
      </c>
      <c r="AA11" s="95" t="s">
        <v>85</v>
      </c>
      <c r="AB11" s="95" t="s">
        <v>68</v>
      </c>
      <c r="AC11" s="95">
        <v>25</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1437.5</v>
      </c>
      <c r="BU11" s="95" t="s">
        <v>444</v>
      </c>
      <c r="BV11" s="95" t="s">
        <v>134</v>
      </c>
      <c r="BW11" s="354"/>
      <c r="BX11" s="95" t="s">
        <v>22</v>
      </c>
      <c r="BY11" s="95" t="s">
        <v>52</v>
      </c>
      <c r="BZ11" s="354">
        <f>0.693/BZ12</f>
        <v>66.155354824913829</v>
      </c>
      <c r="CB11" s="95" t="s">
        <v>102</v>
      </c>
      <c r="CC11" s="95">
        <v>6.8000000000000005E-2</v>
      </c>
      <c r="CE11" s="95" t="s">
        <v>102</v>
      </c>
      <c r="CF11" s="95">
        <v>3.7100000000000001E-2</v>
      </c>
      <c r="CH11" s="95" t="s">
        <v>102</v>
      </c>
      <c r="CI11" s="95">
        <v>5.8400000000000001E-2</v>
      </c>
      <c r="CN11" s="95" t="s">
        <v>335</v>
      </c>
      <c r="CO11" s="357">
        <v>1</v>
      </c>
      <c r="CP11" s="95" t="s">
        <v>479</v>
      </c>
      <c r="CT11" s="95" t="s">
        <v>38</v>
      </c>
      <c r="CU11" s="354">
        <f>(CU45*CU12)/(1-EXP(-CU12*CU45))</f>
        <v>2646.2141929965533</v>
      </c>
      <c r="CW11" s="95" t="s">
        <v>82</v>
      </c>
      <c r="CX11" s="360">
        <f>((CX15/24)*CX24*CX12*CX16)+((CX14/24)*CX25*CX13*CX17)</f>
        <v>259000</v>
      </c>
      <c r="CY11" s="95" t="s">
        <v>444</v>
      </c>
      <c r="CZ11" s="95" t="s">
        <v>52</v>
      </c>
      <c r="DA11" s="354">
        <f>0.693/DA12</f>
        <v>66.155354824913829</v>
      </c>
      <c r="DC11" s="95" t="s">
        <v>283</v>
      </c>
      <c r="DD11" s="360">
        <f>(DD12*DD15*DD16)+(DD13*DD14*DD17)</f>
        <v>360990</v>
      </c>
      <c r="DE11" s="95" t="s">
        <v>230</v>
      </c>
      <c r="DF11" s="95" t="s">
        <v>99</v>
      </c>
      <c r="DG11" s="95">
        <f>DG19+DG20</f>
        <v>0.18144061256544503</v>
      </c>
      <c r="DO11" s="95" t="s">
        <v>99</v>
      </c>
      <c r="DP11" s="95">
        <f>DP19+DP20</f>
        <v>2.6999999999999999E-5</v>
      </c>
      <c r="DR11" s="95" t="s">
        <v>70</v>
      </c>
      <c r="DS11" s="95">
        <v>350</v>
      </c>
      <c r="DT11" s="95" t="s">
        <v>55</v>
      </c>
      <c r="DX11" s="95" t="s">
        <v>100</v>
      </c>
      <c r="DY11" s="95">
        <v>0.41</v>
      </c>
      <c r="EA11" s="95" t="s">
        <v>100</v>
      </c>
      <c r="EB11" s="95">
        <v>0.41</v>
      </c>
      <c r="ED11" s="95" t="s">
        <v>100</v>
      </c>
      <c r="EE11" s="95">
        <v>0.41</v>
      </c>
      <c r="EG11" s="95" t="s">
        <v>70</v>
      </c>
      <c r="EH11" s="95">
        <v>350</v>
      </c>
      <c r="EI11" s="95" t="s">
        <v>55</v>
      </c>
      <c r="EM11" s="95" t="s">
        <v>101</v>
      </c>
      <c r="EN11" s="95">
        <v>0.39</v>
      </c>
      <c r="EP11" s="95" t="s">
        <v>101</v>
      </c>
      <c r="EQ11" s="95">
        <v>0.39</v>
      </c>
      <c r="ES11" s="95" t="s">
        <v>101</v>
      </c>
      <c r="ET11" s="95">
        <v>0.39</v>
      </c>
      <c r="EV11" s="95" t="s">
        <v>422</v>
      </c>
      <c r="EW11" s="95">
        <v>350</v>
      </c>
      <c r="EX11" s="95" t="s">
        <v>55</v>
      </c>
      <c r="FB11" s="95" t="s">
        <v>317</v>
      </c>
      <c r="FC11" s="95">
        <v>2.1999999999999999E-2</v>
      </c>
      <c r="FE11" s="95" t="s">
        <v>317</v>
      </c>
      <c r="FF11" s="95">
        <v>2.1999999999999999E-2</v>
      </c>
      <c r="FH11" s="95" t="s">
        <v>317</v>
      </c>
      <c r="FI11" s="95">
        <v>2.1999999999999999E-2</v>
      </c>
      <c r="FK11" s="95" t="s">
        <v>422</v>
      </c>
      <c r="FL11" s="95">
        <v>350</v>
      </c>
      <c r="FM11" s="95" t="s">
        <v>55</v>
      </c>
      <c r="FT11" s="95" t="s">
        <v>314</v>
      </c>
      <c r="FU11" s="357">
        <v>1</v>
      </c>
      <c r="FW11" s="95" t="s">
        <v>314</v>
      </c>
      <c r="FX11" s="357">
        <v>1</v>
      </c>
      <c r="FZ11" s="95" t="s">
        <v>422</v>
      </c>
      <c r="GA11" s="95">
        <v>350</v>
      </c>
      <c r="GB11" s="95" t="s">
        <v>55</v>
      </c>
      <c r="GF11" s="95" t="s">
        <v>302</v>
      </c>
      <c r="GG11" s="95">
        <v>2.1999999999999999E-2</v>
      </c>
      <c r="GI11" s="95" t="s">
        <v>302</v>
      </c>
      <c r="GJ11" s="95">
        <v>2.1999999999999999E-2</v>
      </c>
      <c r="GL11" s="95" t="s">
        <v>302</v>
      </c>
      <c r="GM11" s="95">
        <v>2.1999999999999999E-2</v>
      </c>
      <c r="GO11" s="95" t="s">
        <v>422</v>
      </c>
      <c r="GP11" s="95">
        <v>350</v>
      </c>
      <c r="GQ11" s="95" t="s">
        <v>55</v>
      </c>
      <c r="GU11" s="95" t="s">
        <v>307</v>
      </c>
      <c r="GV11" s="95">
        <v>0.37</v>
      </c>
      <c r="GX11" s="95" t="s">
        <v>307</v>
      </c>
      <c r="GY11" s="95">
        <v>0.37</v>
      </c>
      <c r="HA11" s="95" t="s">
        <v>307</v>
      </c>
      <c r="HB11" s="95">
        <v>0.37</v>
      </c>
      <c r="HD11" s="95" t="s">
        <v>92</v>
      </c>
      <c r="HE11" s="95">
        <v>26</v>
      </c>
    </row>
    <row r="12" spans="1:214" s="95" customFormat="1" x14ac:dyDescent="0.2">
      <c r="A12" s="95" t="s">
        <v>474</v>
      </c>
      <c r="B12" s="353">
        <v>4.5199999999999999E-6</v>
      </c>
      <c r="C12" s="95" t="s">
        <v>163</v>
      </c>
      <c r="D12" s="95" t="s">
        <v>93</v>
      </c>
      <c r="E12" s="95">
        <f>B33</f>
        <v>10</v>
      </c>
      <c r="F12" s="95" t="s">
        <v>83</v>
      </c>
      <c r="G12" s="366" t="s">
        <v>256</v>
      </c>
      <c r="H12" s="354">
        <f>H5/(H8*(1/H45)*H21)</f>
        <v>83925.409854912505</v>
      </c>
      <c r="I12" s="367" t="s">
        <v>22</v>
      </c>
      <c r="J12" s="95" t="s">
        <v>52</v>
      </c>
      <c r="K12" s="354">
        <f>0.693/K13</f>
        <v>66.155354824913829</v>
      </c>
      <c r="M12" s="95" t="s">
        <v>102</v>
      </c>
      <c r="N12" s="95">
        <v>1</v>
      </c>
      <c r="P12" s="95" t="s">
        <v>102</v>
      </c>
      <c r="Q12" s="95">
        <v>1</v>
      </c>
      <c r="S12" s="95" t="s">
        <v>102</v>
      </c>
      <c r="T12" s="95">
        <v>1</v>
      </c>
      <c r="W12" s="95">
        <v>24</v>
      </c>
      <c r="X12" s="95" t="s">
        <v>85</v>
      </c>
      <c r="Z12" s="95">
        <v>24</v>
      </c>
      <c r="AA12" s="95" t="s">
        <v>85</v>
      </c>
      <c r="AB12" s="95" t="s">
        <v>410</v>
      </c>
      <c r="AF12" s="95">
        <v>5</v>
      </c>
      <c r="AG12" s="95">
        <v>5</v>
      </c>
      <c r="AH12" s="95" t="s">
        <v>210</v>
      </c>
      <c r="AI12" s="95" t="s">
        <v>102</v>
      </c>
      <c r="AJ12" s="95">
        <v>1</v>
      </c>
      <c r="AL12" s="95" t="s">
        <v>102</v>
      </c>
      <c r="AM12" s="95">
        <v>1</v>
      </c>
      <c r="AO12" s="95" t="s">
        <v>102</v>
      </c>
      <c r="AP12" s="95">
        <v>1</v>
      </c>
      <c r="AR12" s="95" t="s">
        <v>102</v>
      </c>
      <c r="AS12" s="95">
        <v>1</v>
      </c>
      <c r="AU12" s="95" t="s">
        <v>102</v>
      </c>
      <c r="AV12" s="95">
        <v>1</v>
      </c>
      <c r="AX12" s="95" t="s">
        <v>102</v>
      </c>
      <c r="AY12" s="95">
        <v>1</v>
      </c>
      <c r="BA12" s="95" t="s">
        <v>102</v>
      </c>
      <c r="BB12" s="95">
        <v>1</v>
      </c>
      <c r="BD12" s="95" t="s">
        <v>102</v>
      </c>
      <c r="BE12" s="95">
        <v>1</v>
      </c>
      <c r="BG12" s="95" t="s">
        <v>102</v>
      </c>
      <c r="BH12" s="95">
        <v>1</v>
      </c>
      <c r="BJ12" s="95" t="s">
        <v>68</v>
      </c>
      <c r="BK12" s="95">
        <v>1</v>
      </c>
      <c r="BL12" s="95" t="s">
        <v>62</v>
      </c>
      <c r="BM12" s="95" t="s">
        <v>68</v>
      </c>
      <c r="BN12" s="95">
        <v>1</v>
      </c>
      <c r="BO12" s="95" t="s">
        <v>62</v>
      </c>
      <c r="BP12" s="95" t="s">
        <v>68</v>
      </c>
      <c r="BQ12" s="95">
        <v>1</v>
      </c>
      <c r="BR12" s="95" t="s">
        <v>62</v>
      </c>
      <c r="BS12" s="95" t="s">
        <v>93</v>
      </c>
      <c r="BT12" s="95">
        <f>B33</f>
        <v>10</v>
      </c>
      <c r="BU12" s="95" t="s">
        <v>83</v>
      </c>
      <c r="BV12" s="95" t="s">
        <v>256</v>
      </c>
      <c r="BW12" s="354">
        <f>BW5/(BW8*(1/BW32)*BW16)</f>
        <v>437846.75363622728</v>
      </c>
      <c r="BX12" s="95" t="s">
        <v>22</v>
      </c>
      <c r="BY12" s="95" t="s">
        <v>448</v>
      </c>
      <c r="BZ12" s="354">
        <f>B17</f>
        <v>1.04753425E-2</v>
      </c>
      <c r="CA12" s="95" t="s">
        <v>129</v>
      </c>
      <c r="CB12" s="95" t="s">
        <v>113</v>
      </c>
      <c r="CC12" s="95">
        <v>0.75600000000000001</v>
      </c>
      <c r="CE12" s="95" t="s">
        <v>113</v>
      </c>
      <c r="CF12" s="95">
        <v>0.65</v>
      </c>
      <c r="CH12" s="95" t="s">
        <v>113</v>
      </c>
      <c r="CI12" s="95">
        <v>0.70099999999999996</v>
      </c>
      <c r="CN12" s="95" t="s">
        <v>336</v>
      </c>
      <c r="CO12" s="357">
        <v>1</v>
      </c>
      <c r="CP12" s="95" t="s">
        <v>80</v>
      </c>
      <c r="CT12" s="95" t="s">
        <v>52</v>
      </c>
      <c r="CU12" s="354">
        <f>0.693/CU13</f>
        <v>66.155354824913829</v>
      </c>
      <c r="CW12" s="95" t="s">
        <v>93</v>
      </c>
      <c r="CX12" s="95">
        <f>B33</f>
        <v>10</v>
      </c>
      <c r="CY12" s="95" t="s">
        <v>83</v>
      </c>
      <c r="CZ12" s="95" t="s">
        <v>448</v>
      </c>
      <c r="DA12" s="354">
        <f>B17</f>
        <v>1.04753425E-2</v>
      </c>
      <c r="DB12" s="95" t="s">
        <v>129</v>
      </c>
      <c r="DC12" s="95" t="s">
        <v>147</v>
      </c>
      <c r="DD12" s="354">
        <f>B42</f>
        <v>10.4</v>
      </c>
      <c r="DE12" s="95" t="s">
        <v>413</v>
      </c>
      <c r="DF12" s="95" t="s">
        <v>109</v>
      </c>
      <c r="DG12" s="95">
        <v>10950</v>
      </c>
      <c r="DH12" s="95" t="s">
        <v>110</v>
      </c>
      <c r="DO12" s="95" t="s">
        <v>109</v>
      </c>
      <c r="DP12" s="95">
        <v>10950</v>
      </c>
      <c r="DQ12" s="95" t="s">
        <v>110</v>
      </c>
      <c r="DR12" s="95" t="s">
        <v>78</v>
      </c>
      <c r="DS12" s="95">
        <v>350</v>
      </c>
      <c r="DT12" s="95" t="s">
        <v>55</v>
      </c>
      <c r="DX12" s="95" t="s">
        <v>111</v>
      </c>
      <c r="DY12" s="95">
        <v>1</v>
      </c>
      <c r="EA12" s="95" t="s">
        <v>111</v>
      </c>
      <c r="EB12" s="95">
        <v>1</v>
      </c>
      <c r="ED12" s="95" t="s">
        <v>111</v>
      </c>
      <c r="EE12" s="95">
        <v>1</v>
      </c>
      <c r="EG12" s="95" t="s">
        <v>78</v>
      </c>
      <c r="EH12" s="95">
        <v>350</v>
      </c>
      <c r="EI12" s="95" t="s">
        <v>55</v>
      </c>
      <c r="EM12" s="95" t="s">
        <v>112</v>
      </c>
      <c r="EN12" s="95">
        <v>1</v>
      </c>
      <c r="EP12" s="95" t="s">
        <v>112</v>
      </c>
      <c r="EQ12" s="95">
        <v>1</v>
      </c>
      <c r="ES12" s="95" t="s">
        <v>112</v>
      </c>
      <c r="ET12" s="95">
        <v>1</v>
      </c>
      <c r="EV12" s="95" t="s">
        <v>423</v>
      </c>
      <c r="EW12" s="95">
        <v>350</v>
      </c>
      <c r="EX12" s="95" t="s">
        <v>55</v>
      </c>
      <c r="FB12" s="95" t="s">
        <v>319</v>
      </c>
      <c r="FC12" s="357">
        <v>1</v>
      </c>
      <c r="FE12" s="95" t="s">
        <v>319</v>
      </c>
      <c r="FF12" s="357">
        <v>1</v>
      </c>
      <c r="FH12" s="95" t="s">
        <v>319</v>
      </c>
      <c r="FI12" s="357">
        <v>1</v>
      </c>
      <c r="FK12" s="95" t="s">
        <v>423</v>
      </c>
      <c r="FL12" s="95">
        <v>350</v>
      </c>
      <c r="FM12" s="95" t="s">
        <v>55</v>
      </c>
      <c r="FT12" s="95" t="s">
        <v>313</v>
      </c>
      <c r="FU12" s="357">
        <v>1</v>
      </c>
      <c r="FW12" s="95" t="s">
        <v>313</v>
      </c>
      <c r="FX12" s="357">
        <v>1</v>
      </c>
      <c r="FZ12" s="95" t="s">
        <v>423</v>
      </c>
      <c r="GA12" s="95">
        <v>350</v>
      </c>
      <c r="GB12" s="95" t="s">
        <v>55</v>
      </c>
      <c r="GF12" s="95" t="s">
        <v>303</v>
      </c>
      <c r="GG12" s="95">
        <v>1</v>
      </c>
      <c r="GI12" s="95" t="s">
        <v>303</v>
      </c>
      <c r="GJ12" s="95">
        <v>1</v>
      </c>
      <c r="GL12" s="95" t="s">
        <v>303</v>
      </c>
      <c r="GM12" s="95">
        <v>1</v>
      </c>
      <c r="GO12" s="95" t="s">
        <v>423</v>
      </c>
      <c r="GP12" s="95">
        <v>350</v>
      </c>
      <c r="GQ12" s="95" t="s">
        <v>55</v>
      </c>
      <c r="GU12" s="95" t="s">
        <v>308</v>
      </c>
      <c r="GV12" s="95">
        <v>1</v>
      </c>
      <c r="GX12" s="95" t="s">
        <v>308</v>
      </c>
      <c r="GY12" s="95">
        <v>1</v>
      </c>
      <c r="HA12" s="95" t="s">
        <v>308</v>
      </c>
      <c r="HB12" s="95">
        <v>1</v>
      </c>
      <c r="HE12" s="354"/>
    </row>
    <row r="13" spans="1:214" s="95" customFormat="1" x14ac:dyDescent="0.2">
      <c r="A13" s="95" t="s">
        <v>475</v>
      </c>
      <c r="B13" s="353">
        <v>7.1899999999999998E-6</v>
      </c>
      <c r="C13" s="95" t="s">
        <v>163</v>
      </c>
      <c r="D13" s="95" t="s">
        <v>103</v>
      </c>
      <c r="E13" s="95">
        <f>B34</f>
        <v>20</v>
      </c>
      <c r="F13" s="95" t="s">
        <v>83</v>
      </c>
      <c r="G13" s="368" t="s">
        <v>407</v>
      </c>
      <c r="H13" s="369" t="e">
        <f>H14/((1/H42)*(H50+H51+H52))</f>
        <v>#DIV/0!</v>
      </c>
      <c r="I13" s="370" t="s">
        <v>22</v>
      </c>
      <c r="J13" s="95" t="s">
        <v>448</v>
      </c>
      <c r="K13" s="354">
        <f>B17</f>
        <v>1.04753425E-2</v>
      </c>
      <c r="L13" s="95" t="s">
        <v>129</v>
      </c>
      <c r="M13" s="95" t="s">
        <v>113</v>
      </c>
      <c r="N13" s="95">
        <v>1</v>
      </c>
      <c r="P13" s="95" t="s">
        <v>113</v>
      </c>
      <c r="Q13" s="95">
        <f>N13</f>
        <v>1</v>
      </c>
      <c r="S13" s="95" t="s">
        <v>113</v>
      </c>
      <c r="T13" s="95">
        <f>N13</f>
        <v>1</v>
      </c>
      <c r="V13" s="95" t="s">
        <v>104</v>
      </c>
      <c r="W13" s="95">
        <f>B35</f>
        <v>60</v>
      </c>
      <c r="X13" s="95" t="s">
        <v>83</v>
      </c>
      <c r="Y13" s="95" t="s">
        <v>104</v>
      </c>
      <c r="Z13" s="95">
        <f>B35</f>
        <v>60</v>
      </c>
      <c r="AA13" s="95" t="s">
        <v>83</v>
      </c>
      <c r="AB13" s="95" t="s">
        <v>411</v>
      </c>
      <c r="AF13" s="95">
        <v>50</v>
      </c>
      <c r="AG13" s="95">
        <v>50</v>
      </c>
      <c r="AH13" s="95" t="s">
        <v>412</v>
      </c>
      <c r="AI13" s="95" t="s">
        <v>113</v>
      </c>
      <c r="AJ13" s="95">
        <f>N13</f>
        <v>1</v>
      </c>
      <c r="AL13" s="95" t="s">
        <v>113</v>
      </c>
      <c r="AM13" s="95">
        <f>Q13</f>
        <v>1</v>
      </c>
      <c r="AO13" s="95" t="s">
        <v>113</v>
      </c>
      <c r="AP13" s="95">
        <f>T13</f>
        <v>1</v>
      </c>
      <c r="AR13" s="95" t="s">
        <v>113</v>
      </c>
      <c r="AS13" s="95">
        <f>AJ13</f>
        <v>1</v>
      </c>
      <c r="AU13" s="95" t="s">
        <v>113</v>
      </c>
      <c r="AV13" s="95">
        <f>AM13</f>
        <v>1</v>
      </c>
      <c r="AX13" s="95" t="s">
        <v>113</v>
      </c>
      <c r="AY13" s="95">
        <f>AP13</f>
        <v>1</v>
      </c>
      <c r="BA13" s="95" t="s">
        <v>113</v>
      </c>
      <c r="BB13" s="95">
        <v>1</v>
      </c>
      <c r="BD13" s="95" t="s">
        <v>113</v>
      </c>
      <c r="BE13" s="95">
        <f>AV13</f>
        <v>1</v>
      </c>
      <c r="BG13" s="95" t="s">
        <v>113</v>
      </c>
      <c r="BH13" s="95">
        <f>AY13</f>
        <v>1</v>
      </c>
      <c r="BJ13" s="95" t="s">
        <v>102</v>
      </c>
      <c r="BK13" s="95">
        <v>2.41E-4</v>
      </c>
      <c r="BM13" s="95" t="s">
        <v>102</v>
      </c>
      <c r="BN13" s="95">
        <v>1.17E-4</v>
      </c>
      <c r="BP13" s="95" t="s">
        <v>102</v>
      </c>
      <c r="BQ13" s="95">
        <v>2.2599999999999999E-4</v>
      </c>
      <c r="BS13" s="95" t="s">
        <v>103</v>
      </c>
      <c r="BT13" s="95">
        <f>B34</f>
        <v>20</v>
      </c>
      <c r="BU13" s="95" t="s">
        <v>83</v>
      </c>
      <c r="BV13" s="95" t="s">
        <v>86</v>
      </c>
      <c r="BW13" s="371">
        <f>((BW18*BW21*BW23*BW26*BW14)+(BW19*BW22*BW24*BW27*BW15))</f>
        <v>58.5</v>
      </c>
      <c r="BX13" s="95" t="s">
        <v>196</v>
      </c>
      <c r="BY13" s="95" t="s">
        <v>142</v>
      </c>
      <c r="BZ13" s="354" t="e">
        <f>(BZ5/(BZ6*BZ16*(1/BZ36)))*BZ10</f>
        <v>#DIV/0!</v>
      </c>
      <c r="CA13" s="95" t="s">
        <v>23</v>
      </c>
      <c r="CB13" s="95" t="s">
        <v>182</v>
      </c>
      <c r="CC13" s="95">
        <v>1</v>
      </c>
      <c r="CD13" s="95" t="s">
        <v>127</v>
      </c>
      <c r="CE13" s="95" t="s">
        <v>182</v>
      </c>
      <c r="CF13" s="95">
        <v>1</v>
      </c>
      <c r="CG13" s="95" t="s">
        <v>127</v>
      </c>
      <c r="CH13" s="95" t="s">
        <v>182</v>
      </c>
      <c r="CI13" s="95">
        <v>1</v>
      </c>
      <c r="CJ13" s="95" t="s">
        <v>127</v>
      </c>
      <c r="CN13" s="95" t="s">
        <v>337</v>
      </c>
      <c r="CO13" s="357">
        <v>1</v>
      </c>
      <c r="CP13" s="95" t="s">
        <v>80</v>
      </c>
      <c r="CT13" s="95" t="s">
        <v>448</v>
      </c>
      <c r="CU13" s="354">
        <f>B17</f>
        <v>1.04753425E-2</v>
      </c>
      <c r="CV13" s="95" t="s">
        <v>129</v>
      </c>
      <c r="CW13" s="95" t="s">
        <v>103</v>
      </c>
      <c r="CX13" s="95">
        <f>B34</f>
        <v>20</v>
      </c>
      <c r="CY13" s="95" t="s">
        <v>83</v>
      </c>
      <c r="CZ13" s="95" t="s">
        <v>142</v>
      </c>
      <c r="DA13" s="354" t="e">
        <f>DA5/(DA6*DA24)</f>
        <v>#DIV/0!</v>
      </c>
      <c r="DB13" s="95" t="s">
        <v>25</v>
      </c>
      <c r="DC13" s="95" t="s">
        <v>152</v>
      </c>
      <c r="DD13" s="354">
        <f>B43</f>
        <v>28.5</v>
      </c>
      <c r="DE13" s="95" t="s">
        <v>413</v>
      </c>
      <c r="DF13" s="95" t="s">
        <v>120</v>
      </c>
      <c r="DG13" s="95">
        <v>240</v>
      </c>
      <c r="DH13" s="95" t="s">
        <v>121</v>
      </c>
      <c r="DO13" s="95" t="s">
        <v>120</v>
      </c>
      <c r="DP13" s="95">
        <v>240</v>
      </c>
      <c r="DQ13" s="95" t="s">
        <v>121</v>
      </c>
      <c r="DR13" s="95" t="s">
        <v>246</v>
      </c>
      <c r="DS13" s="95">
        <v>6</v>
      </c>
      <c r="DT13" s="95" t="s">
        <v>129</v>
      </c>
      <c r="DX13" s="95" t="s">
        <v>122</v>
      </c>
      <c r="DY13" s="95">
        <v>1</v>
      </c>
      <c r="EA13" s="95" t="s">
        <v>122</v>
      </c>
      <c r="EB13" s="95">
        <v>1</v>
      </c>
      <c r="ED13" s="95" t="s">
        <v>122</v>
      </c>
      <c r="EE13" s="95">
        <v>1</v>
      </c>
      <c r="EG13" s="95" t="s">
        <v>246</v>
      </c>
      <c r="EH13" s="95">
        <v>6</v>
      </c>
      <c r="EI13" s="95" t="s">
        <v>129</v>
      </c>
      <c r="EM13" s="95" t="s">
        <v>123</v>
      </c>
      <c r="EN13" s="95">
        <v>1</v>
      </c>
      <c r="EP13" s="95" t="s">
        <v>123</v>
      </c>
      <c r="EQ13" s="95">
        <v>1</v>
      </c>
      <c r="ES13" s="95" t="s">
        <v>123</v>
      </c>
      <c r="ET13" s="95">
        <v>1</v>
      </c>
      <c r="EV13" s="95" t="s">
        <v>246</v>
      </c>
      <c r="EW13" s="95">
        <v>6</v>
      </c>
      <c r="EX13" s="95" t="s">
        <v>129</v>
      </c>
      <c r="FB13" s="95" t="s">
        <v>320</v>
      </c>
      <c r="FC13" s="357">
        <v>1</v>
      </c>
      <c r="FE13" s="95" t="s">
        <v>320</v>
      </c>
      <c r="FF13" s="357">
        <v>1</v>
      </c>
      <c r="FH13" s="95" t="s">
        <v>320</v>
      </c>
      <c r="FI13" s="357">
        <v>1</v>
      </c>
      <c r="FK13" s="95" t="s">
        <v>246</v>
      </c>
      <c r="FL13" s="95">
        <v>6</v>
      </c>
      <c r="FM13" s="95" t="s">
        <v>129</v>
      </c>
      <c r="FT13" s="95" t="s">
        <v>312</v>
      </c>
      <c r="FU13" s="357">
        <v>1</v>
      </c>
      <c r="FW13" s="95" t="s">
        <v>312</v>
      </c>
      <c r="FX13" s="357">
        <v>1</v>
      </c>
      <c r="FZ13" s="95" t="s">
        <v>246</v>
      </c>
      <c r="GA13" s="95">
        <v>6</v>
      </c>
      <c r="GB13" s="95" t="s">
        <v>129</v>
      </c>
      <c r="GF13" s="95" t="s">
        <v>304</v>
      </c>
      <c r="GG13" s="95">
        <v>1</v>
      </c>
      <c r="GI13" s="95" t="s">
        <v>304</v>
      </c>
      <c r="GJ13" s="95">
        <v>1</v>
      </c>
      <c r="GL13" s="95" t="s">
        <v>304</v>
      </c>
      <c r="GM13" s="95">
        <v>1</v>
      </c>
      <c r="GO13" s="95" t="s">
        <v>246</v>
      </c>
      <c r="GP13" s="95">
        <v>6</v>
      </c>
      <c r="GQ13" s="95" t="s">
        <v>129</v>
      </c>
      <c r="GU13" s="95" t="s">
        <v>309</v>
      </c>
      <c r="GV13" s="95">
        <v>1</v>
      </c>
      <c r="GX13" s="95" t="s">
        <v>309</v>
      </c>
      <c r="GY13" s="95">
        <v>1</v>
      </c>
      <c r="HA13" s="95" t="s">
        <v>309</v>
      </c>
      <c r="HB13" s="95">
        <v>1</v>
      </c>
      <c r="HD13" s="95" t="s">
        <v>428</v>
      </c>
      <c r="HE13" s="354">
        <v>10</v>
      </c>
    </row>
    <row r="14" spans="1:214" s="95" customFormat="1" x14ac:dyDescent="0.2">
      <c r="A14" s="95" t="s">
        <v>115</v>
      </c>
      <c r="B14" s="353">
        <v>7.8500000000000008E-9</v>
      </c>
      <c r="C14" s="95" t="s">
        <v>163</v>
      </c>
      <c r="D14" s="95" t="s">
        <v>114</v>
      </c>
      <c r="E14" s="95">
        <v>24</v>
      </c>
      <c r="F14" s="95" t="s">
        <v>85</v>
      </c>
      <c r="G14" s="95" t="s">
        <v>406</v>
      </c>
      <c r="H14" s="354" t="e">
        <f>H5/(H9*(H22+H25)*H43)</f>
        <v>#DIV/0!</v>
      </c>
      <c r="I14" s="95" t="s">
        <v>23</v>
      </c>
      <c r="J14" s="363" t="s">
        <v>142</v>
      </c>
      <c r="K14" s="364" t="e">
        <f>(K5/(K6*K19*(1/K48)))*K11</f>
        <v>#DIV/0!</v>
      </c>
      <c r="L14" s="365" t="s">
        <v>23</v>
      </c>
      <c r="M14" s="95" t="s">
        <v>124</v>
      </c>
      <c r="N14" s="95">
        <v>1.752</v>
      </c>
      <c r="O14" s="95" t="s">
        <v>127</v>
      </c>
      <c r="P14" s="95" t="s">
        <v>124</v>
      </c>
      <c r="Q14" s="95">
        <v>1.752</v>
      </c>
      <c r="R14" s="95" t="s">
        <v>127</v>
      </c>
      <c r="S14" s="95" t="s">
        <v>124</v>
      </c>
      <c r="T14" s="95">
        <v>1.752</v>
      </c>
      <c r="U14" s="95" t="s">
        <v>127</v>
      </c>
      <c r="V14" s="95" t="s">
        <v>115</v>
      </c>
      <c r="W14" s="354">
        <f>B14</f>
        <v>7.8500000000000008E-9</v>
      </c>
      <c r="X14" s="95" t="s">
        <v>116</v>
      </c>
      <c r="Y14" s="95" t="s">
        <v>115</v>
      </c>
      <c r="Z14" s="354">
        <f>B14</f>
        <v>7.8500000000000008E-9</v>
      </c>
      <c r="AA14" s="95" t="s">
        <v>116</v>
      </c>
      <c r="AB14" s="95" t="s">
        <v>126</v>
      </c>
      <c r="AF14" s="95">
        <v>8</v>
      </c>
      <c r="AG14" s="95">
        <v>8</v>
      </c>
      <c r="AH14" s="95" t="s">
        <v>85</v>
      </c>
      <c r="AI14" s="95" t="s">
        <v>124</v>
      </c>
      <c r="AJ14" s="95">
        <v>0</v>
      </c>
      <c r="AK14" s="95" t="s">
        <v>125</v>
      </c>
      <c r="AL14" s="95" t="s">
        <v>124</v>
      </c>
      <c r="AM14" s="95">
        <v>0</v>
      </c>
      <c r="AN14" s="95" t="s">
        <v>125</v>
      </c>
      <c r="AO14" s="95" t="s">
        <v>124</v>
      </c>
      <c r="AP14" s="95">
        <v>0</v>
      </c>
      <c r="AQ14" s="95" t="s">
        <v>125</v>
      </c>
      <c r="AR14" s="95" t="s">
        <v>124</v>
      </c>
      <c r="AS14" s="95">
        <f>8/24</f>
        <v>0.33333333333333331</v>
      </c>
      <c r="AT14" s="95" t="s">
        <v>125</v>
      </c>
      <c r="AU14" s="95" t="s">
        <v>124</v>
      </c>
      <c r="AV14" s="95">
        <f>8/24</f>
        <v>0.33333333333333331</v>
      </c>
      <c r="AW14" s="95" t="s">
        <v>125</v>
      </c>
      <c r="AX14" s="95" t="s">
        <v>126</v>
      </c>
      <c r="AY14" s="95">
        <f>8/24</f>
        <v>0.33333333333333331</v>
      </c>
      <c r="AZ14" s="95" t="s">
        <v>127</v>
      </c>
      <c r="BA14" s="95" t="s">
        <v>124</v>
      </c>
      <c r="BB14" s="95">
        <f>8/24</f>
        <v>0.33333333333333331</v>
      </c>
      <c r="BC14" s="95" t="s">
        <v>125</v>
      </c>
      <c r="BD14" s="95" t="s">
        <v>124</v>
      </c>
      <c r="BE14" s="95">
        <f>8/24</f>
        <v>0.33333333333333331</v>
      </c>
      <c r="BF14" s="95" t="s">
        <v>125</v>
      </c>
      <c r="BG14" s="95" t="s">
        <v>126</v>
      </c>
      <c r="BH14" s="95">
        <f>8/24</f>
        <v>0.33333333333333331</v>
      </c>
      <c r="BI14" s="95" t="s">
        <v>127</v>
      </c>
      <c r="BJ14" s="95" t="s">
        <v>113</v>
      </c>
      <c r="BK14" s="95">
        <v>0.753</v>
      </c>
      <c r="BM14" s="95" t="s">
        <v>113</v>
      </c>
      <c r="BN14" s="95">
        <v>0.74299999999999999</v>
      </c>
      <c r="BP14" s="95" t="s">
        <v>113</v>
      </c>
      <c r="BQ14" s="95">
        <v>0.66200000000000003</v>
      </c>
      <c r="BS14" s="95" t="s">
        <v>436</v>
      </c>
      <c r="BT14" s="95">
        <v>1</v>
      </c>
      <c r="BU14" s="95" t="s">
        <v>85</v>
      </c>
      <c r="BV14" s="95" t="s">
        <v>105</v>
      </c>
      <c r="BW14" s="95">
        <v>0.05</v>
      </c>
      <c r="BX14" s="95" t="s">
        <v>95</v>
      </c>
      <c r="BY14" s="95" t="s">
        <v>134</v>
      </c>
      <c r="BZ14" s="354">
        <f>(BZ5/(BZ7*BZ17*(1/BZ9)*BZ35))*BZ10</f>
        <v>90362350355.775909</v>
      </c>
      <c r="CA14" s="95" t="s">
        <v>23</v>
      </c>
      <c r="CB14" s="95" t="s">
        <v>131</v>
      </c>
      <c r="CC14" s="354">
        <f>B9</f>
        <v>8.4800000000000001E-6</v>
      </c>
      <c r="CD14" s="95" t="s">
        <v>132</v>
      </c>
      <c r="CE14" s="95" t="s">
        <v>131</v>
      </c>
      <c r="CF14" s="354">
        <f>B11</f>
        <v>9.8500000000000001E-10</v>
      </c>
      <c r="CG14" s="95" t="s">
        <v>132</v>
      </c>
      <c r="CH14" s="95" t="s">
        <v>131</v>
      </c>
      <c r="CI14" s="354">
        <f>B13</f>
        <v>7.1899999999999998E-6</v>
      </c>
      <c r="CJ14" s="95" t="s">
        <v>132</v>
      </c>
      <c r="CT14" s="95" t="s">
        <v>142</v>
      </c>
      <c r="CU14" s="354" t="e">
        <f>(CU5/(CU6*CU25*(1/CU48)))*CU11</f>
        <v>#DIV/0!</v>
      </c>
      <c r="CV14" s="95" t="s">
        <v>23</v>
      </c>
      <c r="CW14" s="95" t="s">
        <v>181</v>
      </c>
      <c r="CX14" s="95">
        <v>24</v>
      </c>
      <c r="CY14" s="95" t="s">
        <v>85</v>
      </c>
      <c r="CZ14" s="95" t="s">
        <v>134</v>
      </c>
      <c r="DA14" s="354">
        <f>DA5/(DA7*DA25*DA47)</f>
        <v>0.42900042900042901</v>
      </c>
      <c r="DB14" s="95" t="s">
        <v>25</v>
      </c>
      <c r="DC14" s="95" t="s">
        <v>270</v>
      </c>
      <c r="DD14" s="95">
        <v>350</v>
      </c>
      <c r="DE14" s="95" t="s">
        <v>55</v>
      </c>
      <c r="DF14" s="95" t="s">
        <v>130</v>
      </c>
      <c r="DG14" s="95">
        <v>0.26</v>
      </c>
      <c r="DO14" s="95" t="s">
        <v>130</v>
      </c>
      <c r="DP14" s="95">
        <v>0.26</v>
      </c>
      <c r="DR14" s="95" t="s">
        <v>247</v>
      </c>
      <c r="DS14" s="95">
        <v>34</v>
      </c>
      <c r="DT14" s="95" t="s">
        <v>129</v>
      </c>
      <c r="ED14" s="95" t="s">
        <v>130</v>
      </c>
      <c r="EE14" s="95">
        <v>0.25</v>
      </c>
      <c r="EG14" s="95" t="s">
        <v>247</v>
      </c>
      <c r="EH14" s="95">
        <v>34</v>
      </c>
      <c r="EI14" s="95" t="s">
        <v>129</v>
      </c>
      <c r="ES14" s="95" t="s">
        <v>130</v>
      </c>
      <c r="ET14" s="95">
        <v>0.25</v>
      </c>
      <c r="EV14" s="95" t="s">
        <v>247</v>
      </c>
      <c r="EW14" s="95">
        <v>34</v>
      </c>
      <c r="EX14" s="95" t="s">
        <v>129</v>
      </c>
      <c r="FH14" s="95" t="s">
        <v>130</v>
      </c>
      <c r="FI14" s="95">
        <v>0.25</v>
      </c>
      <c r="FK14" s="95" t="s">
        <v>247</v>
      </c>
      <c r="FL14" s="95">
        <v>34</v>
      </c>
      <c r="FM14" s="95" t="s">
        <v>129</v>
      </c>
      <c r="FT14" s="95" t="s">
        <v>203</v>
      </c>
      <c r="FU14" s="354">
        <f>B22</f>
        <v>0</v>
      </c>
      <c r="FW14" s="95" t="s">
        <v>130</v>
      </c>
      <c r="FX14" s="95">
        <v>0.25</v>
      </c>
      <c r="FZ14" s="95" t="s">
        <v>247</v>
      </c>
      <c r="GA14" s="95">
        <v>34</v>
      </c>
      <c r="GB14" s="95" t="s">
        <v>129</v>
      </c>
      <c r="GL14" s="95" t="s">
        <v>305</v>
      </c>
      <c r="GM14" s="95">
        <v>0.25</v>
      </c>
      <c r="GO14" s="95" t="s">
        <v>247</v>
      </c>
      <c r="GP14" s="95">
        <v>34</v>
      </c>
      <c r="GQ14" s="95" t="s">
        <v>129</v>
      </c>
      <c r="HA14" s="95" t="s">
        <v>130</v>
      </c>
      <c r="HB14" s="95">
        <v>0.25</v>
      </c>
      <c r="HD14" s="95" t="s">
        <v>128</v>
      </c>
      <c r="HE14" s="95">
        <v>8.1999999999999993</v>
      </c>
    </row>
    <row r="15" spans="1:214" s="95" customFormat="1" ht="13.5" thickBot="1" x14ac:dyDescent="0.25">
      <c r="A15" s="95" t="s">
        <v>409</v>
      </c>
      <c r="B15" s="353">
        <v>1.7100000000000001E-11</v>
      </c>
      <c r="C15" s="95" t="s">
        <v>64</v>
      </c>
      <c r="E15" s="95">
        <v>24</v>
      </c>
      <c r="F15" s="95" t="s">
        <v>85</v>
      </c>
      <c r="G15" s="95" t="s">
        <v>86</v>
      </c>
      <c r="H15" s="372">
        <f>H32*H29*H17+H33*H30*H18</f>
        <v>19138</v>
      </c>
      <c r="I15" s="95" t="s">
        <v>196</v>
      </c>
      <c r="J15" s="366" t="s">
        <v>134</v>
      </c>
      <c r="K15" s="354">
        <f>(K5/(K7*K20*(1/K10)*K47))*K11</f>
        <v>806806699.605142</v>
      </c>
      <c r="L15" s="367" t="s">
        <v>23</v>
      </c>
      <c r="M15" s="95" t="s">
        <v>131</v>
      </c>
      <c r="N15" s="354">
        <f>B9</f>
        <v>8.4800000000000001E-6</v>
      </c>
      <c r="O15" s="95" t="s">
        <v>132</v>
      </c>
      <c r="P15" s="95" t="s">
        <v>131</v>
      </c>
      <c r="Q15" s="354">
        <f>B11</f>
        <v>9.8500000000000001E-10</v>
      </c>
      <c r="R15" s="95" t="s">
        <v>132</v>
      </c>
      <c r="S15" s="95" t="s">
        <v>131</v>
      </c>
      <c r="T15" s="354">
        <f>B13</f>
        <v>7.1899999999999998E-6</v>
      </c>
      <c r="U15" s="95" t="s">
        <v>132</v>
      </c>
      <c r="V15" s="95" t="s">
        <v>414</v>
      </c>
      <c r="W15" s="95">
        <v>1</v>
      </c>
      <c r="Y15" s="95" t="s">
        <v>414</v>
      </c>
      <c r="Z15" s="95">
        <v>1</v>
      </c>
      <c r="AB15" s="95" t="s">
        <v>136</v>
      </c>
      <c r="AC15" s="95">
        <v>25</v>
      </c>
      <c r="AD15" s="95">
        <v>25</v>
      </c>
      <c r="AE15" s="95">
        <v>25</v>
      </c>
      <c r="AF15" s="95">
        <v>1</v>
      </c>
      <c r="AG15" s="95">
        <v>1</v>
      </c>
      <c r="AI15" s="95" t="s">
        <v>131</v>
      </c>
      <c r="AJ15" s="354">
        <f>B9</f>
        <v>8.4800000000000001E-6</v>
      </c>
      <c r="AK15" s="95" t="s">
        <v>132</v>
      </c>
      <c r="AL15" s="95" t="s">
        <v>131</v>
      </c>
      <c r="AM15" s="354">
        <f>B11</f>
        <v>9.8500000000000001E-10</v>
      </c>
      <c r="AN15" s="95" t="s">
        <v>132</v>
      </c>
      <c r="AO15" s="95" t="s">
        <v>131</v>
      </c>
      <c r="AP15" s="354">
        <f>B13</f>
        <v>7.1899999999999998E-6</v>
      </c>
      <c r="AQ15" s="95" t="s">
        <v>132</v>
      </c>
      <c r="AR15" s="95" t="s">
        <v>131</v>
      </c>
      <c r="AS15" s="354">
        <f>B9</f>
        <v>8.4800000000000001E-6</v>
      </c>
      <c r="AT15" s="95" t="s">
        <v>132</v>
      </c>
      <c r="AU15" s="95" t="s">
        <v>131</v>
      </c>
      <c r="AV15" s="354">
        <f>B11</f>
        <v>9.8500000000000001E-10</v>
      </c>
      <c r="AW15" s="95" t="s">
        <v>132</v>
      </c>
      <c r="AX15" s="95" t="s">
        <v>131</v>
      </c>
      <c r="AY15" s="354">
        <f>B13</f>
        <v>7.1899999999999998E-6</v>
      </c>
      <c r="AZ15" s="95" t="s">
        <v>132</v>
      </c>
      <c r="BA15" s="95" t="s">
        <v>131</v>
      </c>
      <c r="BB15" s="354">
        <f>B9</f>
        <v>8.4800000000000001E-6</v>
      </c>
      <c r="BC15" s="95" t="s">
        <v>132</v>
      </c>
      <c r="BD15" s="95" t="s">
        <v>131</v>
      </c>
      <c r="BE15" s="354">
        <f>B11</f>
        <v>9.8500000000000001E-10</v>
      </c>
      <c r="BF15" s="95" t="s">
        <v>132</v>
      </c>
      <c r="BG15" s="95" t="s">
        <v>131</v>
      </c>
      <c r="BH15" s="354">
        <f>B13</f>
        <v>7.1899999999999998E-6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17724.797631595069</v>
      </c>
      <c r="CA15" s="95" t="s">
        <v>23</v>
      </c>
      <c r="CT15" s="95" t="s">
        <v>134</v>
      </c>
      <c r="CU15" s="354">
        <f>(CU5/(CU7*CU26*(1/CU10)*CU47))*CU11</f>
        <v>771582290.68267238</v>
      </c>
      <c r="CV15" s="95" t="s">
        <v>23</v>
      </c>
      <c r="CW15" s="95" t="s">
        <v>179</v>
      </c>
      <c r="CX15" s="95">
        <v>24</v>
      </c>
      <c r="CY15" s="95" t="s">
        <v>85</v>
      </c>
      <c r="CZ15" s="95" t="s">
        <v>256</v>
      </c>
      <c r="DA15" s="354">
        <f>DA5/(DA8*DA26*(DA48/DA49))</f>
        <v>53457.236956525718</v>
      </c>
      <c r="DB15" s="95" t="s">
        <v>25</v>
      </c>
      <c r="DC15" s="95" t="s">
        <v>269</v>
      </c>
      <c r="DD15" s="95">
        <v>350</v>
      </c>
      <c r="DE15" s="95" t="s">
        <v>55</v>
      </c>
      <c r="DF15" s="95" t="s">
        <v>137</v>
      </c>
      <c r="DG15" s="95">
        <v>0.42</v>
      </c>
      <c r="DH15" s="95" t="s">
        <v>80</v>
      </c>
      <c r="DO15" s="95" t="s">
        <v>137</v>
      </c>
      <c r="DP15" s="95">
        <v>0.42</v>
      </c>
      <c r="DQ15" s="95" t="s">
        <v>80</v>
      </c>
      <c r="DR15" s="95" t="s">
        <v>248</v>
      </c>
      <c r="DS15" s="95">
        <v>40</v>
      </c>
      <c r="DT15" s="95" t="s">
        <v>129</v>
      </c>
      <c r="ED15" s="95" t="s">
        <v>58</v>
      </c>
      <c r="EE15" s="95">
        <v>92</v>
      </c>
      <c r="EF15" s="95" t="s">
        <v>59</v>
      </c>
      <c r="EG15" s="95" t="s">
        <v>248</v>
      </c>
      <c r="EH15" s="95">
        <v>40</v>
      </c>
      <c r="EI15" s="95" t="s">
        <v>129</v>
      </c>
      <c r="ES15" s="95" t="s">
        <v>60</v>
      </c>
      <c r="ET15" s="95">
        <v>53</v>
      </c>
      <c r="EU15" s="95" t="s">
        <v>59</v>
      </c>
      <c r="EV15" s="95" t="s">
        <v>248</v>
      </c>
      <c r="EW15" s="95">
        <v>40</v>
      </c>
      <c r="EX15" s="95" t="s">
        <v>129</v>
      </c>
      <c r="FH15" s="95" t="s">
        <v>297</v>
      </c>
      <c r="FI15" s="95">
        <v>0.4</v>
      </c>
      <c r="FJ15" s="95" t="s">
        <v>59</v>
      </c>
      <c r="FK15" s="95" t="s">
        <v>248</v>
      </c>
      <c r="FL15" s="95">
        <v>40</v>
      </c>
      <c r="FM15" s="95" t="s">
        <v>129</v>
      </c>
      <c r="FT15" s="95" t="s">
        <v>322</v>
      </c>
      <c r="FU15" s="354">
        <v>8.1999999999999993</v>
      </c>
      <c r="FW15" s="95" t="s">
        <v>300</v>
      </c>
      <c r="FX15" s="357">
        <v>1</v>
      </c>
      <c r="FY15" s="95" t="s">
        <v>59</v>
      </c>
      <c r="FZ15" s="95" t="s">
        <v>248</v>
      </c>
      <c r="GA15" s="95">
        <v>40</v>
      </c>
      <c r="GB15" s="95" t="s">
        <v>129</v>
      </c>
      <c r="GL15" s="95" t="s">
        <v>298</v>
      </c>
      <c r="GM15" s="95">
        <v>0.4</v>
      </c>
      <c r="GN15" s="95" t="s">
        <v>59</v>
      </c>
      <c r="GO15" s="95" t="s">
        <v>248</v>
      </c>
      <c r="GP15" s="95">
        <v>40</v>
      </c>
      <c r="GQ15" s="95" t="s">
        <v>129</v>
      </c>
      <c r="HA15" s="95" t="s">
        <v>299</v>
      </c>
      <c r="HB15" s="95">
        <v>11.4</v>
      </c>
      <c r="HC15" s="95" t="s">
        <v>59</v>
      </c>
    </row>
    <row r="16" spans="1:214" s="95" customFormat="1" ht="13.5" thickTop="1" x14ac:dyDescent="0.2">
      <c r="A16" s="95" t="s">
        <v>415</v>
      </c>
      <c r="B16" s="353">
        <v>0</v>
      </c>
      <c r="C16" s="95" t="s">
        <v>64</v>
      </c>
      <c r="D16" s="95" t="s">
        <v>133</v>
      </c>
      <c r="E16" s="95">
        <v>6</v>
      </c>
      <c r="F16" s="95" t="s">
        <v>62</v>
      </c>
      <c r="G16" s="95" t="s">
        <v>82</v>
      </c>
      <c r="H16" s="373">
        <f>H29*H19*H32+H30*H20*H33</f>
        <v>161000</v>
      </c>
      <c r="I16" s="95" t="s">
        <v>444</v>
      </c>
      <c r="J16" s="366" t="s">
        <v>197</v>
      </c>
      <c r="K16" s="354">
        <f>(K5/(K8*K44*((K39*K43*(1/K37))+(K40*K42*(1/K37)))*K32*(1/K46)*K33))*K11</f>
        <v>23.47282779256243</v>
      </c>
      <c r="L16" s="367" t="s">
        <v>23</v>
      </c>
      <c r="M16" s="95" t="s">
        <v>151</v>
      </c>
      <c r="N16" s="95">
        <v>16.416</v>
      </c>
      <c r="O16" s="95" t="s">
        <v>127</v>
      </c>
      <c r="P16" s="95" t="s">
        <v>151</v>
      </c>
      <c r="Q16" s="95">
        <v>16.416</v>
      </c>
      <c r="R16" s="95" t="s">
        <v>127</v>
      </c>
      <c r="S16" s="95" t="s">
        <v>151</v>
      </c>
      <c r="T16" s="95">
        <v>16.416</v>
      </c>
      <c r="U16" s="95" t="s">
        <v>127</v>
      </c>
      <c r="V16" s="374" t="s">
        <v>134</v>
      </c>
      <c r="W16" s="375">
        <f>(W5)/((W11/W12)*W8*W9*W10*W13)</f>
        <v>0.49382716049382713</v>
      </c>
      <c r="X16" s="376" t="s">
        <v>37</v>
      </c>
      <c r="Y16" s="376" t="s">
        <v>134</v>
      </c>
      <c r="Z16" s="375">
        <f>(Z5)/((Z11/Z12)*Z8*Z9*Z10*Z13)</f>
        <v>0.44444444444444448</v>
      </c>
      <c r="AA16" s="377" t="s">
        <v>37</v>
      </c>
      <c r="AB16" s="95" t="s">
        <v>141</v>
      </c>
      <c r="AC16" s="95">
        <v>100</v>
      </c>
      <c r="AD16" s="95">
        <v>50</v>
      </c>
      <c r="AE16" s="95">
        <v>100</v>
      </c>
      <c r="AF16" s="95">
        <v>330</v>
      </c>
      <c r="AG16" s="95">
        <v>330</v>
      </c>
      <c r="AI16" s="95" t="s">
        <v>151</v>
      </c>
      <c r="AJ16" s="95">
        <f>8/24</f>
        <v>0.33333333333333331</v>
      </c>
      <c r="AK16" s="95" t="s">
        <v>125</v>
      </c>
      <c r="AL16" s="95" t="s">
        <v>151</v>
      </c>
      <c r="AM16" s="95">
        <f>8/24</f>
        <v>0.33333333333333331</v>
      </c>
      <c r="AN16" s="95" t="s">
        <v>125</v>
      </c>
      <c r="AO16" s="95" t="s">
        <v>151</v>
      </c>
      <c r="AP16" s="95">
        <f>8/24</f>
        <v>0.33333333333333331</v>
      </c>
      <c r="AQ16" s="95" t="s">
        <v>125</v>
      </c>
      <c r="AR16" s="95" t="s">
        <v>151</v>
      </c>
      <c r="AS16" s="95">
        <v>0</v>
      </c>
      <c r="AT16" s="95" t="s">
        <v>125</v>
      </c>
      <c r="AU16" s="95" t="s">
        <v>151</v>
      </c>
      <c r="AV16" s="95">
        <v>0</v>
      </c>
      <c r="AW16" s="95" t="s">
        <v>125</v>
      </c>
      <c r="AX16" s="95" t="s">
        <v>151</v>
      </c>
      <c r="AY16" s="95">
        <v>0</v>
      </c>
      <c r="AZ16" s="95" t="s">
        <v>125</v>
      </c>
      <c r="BA16" s="95" t="s">
        <v>151</v>
      </c>
      <c r="BB16" s="95">
        <v>0</v>
      </c>
      <c r="BC16" s="95" t="s">
        <v>125</v>
      </c>
      <c r="BD16" s="95" t="s">
        <v>151</v>
      </c>
      <c r="BE16" s="95">
        <v>0</v>
      </c>
      <c r="BF16" s="95" t="s">
        <v>125</v>
      </c>
      <c r="BG16" s="95" t="s">
        <v>151</v>
      </c>
      <c r="BH16" s="95">
        <v>0</v>
      </c>
      <c r="BI16" s="95" t="s">
        <v>125</v>
      </c>
      <c r="BJ16" s="95" t="s">
        <v>131</v>
      </c>
      <c r="BK16" s="354">
        <f>B9</f>
        <v>8.4800000000000001E-6</v>
      </c>
      <c r="BL16" s="95" t="s">
        <v>132</v>
      </c>
      <c r="BM16" s="95" t="s">
        <v>131</v>
      </c>
      <c r="BN16" s="354">
        <f>B9</f>
        <v>8.4800000000000001E-6</v>
      </c>
      <c r="BO16" s="95" t="s">
        <v>132</v>
      </c>
      <c r="BP16" s="95" t="s">
        <v>131</v>
      </c>
      <c r="BQ16" s="354">
        <f>B9</f>
        <v>8.4800000000000001E-6</v>
      </c>
      <c r="BR16" s="95" t="s">
        <v>132</v>
      </c>
      <c r="BS16" s="95" t="s">
        <v>182</v>
      </c>
      <c r="BT16" s="95">
        <v>1</v>
      </c>
      <c r="BU16" s="95" t="s">
        <v>85</v>
      </c>
      <c r="BV16" s="95" t="s">
        <v>263</v>
      </c>
      <c r="BW16" s="360">
        <f>((BW18*BW21*BW23*BW26)+(BW19*BW22*BW24*BW27))</f>
        <v>1170</v>
      </c>
      <c r="BX16" s="95" t="s">
        <v>445</v>
      </c>
      <c r="BY16" s="95" t="s">
        <v>87</v>
      </c>
      <c r="BZ16" s="360">
        <f>(BZ18*BZ22*BZ27+BZ19*BZ23*BZ26)</f>
        <v>240000</v>
      </c>
      <c r="CA16" s="95" t="s">
        <v>443</v>
      </c>
      <c r="CB16" s="378" t="s">
        <v>8</v>
      </c>
      <c r="CC16" s="42" t="s">
        <v>431</v>
      </c>
      <c r="CD16" s="43" t="s">
        <v>460</v>
      </c>
      <c r="CE16" s="41" t="s">
        <v>8</v>
      </c>
      <c r="CF16" s="42" t="s">
        <v>200</v>
      </c>
      <c r="CG16" s="43" t="s">
        <v>460</v>
      </c>
      <c r="CK16" s="379" t="s">
        <v>8</v>
      </c>
      <c r="CL16" s="380" t="s">
        <v>332</v>
      </c>
      <c r="CM16" s="381" t="s">
        <v>460</v>
      </c>
      <c r="CN16" s="42" t="s">
        <v>8</v>
      </c>
      <c r="CO16" s="42" t="s">
        <v>332</v>
      </c>
      <c r="CP16" s="43" t="s">
        <v>460</v>
      </c>
      <c r="CQ16" s="41" t="s">
        <v>8</v>
      </c>
      <c r="CR16" s="42" t="s">
        <v>332</v>
      </c>
      <c r="CS16" s="43" t="s">
        <v>460</v>
      </c>
      <c r="CT16" s="95" t="s">
        <v>197</v>
      </c>
      <c r="CU16" s="354">
        <f>(CU5/(CU8*CU44*((CU39*CU43*(1/CU37))+(CU40*CU42*(1/CU37)))*CU32*(1/CU46)*CU33))*CU11</f>
        <v>12.074327861237963</v>
      </c>
      <c r="CV16" s="95" t="s">
        <v>23</v>
      </c>
      <c r="CW16" s="95" t="s">
        <v>133</v>
      </c>
      <c r="CX16" s="95">
        <v>6</v>
      </c>
      <c r="CY16" s="95" t="s">
        <v>62</v>
      </c>
      <c r="CZ16" s="95" t="s">
        <v>277</v>
      </c>
      <c r="DA16" s="354" t="e">
        <f>DG3</f>
        <v>#DIV/0!</v>
      </c>
      <c r="DB16" s="95" t="s">
        <v>25</v>
      </c>
      <c r="DC16" s="95" t="s">
        <v>246</v>
      </c>
      <c r="DD16" s="95">
        <v>6</v>
      </c>
      <c r="DE16" s="95" t="s">
        <v>129</v>
      </c>
      <c r="DF16" s="95" t="s">
        <v>143</v>
      </c>
      <c r="DG16" s="95">
        <f>DG20+(0.693/DG22)</f>
        <v>0.23091361256544501</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3.5" thickBot="1" x14ac:dyDescent="0.25">
      <c r="A17" s="95" t="s">
        <v>448</v>
      </c>
      <c r="B17" s="353">
        <v>1.04753425E-2</v>
      </c>
      <c r="C17" s="95" t="s">
        <v>454</v>
      </c>
      <c r="D17" s="95" t="s">
        <v>138</v>
      </c>
      <c r="E17" s="95">
        <v>20</v>
      </c>
      <c r="F17" s="95" t="s">
        <v>62</v>
      </c>
      <c r="G17" s="95" t="s">
        <v>105</v>
      </c>
      <c r="H17" s="95">
        <f>B38</f>
        <v>0.78</v>
      </c>
      <c r="J17" s="368" t="s">
        <v>407</v>
      </c>
      <c r="K17" s="369" t="e">
        <f>K18/(K49+K50)</f>
        <v>#DIV/0!</v>
      </c>
      <c r="L17" s="370" t="s">
        <v>23</v>
      </c>
      <c r="V17" s="383" t="s">
        <v>139</v>
      </c>
      <c r="W17" s="384">
        <f>(W5)/((W11/W12)*W8*W9*W14*(1/365))</f>
        <v>24.79830148619957</v>
      </c>
      <c r="X17" s="385" t="s">
        <v>37</v>
      </c>
      <c r="Y17" s="385" t="s">
        <v>139</v>
      </c>
      <c r="Z17" s="384">
        <f>(Z5)/((Z11/Z12)*Z8*Z9*Z14*(1/365))</f>
        <v>22.318471337579616</v>
      </c>
      <c r="AA17" s="386" t="s">
        <v>37</v>
      </c>
      <c r="BS17" s="95" t="s">
        <v>133</v>
      </c>
      <c r="BT17" s="95">
        <v>6</v>
      </c>
      <c r="BU17" s="95" t="s">
        <v>62</v>
      </c>
      <c r="BV17" s="95" t="s">
        <v>145</v>
      </c>
      <c r="BW17" s="95">
        <v>0.5</v>
      </c>
      <c r="BX17" s="95" t="s">
        <v>146</v>
      </c>
      <c r="BY17" s="95" t="s">
        <v>82</v>
      </c>
      <c r="BZ17" s="360">
        <f>(BZ27*BZ24*BZ20*(BZ29/24))+(BZ26*BZ23*BZ21*(BZ30/24))</f>
        <v>1437.5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t="e">
        <f>DJ3</f>
        <v>#DIV/0!</v>
      </c>
      <c r="CV17" s="95" t="s">
        <v>23</v>
      </c>
      <c r="CW17" s="95" t="s">
        <v>138</v>
      </c>
      <c r="CX17" s="95">
        <v>34</v>
      </c>
      <c r="CY17" s="95" t="s">
        <v>62</v>
      </c>
      <c r="CZ17" s="95" t="s">
        <v>262</v>
      </c>
      <c r="DA17" s="354" t="e">
        <f>DD3</f>
        <v>#DIV/0!</v>
      </c>
      <c r="DB17" s="95" t="s">
        <v>23</v>
      </c>
      <c r="DC17" s="95" t="s">
        <v>247</v>
      </c>
      <c r="DD17" s="95">
        <v>34</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164</v>
      </c>
      <c r="B18" s="353">
        <f>PEF!D3</f>
        <v>1359344473.5814338</v>
      </c>
      <c r="D18" s="95" t="s">
        <v>115</v>
      </c>
      <c r="E18" s="354">
        <f>B14</f>
        <v>7.8500000000000008E-9</v>
      </c>
      <c r="F18" s="95" t="s">
        <v>116</v>
      </c>
      <c r="G18" s="95" t="s">
        <v>135</v>
      </c>
      <c r="H18" s="95">
        <f>B39</f>
        <v>2.5</v>
      </c>
      <c r="J18" s="95" t="s">
        <v>406</v>
      </c>
      <c r="K18" s="354" t="e">
        <f>K5/(K9*(K25+K28)*K38)</f>
        <v>#DIV/0!</v>
      </c>
      <c r="L18" s="95" t="s">
        <v>23</v>
      </c>
      <c r="M18" s="21" t="s">
        <v>13</v>
      </c>
      <c r="N18" s="22" t="s">
        <v>158</v>
      </c>
      <c r="O18" s="22" t="s">
        <v>460</v>
      </c>
      <c r="P18" s="23" t="s">
        <v>13</v>
      </c>
      <c r="Q18" s="22" t="s">
        <v>200</v>
      </c>
      <c r="R18" s="24" t="s">
        <v>460</v>
      </c>
      <c r="V18" s="374" t="s">
        <v>134</v>
      </c>
      <c r="W18" s="375">
        <f>(W5*W6*W9)/((W11/W12)*(1-EXP(-W6*W9))*W10*W13*W8*W9)</f>
        <v>816.73277561622024</v>
      </c>
      <c r="X18" s="376" t="s">
        <v>38</v>
      </c>
      <c r="Y18" s="376" t="s">
        <v>134</v>
      </c>
      <c r="Z18" s="375">
        <f>(Z5*Z6*Z9)/((Z11/Z12)*(1-EXP(-Z6*Z9))*Z10*Z13*Z8*Z9)</f>
        <v>735.05949805459818</v>
      </c>
      <c r="AA18" s="377" t="s">
        <v>38</v>
      </c>
      <c r="AI18" s="33" t="s">
        <v>13</v>
      </c>
      <c r="AJ18" s="34" t="s">
        <v>158</v>
      </c>
      <c r="AK18" s="34" t="s">
        <v>460</v>
      </c>
      <c r="AL18" s="35" t="s">
        <v>13</v>
      </c>
      <c r="AM18" s="34" t="s">
        <v>200</v>
      </c>
      <c r="AN18" s="36" t="s">
        <v>460</v>
      </c>
      <c r="AR18" s="37" t="s">
        <v>13</v>
      </c>
      <c r="AS18" s="38" t="s">
        <v>158</v>
      </c>
      <c r="AT18" s="38" t="s">
        <v>460</v>
      </c>
      <c r="AU18" s="39" t="s">
        <v>13</v>
      </c>
      <c r="AV18" s="38" t="s">
        <v>200</v>
      </c>
      <c r="AW18" s="40" t="s">
        <v>460</v>
      </c>
      <c r="BA18" s="37" t="s">
        <v>13</v>
      </c>
      <c r="BB18" s="38" t="s">
        <v>158</v>
      </c>
      <c r="BC18" s="38" t="s">
        <v>460</v>
      </c>
      <c r="BD18" s="39" t="s">
        <v>13</v>
      </c>
      <c r="BE18" s="38" t="s">
        <v>200</v>
      </c>
      <c r="BF18" s="40" t="s">
        <v>460</v>
      </c>
      <c r="BJ18" s="37" t="s">
        <v>13</v>
      </c>
      <c r="BK18" s="38" t="s">
        <v>158</v>
      </c>
      <c r="BL18" s="38" t="s">
        <v>460</v>
      </c>
      <c r="BM18" s="39" t="s">
        <v>13</v>
      </c>
      <c r="BN18" s="38" t="s">
        <v>200</v>
      </c>
      <c r="BO18" s="40" t="s">
        <v>460</v>
      </c>
      <c r="BS18" s="95" t="s">
        <v>138</v>
      </c>
      <c r="BT18" s="95">
        <v>20</v>
      </c>
      <c r="BU18" s="95" t="s">
        <v>62</v>
      </c>
      <c r="BV18" s="95" t="s">
        <v>440</v>
      </c>
      <c r="BW18" s="95">
        <v>45</v>
      </c>
      <c r="BX18" s="95" t="s">
        <v>55</v>
      </c>
      <c r="BY18" s="95" t="s">
        <v>117</v>
      </c>
      <c r="BZ18" s="95">
        <f>B36</f>
        <v>200</v>
      </c>
      <c r="CA18" s="95" t="s">
        <v>96</v>
      </c>
      <c r="CB18" s="387" t="s">
        <v>39</v>
      </c>
      <c r="CC18" s="195">
        <f>(CC20*CC21*CC22)/((1-EXP(-CC22*CC21))*CC25*CC29*(CC24/365)*CC27*(CC28/24)*CC26)</f>
        <v>481641.18466678116</v>
      </c>
      <c r="CD18" s="129"/>
      <c r="CE18" s="126" t="s">
        <v>39</v>
      </c>
      <c r="CF18" s="195">
        <f>(CF20*CF21*CF22)/((1-EXP(-CF22*CF21))*CF25*CF29*(CF24/365)*CF27*(CF28/24)*CF26)</f>
        <v>55373.661147936393</v>
      </c>
      <c r="CG18" s="129"/>
      <c r="CK18" s="388" t="s">
        <v>17</v>
      </c>
      <c r="CL18" s="195" t="e">
        <f>CL20/(CL21*CL22*CL23*CL24)</f>
        <v>#DIV/0!</v>
      </c>
      <c r="CM18" s="389"/>
      <c r="CN18" s="127" t="s">
        <v>17</v>
      </c>
      <c r="CO18" s="195" t="e">
        <f>CL18/(CO20*((CO25*CO27*CO28*(CO21+CO22))+(CO26*CO27)))</f>
        <v>#DIV/0!</v>
      </c>
      <c r="CP18" s="129"/>
      <c r="CQ18" s="126" t="s">
        <v>17</v>
      </c>
      <c r="CR18" s="195" t="e">
        <f>CL18/(CR20*CR21*(1/CR22))</f>
        <v>#DIV/0!</v>
      </c>
      <c r="CS18" s="129"/>
      <c r="CT18" s="95" t="s">
        <v>406</v>
      </c>
      <c r="CU18" s="354" t="e">
        <f>DD3</f>
        <v>#DIV/0!</v>
      </c>
      <c r="CV18" s="95" t="s">
        <v>23</v>
      </c>
      <c r="CW18" s="95" t="s">
        <v>115</v>
      </c>
      <c r="CX18" s="354">
        <f>B14</f>
        <v>7.8500000000000008E-9</v>
      </c>
      <c r="CY18" s="95" t="s">
        <v>116</v>
      </c>
      <c r="CZ18" s="95" t="s">
        <v>323</v>
      </c>
      <c r="DA18" s="354" t="e">
        <f>EZ3</f>
        <v>#DIV/0!</v>
      </c>
      <c r="DC18" s="95" t="s">
        <v>248</v>
      </c>
      <c r="DD18" s="95">
        <v>40</v>
      </c>
      <c r="DE18" s="95" t="s">
        <v>129</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201</v>
      </c>
      <c r="B19" s="353">
        <f>PEF!G3</f>
        <v>773681.6396651821</v>
      </c>
      <c r="D19" s="95" t="s">
        <v>414</v>
      </c>
      <c r="E19" s="95">
        <v>1</v>
      </c>
      <c r="G19" s="95" t="s">
        <v>240</v>
      </c>
      <c r="H19" s="95">
        <f>B33</f>
        <v>10</v>
      </c>
      <c r="J19" s="95" t="s">
        <v>87</v>
      </c>
      <c r="K19" s="390">
        <f>K21*K31*K35+K22*K32*K34</f>
        <v>1120000</v>
      </c>
      <c r="L19" s="95" t="s">
        <v>443</v>
      </c>
      <c r="M19" s="103" t="s">
        <v>33</v>
      </c>
      <c r="N19" s="104" t="s">
        <v>34</v>
      </c>
      <c r="O19" s="105" t="s">
        <v>162</v>
      </c>
      <c r="P19" s="106" t="s">
        <v>33</v>
      </c>
      <c r="Q19" s="104" t="s">
        <v>34</v>
      </c>
      <c r="R19" s="107" t="s">
        <v>23</v>
      </c>
      <c r="V19" s="383" t="s">
        <v>139</v>
      </c>
      <c r="W19" s="384">
        <f>(W5*W6*W9)/((W11/W12)*(1-EXP(-W6*W9))*W14*W8*W9*(1/365))</f>
        <v>41013.510846868012</v>
      </c>
      <c r="X19" s="385" t="s">
        <v>38</v>
      </c>
      <c r="Y19" s="385" t="s">
        <v>139</v>
      </c>
      <c r="Z19" s="384">
        <f>(Z5*Z6*Z9)/((Z11/Z12)*(1-EXP(-Z6*Z9))*Z14*Z8*Z9*(1/365))</f>
        <v>36912.159762181218</v>
      </c>
      <c r="AA19" s="386" t="s">
        <v>38</v>
      </c>
      <c r="AB19" s="95" t="s">
        <v>102</v>
      </c>
      <c r="AC19" s="95">
        <v>1</v>
      </c>
      <c r="AD19" s="95">
        <v>1</v>
      </c>
      <c r="AE19" s="95">
        <v>1</v>
      </c>
      <c r="AF19" s="95">
        <v>1</v>
      </c>
      <c r="AG19" s="95">
        <v>1</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7.8500000000000008E-9</v>
      </c>
      <c r="BU19" s="95" t="s">
        <v>116</v>
      </c>
      <c r="BV19" s="95" t="s">
        <v>441</v>
      </c>
      <c r="BW19" s="95">
        <v>45</v>
      </c>
      <c r="BX19" s="95" t="s">
        <v>55</v>
      </c>
      <c r="BY19" s="95" t="s">
        <v>140</v>
      </c>
      <c r="BZ19" s="95">
        <f>B37</f>
        <v>100</v>
      </c>
      <c r="CA19" s="95" t="s">
        <v>96</v>
      </c>
      <c r="CB19" s="391"/>
      <c r="CC19" s="285"/>
      <c r="CD19" s="287"/>
      <c r="CE19" s="284"/>
      <c r="CF19" s="285"/>
      <c r="CG19" s="287"/>
      <c r="CK19" s="392"/>
      <c r="CL19" s="393"/>
      <c r="CM19" s="394"/>
      <c r="CN19" s="395"/>
      <c r="CO19" s="285"/>
      <c r="CP19" s="287"/>
      <c r="CQ19" s="284"/>
      <c r="CR19" s="285"/>
      <c r="CS19" s="287"/>
      <c r="CT19" s="95" t="s">
        <v>323</v>
      </c>
      <c r="CU19" s="354" t="e">
        <f>FC3</f>
        <v>#DIV/0!</v>
      </c>
      <c r="CV19" s="95" t="s">
        <v>23</v>
      </c>
      <c r="CW19" s="95" t="s">
        <v>414</v>
      </c>
      <c r="CX19" s="95">
        <v>1</v>
      </c>
      <c r="CZ19" s="95" t="s">
        <v>417</v>
      </c>
      <c r="DA19" s="354" t="e">
        <f>GS3</f>
        <v>#DIV/0!</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202</v>
      </c>
      <c r="B20" s="353">
        <f>PEF!J3</f>
        <v>36055860.959050171</v>
      </c>
      <c r="D20" s="363" t="s">
        <v>134</v>
      </c>
      <c r="E20" s="364">
        <f>(E5)/((E14/E15)*E10*E11)</f>
        <v>0.34506556245686676</v>
      </c>
      <c r="F20" s="365" t="s">
        <v>37</v>
      </c>
      <c r="G20" s="95" t="s">
        <v>241</v>
      </c>
      <c r="H20" s="95">
        <f>B34</f>
        <v>20</v>
      </c>
      <c r="J20" s="95" t="s">
        <v>82</v>
      </c>
      <c r="K20" s="390">
        <f>K35*K31*K23+K34*K32*K24</f>
        <v>161000</v>
      </c>
      <c r="L20" s="95" t="s">
        <v>149</v>
      </c>
      <c r="M20" s="103" t="s">
        <v>39</v>
      </c>
      <c r="N20" s="185">
        <f>(N22*N23*N24)/((1-EXP(-N24*N23))*N27*N32*(N26/365)*N30*(((N31/24)*N29)+((N33/24)*N28)))</f>
        <v>129.25297381878531</v>
      </c>
      <c r="O20" s="105"/>
      <c r="P20" s="106" t="s">
        <v>39</v>
      </c>
      <c r="Q20" s="185">
        <f>(Q22*Q23*Q24)/((1-EXP(-Q24*Q23))*Q27*Q32*(Q26/365)*Q30*(((Q31/24)*Q29)+((Q33/24)*Q28)))</f>
        <v>44.037517628524199</v>
      </c>
      <c r="R20" s="107"/>
      <c r="AB20" s="95" t="s">
        <v>449</v>
      </c>
      <c r="AC20" s="95">
        <f>B35</f>
        <v>60</v>
      </c>
      <c r="AD20" s="95">
        <f>B35</f>
        <v>60</v>
      </c>
      <c r="AE20" s="95">
        <f>B35</f>
        <v>60</v>
      </c>
      <c r="AF20" s="95">
        <f>B35</f>
        <v>60</v>
      </c>
      <c r="AG20" s="95">
        <f>B35</f>
        <v>60</v>
      </c>
      <c r="AH20" s="95" t="s">
        <v>83</v>
      </c>
      <c r="AI20" s="116" t="s">
        <v>39</v>
      </c>
      <c r="AJ20" s="193">
        <f>(AJ22*AJ23*AJ24)/((1-EXP(-AJ24*AJ23))*AJ27*AJ32*(AJ26/365)*AJ30*((AJ31*AJ29)+(AJ33*AJ28)))</f>
        <v>470.39034761870545</v>
      </c>
      <c r="AK20" s="118"/>
      <c r="AL20" s="119" t="s">
        <v>39</v>
      </c>
      <c r="AM20" s="193">
        <f>(AM22*AM23*AM24)/((1-EXP(-AM24*AM23))*AM27*AM32*(AM26/365)*AM30*((AM31*AM29)+(AM33*AM28)))</f>
        <v>160.26573790548815</v>
      </c>
      <c r="AN20" s="120"/>
      <c r="AR20" s="121" t="s">
        <v>39</v>
      </c>
      <c r="AS20" s="194">
        <f>(AS22*AS23*AS24)/((1-EXP(-AS24*AS23))*AS27*AS32*(AS26/365)*AS30*((AS31*AS29)+(AS33*AS28)))</f>
        <v>209.06237671942463</v>
      </c>
      <c r="AT20" s="123"/>
      <c r="AU20" s="124" t="s">
        <v>39</v>
      </c>
      <c r="AV20" s="194">
        <f>(AV22*AV23*AV24)/((1-EXP(-AV24*AV23))*AV27*AV32*(AV26/365)*AV30*((AV31*AV29)+(AV33*AV28)))</f>
        <v>71.229216846883631</v>
      </c>
      <c r="AW20" s="125"/>
      <c r="BA20" s="121" t="s">
        <v>39</v>
      </c>
      <c r="BB20" s="194">
        <f>(BB22*BB23*BB24)/((1-EXP(-BB24*BB23))*BB27*BB32*(BB26/365)*BB30*((BB31*BB29)+(BB33*BB28)))</f>
        <v>188.15613904748221</v>
      </c>
      <c r="BC20" s="123"/>
      <c r="BD20" s="124" t="s">
        <v>39</v>
      </c>
      <c r="BE20" s="194">
        <f>(BE22*BE23*BE24)/((1-EXP(-BE24*BE23))*BE27*BE32*(BE26/365)*BE30*((BE31*BE29)+(BE33*BE28)))</f>
        <v>64.106295162195266</v>
      </c>
      <c r="BF20" s="125"/>
      <c r="BJ20" s="121" t="s">
        <v>39</v>
      </c>
      <c r="BK20" s="194">
        <f>(BK22*BK23*BK24)/((1-EXP(-BK24*BK23))*BK29*BK34*(BK26/365)*BK32*BK33*BK31)</f>
        <v>23160861477.277351</v>
      </c>
      <c r="BL20" s="123"/>
      <c r="BM20" s="124" t="s">
        <v>39</v>
      </c>
      <c r="BN20" s="194">
        <f>(BN22*BN23*BN24)/((1-EXP(-BN24*BN23))*BN29*BN34*(BN26/365)*BN32*BN33*BN31)</f>
        <v>419862.27439646545</v>
      </c>
      <c r="BO20" s="125"/>
      <c r="BS20" s="95" t="s">
        <v>414</v>
      </c>
      <c r="BT20" s="95">
        <v>1</v>
      </c>
      <c r="BV20" s="95" t="s">
        <v>108</v>
      </c>
      <c r="BW20" s="95">
        <v>26</v>
      </c>
      <c r="BX20" s="95" t="s">
        <v>129</v>
      </c>
      <c r="BY20" s="95" t="s">
        <v>240</v>
      </c>
      <c r="BZ20" s="95">
        <f>B33</f>
        <v>10</v>
      </c>
      <c r="CA20" s="95" t="s">
        <v>83</v>
      </c>
      <c r="CB20" s="95" t="s">
        <v>46</v>
      </c>
      <c r="CC20" s="354">
        <v>9.9999999999999995E-7</v>
      </c>
      <c r="CE20" s="95" t="s">
        <v>46</v>
      </c>
      <c r="CF20" s="354">
        <v>9.9999999999999995E-7</v>
      </c>
      <c r="CK20" s="95" t="s">
        <v>46</v>
      </c>
      <c r="CL20" s="354">
        <v>9.9999999999999995E-7</v>
      </c>
      <c r="CM20" s="355"/>
      <c r="CN20" s="95" t="s">
        <v>433</v>
      </c>
      <c r="CO20" s="354">
        <f>B28</f>
        <v>0</v>
      </c>
      <c r="CQ20" s="95" t="s">
        <v>433</v>
      </c>
      <c r="CR20" s="95">
        <f>CO20</f>
        <v>0</v>
      </c>
      <c r="CT20" s="95" t="s">
        <v>417</v>
      </c>
      <c r="CU20" s="354" t="e">
        <f>GV3</f>
        <v>#DIV/0!</v>
      </c>
      <c r="CV20" s="95" t="s">
        <v>23</v>
      </c>
      <c r="CW20" s="95" t="s">
        <v>134</v>
      </c>
      <c r="CX20" s="354">
        <f>(CX5)/((CX14/CX15)*CX10*CX11)</f>
        <v>0.2145002145002145</v>
      </c>
      <c r="CY20" s="95" t="s">
        <v>37</v>
      </c>
      <c r="CZ20" s="95" t="s">
        <v>326</v>
      </c>
      <c r="DA20" s="354" t="e">
        <f>EK3</f>
        <v>#DIV/0!</v>
      </c>
      <c r="DD20" s="354">
        <v>1000</v>
      </c>
      <c r="DE20" s="95" t="s">
        <v>195</v>
      </c>
      <c r="DF20" s="95" t="s">
        <v>154</v>
      </c>
      <c r="DG20" s="354">
        <f>0.693/DG23</f>
        <v>0.18141361256544503</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448</v>
      </c>
      <c r="B21" s="353">
        <v>3.82</v>
      </c>
      <c r="C21" s="95" t="s">
        <v>416</v>
      </c>
      <c r="D21" s="368" t="s">
        <v>139</v>
      </c>
      <c r="E21" s="369">
        <f>(E5)/((E14/E15)*E8*E9*E18*(1/365)*E19)</f>
        <v>5.1095401413872743</v>
      </c>
      <c r="F21" s="370" t="s">
        <v>37</v>
      </c>
      <c r="G21" s="95" t="s">
        <v>263</v>
      </c>
      <c r="H21" s="396">
        <f>(H29*H32*H38*H34)+(H30*H33*H39*H35)</f>
        <v>6104</v>
      </c>
      <c r="I21" s="95" t="s">
        <v>445</v>
      </c>
      <c r="J21" s="95" t="s">
        <v>117</v>
      </c>
      <c r="K21" s="95">
        <f>B36</f>
        <v>200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38.647342995169083</v>
      </c>
      <c r="BU21" s="95" t="s">
        <v>37</v>
      </c>
      <c r="BV21" s="95" t="s">
        <v>439</v>
      </c>
      <c r="BW21" s="95">
        <v>6</v>
      </c>
      <c r="BY21" s="95" t="s">
        <v>241</v>
      </c>
      <c r="BZ21" s="95">
        <f>B34</f>
        <v>20</v>
      </c>
      <c r="CA21" s="95" t="s">
        <v>83</v>
      </c>
      <c r="CB21" s="95" t="s">
        <v>61</v>
      </c>
      <c r="CC21" s="95">
        <v>26</v>
      </c>
      <c r="CD21" s="95" t="s">
        <v>62</v>
      </c>
      <c r="CE21" s="95" t="s">
        <v>61</v>
      </c>
      <c r="CF21" s="95">
        <v>26</v>
      </c>
      <c r="CG21" s="95" t="s">
        <v>62</v>
      </c>
      <c r="CK21" s="95" t="s">
        <v>415</v>
      </c>
      <c r="CL21" s="354">
        <f>E33</f>
        <v>0</v>
      </c>
      <c r="CM21" s="95" t="s">
        <v>23</v>
      </c>
      <c r="CN21" s="95" t="s">
        <v>50</v>
      </c>
      <c r="CO21" s="95">
        <f>CO23</f>
        <v>0</v>
      </c>
      <c r="CQ21" s="95" t="s">
        <v>346</v>
      </c>
      <c r="CR21" s="357">
        <v>1</v>
      </c>
      <c r="CS21" s="95" t="s">
        <v>59</v>
      </c>
      <c r="CT21" s="95" t="s">
        <v>326</v>
      </c>
      <c r="CU21" s="354" t="e">
        <f>EN3</f>
        <v>#DIV/0!</v>
      </c>
      <c r="CV21" s="95" t="s">
        <v>23</v>
      </c>
      <c r="CW21" s="95" t="s">
        <v>139</v>
      </c>
      <c r="CX21" s="354">
        <f>(CX5)/((CX14/CX15)*CX8*CX9*CX18*(1/365)*CX19)</f>
        <v>3.3212010919017283</v>
      </c>
      <c r="CY21" s="95" t="s">
        <v>37</v>
      </c>
      <c r="CZ21" s="95" t="s">
        <v>418</v>
      </c>
      <c r="DA21" s="354" t="e">
        <f>DV3</f>
        <v>#DIV/0!</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460</v>
      </c>
      <c r="HF21" s="94" t="s">
        <v>159</v>
      </c>
    </row>
    <row r="22" spans="1:214" s="95" customFormat="1" ht="13.5" thickTop="1" x14ac:dyDescent="0.2">
      <c r="A22" s="95" t="s">
        <v>203</v>
      </c>
      <c r="B22" s="397">
        <v>0</v>
      </c>
      <c r="C22" s="95" t="s">
        <v>48</v>
      </c>
      <c r="D22" s="363" t="s">
        <v>134</v>
      </c>
      <c r="E22" s="364">
        <f>(E5*E9*E6)/((E14/E15)*(1-EXP(-E6*E9))*E10*E11)</f>
        <v>593.52630277700462</v>
      </c>
      <c r="F22" s="365" t="s">
        <v>38</v>
      </c>
      <c r="G22" s="95" t="s">
        <v>403</v>
      </c>
      <c r="H22" s="360">
        <f>(H29*H32*H23)+(H30*H33*H24)</f>
        <v>424480</v>
      </c>
      <c r="I22" s="95" t="s">
        <v>230</v>
      </c>
      <c r="J22" s="95" t="s">
        <v>140</v>
      </c>
      <c r="K22" s="95">
        <f>B37</f>
        <v>100</v>
      </c>
      <c r="L22" s="95" t="s">
        <v>96</v>
      </c>
      <c r="M22" s="95" t="s">
        <v>46</v>
      </c>
      <c r="N22" s="354">
        <v>9.9999999999999995E-7</v>
      </c>
      <c r="P22" s="95" t="s">
        <v>46</v>
      </c>
      <c r="Q22" s="354">
        <v>9.9999999999999995E-7</v>
      </c>
      <c r="V22" s="25" t="s">
        <v>1</v>
      </c>
      <c r="W22" s="26" t="s">
        <v>5</v>
      </c>
      <c r="X22" s="26" t="s">
        <v>460</v>
      </c>
      <c r="Y22" s="27" t="s">
        <v>1</v>
      </c>
      <c r="Z22" s="26" t="s">
        <v>239</v>
      </c>
      <c r="AA22" s="28" t="s">
        <v>460</v>
      </c>
      <c r="AB22" s="95" t="s">
        <v>113</v>
      </c>
      <c r="AC22" s="95">
        <v>1</v>
      </c>
      <c r="AD22" s="95">
        <v>1</v>
      </c>
      <c r="AE22" s="95">
        <v>1</v>
      </c>
      <c r="AF22" s="95">
        <v>1</v>
      </c>
      <c r="AG22" s="95">
        <v>1</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572.26849583537467</v>
      </c>
      <c r="BU22" s="95" t="s">
        <v>37</v>
      </c>
      <c r="BV22" s="95" t="s">
        <v>438</v>
      </c>
      <c r="BW22" s="95">
        <f>BW20-BW21</f>
        <v>20</v>
      </c>
      <c r="BY22" s="95" t="s">
        <v>238</v>
      </c>
      <c r="BZ22" s="95">
        <v>75</v>
      </c>
      <c r="CA22" s="95" t="s">
        <v>55</v>
      </c>
      <c r="CB22" s="95" t="s">
        <v>52</v>
      </c>
      <c r="CC22" s="354">
        <f>0.693/CC23</f>
        <v>66.155354824913829</v>
      </c>
      <c r="CE22" s="95" t="s">
        <v>52</v>
      </c>
      <c r="CF22" s="354">
        <f>0.693/CF23</f>
        <v>66.155354824913829</v>
      </c>
      <c r="CK22" s="95" t="s">
        <v>238</v>
      </c>
      <c r="CL22" s="95">
        <v>75</v>
      </c>
      <c r="CM22" s="95" t="s">
        <v>268</v>
      </c>
      <c r="CN22" s="95" t="s">
        <v>57</v>
      </c>
      <c r="CO22" s="95">
        <f>CO24</f>
        <v>0.25</v>
      </c>
      <c r="CR22" s="95">
        <v>1000</v>
      </c>
      <c r="CS22" s="95" t="s">
        <v>230</v>
      </c>
      <c r="CT22" s="95" t="s">
        <v>418</v>
      </c>
      <c r="CU22" s="354" t="e">
        <f>DY3</f>
        <v>#DIV/0!</v>
      </c>
      <c r="CV22" s="95" t="s">
        <v>23</v>
      </c>
      <c r="CW22" s="95" t="s">
        <v>134</v>
      </c>
      <c r="CX22" s="354">
        <f>(CX5*CX9*CX6)/((CX14/CX15)*(1-EXP(-CX6*CX9))*CX10*CX11)</f>
        <v>567.61351201127263</v>
      </c>
      <c r="CY22" s="95" t="s">
        <v>38</v>
      </c>
      <c r="CZ22" s="95" t="s">
        <v>324</v>
      </c>
      <c r="DA22" s="354" t="e">
        <f>GD3</f>
        <v>#DIV/0!</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458</v>
      </c>
      <c r="B23" s="353">
        <v>0</v>
      </c>
      <c r="D23" s="368" t="s">
        <v>139</v>
      </c>
      <c r="E23" s="369">
        <f>(E5*E9*E6)/((E14/E15)*E8*E9*(1-EXP(-E6*E9))*E18*(1/365)*E19)</f>
        <v>8788.6094671860028</v>
      </c>
      <c r="F23" s="370" t="s">
        <v>38</v>
      </c>
      <c r="G23" s="95" t="s">
        <v>404</v>
      </c>
      <c r="H23" s="354">
        <f>B40</f>
        <v>14.8</v>
      </c>
      <c r="I23" s="95" t="s">
        <v>413</v>
      </c>
      <c r="J23" s="95" t="s">
        <v>240</v>
      </c>
      <c r="K23" s="95">
        <f>B33</f>
        <v>10</v>
      </c>
      <c r="L23" s="95" t="s">
        <v>83</v>
      </c>
      <c r="M23" s="95" t="s">
        <v>61</v>
      </c>
      <c r="N23" s="95">
        <v>26</v>
      </c>
      <c r="O23" s="95" t="s">
        <v>62</v>
      </c>
      <c r="P23" s="95" t="s">
        <v>61</v>
      </c>
      <c r="Q23" s="95">
        <v>26</v>
      </c>
      <c r="R23" s="95" t="s">
        <v>62</v>
      </c>
      <c r="V23" s="108" t="s">
        <v>19</v>
      </c>
      <c r="W23" s="109" t="s">
        <v>17</v>
      </c>
      <c r="X23" s="109" t="s">
        <v>20</v>
      </c>
      <c r="Y23" s="110" t="s">
        <v>19</v>
      </c>
      <c r="Z23" s="109" t="s">
        <v>17</v>
      </c>
      <c r="AA23" s="111" t="s">
        <v>20</v>
      </c>
      <c r="AB23" s="95" t="s">
        <v>131</v>
      </c>
      <c r="AC23" s="354">
        <f>B9</f>
        <v>8.4800000000000001E-6</v>
      </c>
      <c r="AD23" s="354">
        <f>B9</f>
        <v>8.4800000000000001E-6</v>
      </c>
      <c r="AE23" s="354">
        <f>B9</f>
        <v>8.4800000000000001E-6</v>
      </c>
      <c r="AF23" s="354">
        <f>B9</f>
        <v>8.4800000000000001E-6</v>
      </c>
      <c r="AG23" s="354">
        <f>B9</f>
        <v>8.4800000000000001E-6</v>
      </c>
      <c r="AH23" s="95" t="s">
        <v>163</v>
      </c>
      <c r="AI23" s="95" t="s">
        <v>61</v>
      </c>
      <c r="AJ23" s="95">
        <v>25</v>
      </c>
      <c r="AK23" s="95" t="s">
        <v>62</v>
      </c>
      <c r="AL23" s="95" t="s">
        <v>61</v>
      </c>
      <c r="AM23" s="95">
        <v>25</v>
      </c>
      <c r="AN23" s="95" t="s">
        <v>62</v>
      </c>
      <c r="AR23" s="95" t="s">
        <v>61</v>
      </c>
      <c r="AS23" s="95">
        <v>25</v>
      </c>
      <c r="AT23" s="95" t="s">
        <v>62</v>
      </c>
      <c r="AU23" s="95" t="s">
        <v>61</v>
      </c>
      <c r="AV23" s="95">
        <v>25</v>
      </c>
      <c r="AW23" s="95" t="s">
        <v>62</v>
      </c>
      <c r="BA23" s="95" t="s">
        <v>61</v>
      </c>
      <c r="BB23" s="95">
        <v>25</v>
      </c>
      <c r="BC23" s="95" t="s">
        <v>62</v>
      </c>
      <c r="BD23" s="95" t="s">
        <v>61</v>
      </c>
      <c r="BE23" s="95">
        <v>25</v>
      </c>
      <c r="BF23" s="95" t="s">
        <v>62</v>
      </c>
      <c r="BJ23" s="95" t="s">
        <v>61</v>
      </c>
      <c r="BK23" s="95">
        <v>1</v>
      </c>
      <c r="BL23" s="95" t="s">
        <v>62</v>
      </c>
      <c r="BM23" s="95" t="s">
        <v>61</v>
      </c>
      <c r="BN23" s="95">
        <v>1</v>
      </c>
      <c r="BO23" s="95" t="s">
        <v>62</v>
      </c>
      <c r="BS23" s="95" t="s">
        <v>134</v>
      </c>
      <c r="BT23" s="354">
        <f>(BT5*BT28*BT6)/((1-EXP(-BT6*BT28))*BT10*BT11)</f>
        <v>66474.945911024523</v>
      </c>
      <c r="BU23" s="95" t="s">
        <v>38</v>
      </c>
      <c r="BV23" s="95" t="s">
        <v>436</v>
      </c>
      <c r="BW23" s="95">
        <v>1</v>
      </c>
      <c r="BX23" s="95" t="s">
        <v>180</v>
      </c>
      <c r="BY23" s="95" t="s">
        <v>78</v>
      </c>
      <c r="BZ23" s="95">
        <v>75</v>
      </c>
      <c r="CA23" s="95" t="s">
        <v>55</v>
      </c>
      <c r="CB23" s="95" t="s">
        <v>448</v>
      </c>
      <c r="CC23" s="354">
        <f>B17</f>
        <v>1.04753425E-2</v>
      </c>
      <c r="CD23" s="95" t="s">
        <v>129</v>
      </c>
      <c r="CE23" s="95" t="s">
        <v>448</v>
      </c>
      <c r="CF23" s="354">
        <f>B17</f>
        <v>1.04753425E-2</v>
      </c>
      <c r="CG23" s="95" t="s">
        <v>129</v>
      </c>
      <c r="CK23" s="95" t="s">
        <v>107</v>
      </c>
      <c r="CL23" s="95">
        <v>26</v>
      </c>
      <c r="CM23" s="95" t="s">
        <v>276</v>
      </c>
      <c r="CN23" s="95" t="s">
        <v>67</v>
      </c>
      <c r="CO23" s="354">
        <f>B31</f>
        <v>0</v>
      </c>
      <c r="CT23" s="95" t="s">
        <v>324</v>
      </c>
      <c r="CU23" s="354" t="e">
        <f>GG3</f>
        <v>#DIV/0!</v>
      </c>
      <c r="CV23" s="95" t="s">
        <v>23</v>
      </c>
      <c r="CW23" s="95" t="s">
        <v>139</v>
      </c>
      <c r="CX23" s="354">
        <f>(CX5*CX9*CX6)/((CX14/CX15)*CX8*CX9*(1-EXP(-CX6*CX9))*CX18*(1/365)*CX19)</f>
        <v>8788.6094671860028</v>
      </c>
      <c r="CY23" s="95" t="s">
        <v>38</v>
      </c>
      <c r="CZ23" s="95" t="s">
        <v>325</v>
      </c>
      <c r="DA23" s="354" t="e">
        <f>FO3</f>
        <v>#DIV/0!</v>
      </c>
      <c r="DF23" s="95" t="s">
        <v>46</v>
      </c>
      <c r="DG23" s="354">
        <f>B21</f>
        <v>3.82</v>
      </c>
      <c r="DH23" s="95" t="s">
        <v>416</v>
      </c>
      <c r="DO23" s="95" t="s">
        <v>49</v>
      </c>
      <c r="DP23" s="95">
        <f>DP25</f>
        <v>0</v>
      </c>
      <c r="ED23" s="95" t="s">
        <v>49</v>
      </c>
      <c r="EE23" s="95">
        <f>EE25</f>
        <v>0</v>
      </c>
      <c r="ES23" s="95" t="s">
        <v>49</v>
      </c>
      <c r="ET23" s="95">
        <f>ET25</f>
        <v>0</v>
      </c>
      <c r="FH23" s="95" t="s">
        <v>49</v>
      </c>
      <c r="FI23" s="95">
        <v>0.2</v>
      </c>
      <c r="FW23" s="95" t="s">
        <v>49</v>
      </c>
      <c r="FX23" s="95">
        <f>FX25</f>
        <v>0</v>
      </c>
      <c r="GL23" s="95" t="s">
        <v>49</v>
      </c>
      <c r="GM23" s="95">
        <f>GM25</f>
        <v>0</v>
      </c>
      <c r="HA23" s="95" t="s">
        <v>49</v>
      </c>
      <c r="HB23" s="95">
        <f>HB25</f>
        <v>0</v>
      </c>
      <c r="HD23" s="247">
        <f>(HE25*HE33*HE38*HE32*10^-3*HE31*HE27)/(HE30*HE41*(1-EXP(-HE27*HE31)))</f>
        <v>722.12939181482432</v>
      </c>
      <c r="HE23" s="248"/>
      <c r="HF23" s="180" t="s">
        <v>40</v>
      </c>
    </row>
    <row r="24" spans="1:214" s="95" customFormat="1" ht="13.5" thickBot="1" x14ac:dyDescent="0.25">
      <c r="A24" s="95" t="s">
        <v>455</v>
      </c>
      <c r="B24" s="353">
        <v>0</v>
      </c>
      <c r="D24" s="95" t="s">
        <v>244</v>
      </c>
      <c r="E24" s="95">
        <v>350</v>
      </c>
      <c r="F24" s="95" t="s">
        <v>55</v>
      </c>
      <c r="G24" s="95" t="s">
        <v>405</v>
      </c>
      <c r="H24" s="354">
        <f>B41</f>
        <v>56.2</v>
      </c>
      <c r="I24" s="95" t="s">
        <v>413</v>
      </c>
      <c r="J24" s="95" t="s">
        <v>241</v>
      </c>
      <c r="K24" s="95">
        <f>B34</f>
        <v>20</v>
      </c>
      <c r="L24" s="95" t="s">
        <v>83</v>
      </c>
      <c r="M24" s="95" t="s">
        <v>52</v>
      </c>
      <c r="N24" s="354">
        <f>0.693/N25</f>
        <v>66.155354824913829</v>
      </c>
      <c r="P24" s="95" t="s">
        <v>52</v>
      </c>
      <c r="Q24" s="354">
        <f>0.693/Q25</f>
        <v>66.155354824913829</v>
      </c>
      <c r="V24" s="108" t="s">
        <v>38</v>
      </c>
      <c r="W24" s="186">
        <f>1/((1/W39)+(1/W40))</f>
        <v>720.70750934740113</v>
      </c>
      <c r="X24" s="187"/>
      <c r="Y24" s="188" t="s">
        <v>38</v>
      </c>
      <c r="Z24" s="186">
        <f>1/((1/Z37)+(1/Z38))</f>
        <v>720.70750934740113</v>
      </c>
      <c r="AA24" s="189"/>
      <c r="AB24" s="95" t="s">
        <v>75</v>
      </c>
      <c r="AC24" s="354">
        <f>B5</f>
        <v>1.7999999999999999E-11</v>
      </c>
      <c r="AD24" s="354">
        <f>B5</f>
        <v>1.7999999999999999E-11</v>
      </c>
      <c r="AE24" s="354">
        <f>B5</f>
        <v>1.7999999999999999E-11</v>
      </c>
      <c r="AF24" s="354">
        <f>B5</f>
        <v>1.7999999999999999E-11</v>
      </c>
      <c r="AG24" s="354">
        <f>B5</f>
        <v>1.7999999999999999E-11</v>
      </c>
      <c r="AH24" s="95" t="s">
        <v>64</v>
      </c>
      <c r="AI24" s="95" t="s">
        <v>52</v>
      </c>
      <c r="AJ24" s="354">
        <f>0.693/AJ25</f>
        <v>66.155354824913829</v>
      </c>
      <c r="AL24" s="95" t="s">
        <v>52</v>
      </c>
      <c r="AM24" s="354">
        <f>0.693/AM25</f>
        <v>66.155354824913829</v>
      </c>
      <c r="AR24" s="95" t="s">
        <v>52</v>
      </c>
      <c r="AS24" s="354">
        <f>0.693/AS25</f>
        <v>66.155354824913829</v>
      </c>
      <c r="AU24" s="95" t="s">
        <v>52</v>
      </c>
      <c r="AV24" s="354">
        <f>0.693/AV25</f>
        <v>66.155354824913829</v>
      </c>
      <c r="BA24" s="95" t="s">
        <v>52</v>
      </c>
      <c r="BB24" s="354">
        <f>0.693/BB25</f>
        <v>66.155354824913829</v>
      </c>
      <c r="BD24" s="95" t="s">
        <v>52</v>
      </c>
      <c r="BE24" s="354">
        <f>0.693/BE25</f>
        <v>66.155354824913829</v>
      </c>
      <c r="BJ24" s="95" t="s">
        <v>52</v>
      </c>
      <c r="BK24" s="354">
        <f>0.693/BK25</f>
        <v>66.155354824913829</v>
      </c>
      <c r="BM24" s="95" t="s">
        <v>52</v>
      </c>
      <c r="BN24" s="354">
        <f>0.693/BN25</f>
        <v>66.155354824913829</v>
      </c>
      <c r="BS24" s="95" t="s">
        <v>139</v>
      </c>
      <c r="BT24" s="354">
        <f>(BT5*BT9*BT6)/((BT14/24)*BT8*BT9*(1-EXP(-BT6*BT9))*BT19*(1/365)*BT20)</f>
        <v>984324.26032483228</v>
      </c>
      <c r="BU24" s="95" t="s">
        <v>38</v>
      </c>
      <c r="BV24" s="95" t="s">
        <v>435</v>
      </c>
      <c r="BW24" s="95">
        <v>1</v>
      </c>
      <c r="BX24" s="95" t="s">
        <v>180</v>
      </c>
      <c r="BY24" s="95" t="s">
        <v>70</v>
      </c>
      <c r="BZ24" s="95">
        <v>75</v>
      </c>
      <c r="CA24" s="95" t="s">
        <v>55</v>
      </c>
      <c r="CB24" s="95" t="s">
        <v>54</v>
      </c>
      <c r="CC24" s="95">
        <v>75</v>
      </c>
      <c r="CD24" s="95" t="s">
        <v>63</v>
      </c>
      <c r="CE24" s="95" t="s">
        <v>54</v>
      </c>
      <c r="CF24" s="95">
        <v>75</v>
      </c>
      <c r="CG24" s="95" t="s">
        <v>63</v>
      </c>
      <c r="CK24" s="95" t="s">
        <v>334</v>
      </c>
      <c r="CL24" s="357">
        <v>1</v>
      </c>
      <c r="CM24" s="95" t="s">
        <v>413</v>
      </c>
      <c r="CN24" s="95" t="s">
        <v>341</v>
      </c>
      <c r="CO24" s="357">
        <v>0.25</v>
      </c>
      <c r="CT24" s="95" t="s">
        <v>325</v>
      </c>
      <c r="CU24" s="354" t="e">
        <f>FR3</f>
        <v>#DIV/0!</v>
      </c>
      <c r="CV24" s="95" t="s">
        <v>23</v>
      </c>
      <c r="CW24" s="95" t="s">
        <v>244</v>
      </c>
      <c r="CX24" s="95">
        <v>350</v>
      </c>
      <c r="CY24" s="95" t="s">
        <v>55</v>
      </c>
      <c r="CZ24" s="95" t="s">
        <v>86</v>
      </c>
      <c r="DA24" s="360">
        <f>(DA35*DA37*DA27)+(DA36*DA38*DA28)</f>
        <v>31388</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33.223991427940419</v>
      </c>
      <c r="HE24" s="351"/>
      <c r="HF24" s="352" t="s">
        <v>45</v>
      </c>
    </row>
    <row r="25" spans="1:214" s="95" customFormat="1" ht="14.25" thickTop="1" thickBot="1" x14ac:dyDescent="0.25">
      <c r="A25" s="95" t="s">
        <v>456</v>
      </c>
      <c r="B25" s="353">
        <v>0</v>
      </c>
      <c r="D25" s="95" t="s">
        <v>245</v>
      </c>
      <c r="E25" s="95">
        <v>350</v>
      </c>
      <c r="F25" s="95" t="s">
        <v>55</v>
      </c>
      <c r="G25" s="95" t="s">
        <v>402</v>
      </c>
      <c r="H25" s="360">
        <f>(H29*H32*H26)+(H30*H33*H27)</f>
        <v>221340</v>
      </c>
      <c r="I25" s="95" t="s">
        <v>230</v>
      </c>
      <c r="J25" s="95" t="s">
        <v>403</v>
      </c>
      <c r="K25" s="360">
        <f>(K31*K35*K26)+(K32*K34*K27)</f>
        <v>424480</v>
      </c>
      <c r="L25" s="95" t="s">
        <v>230</v>
      </c>
      <c r="M25" s="95" t="s">
        <v>448</v>
      </c>
      <c r="N25" s="354">
        <f>B17</f>
        <v>1.04753425E-2</v>
      </c>
      <c r="O25" s="95" t="s">
        <v>129</v>
      </c>
      <c r="P25" s="95" t="s">
        <v>448</v>
      </c>
      <c r="Q25" s="354">
        <f>B17</f>
        <v>1.04753425E-2</v>
      </c>
      <c r="R25" s="95" t="s">
        <v>129</v>
      </c>
      <c r="V25" s="263" t="s">
        <v>37</v>
      </c>
      <c r="W25" s="264">
        <f>1/((1/W37)+(1/W38))</f>
        <v>0.43576669568461635</v>
      </c>
      <c r="X25" s="265"/>
      <c r="Y25" s="266" t="s">
        <v>37</v>
      </c>
      <c r="Z25" s="398">
        <f>1/((1/Z39)+(1/Z40))</f>
        <v>10.89416739211541</v>
      </c>
      <c r="AA25" s="267"/>
      <c r="AC25" s="354"/>
      <c r="AD25" s="354"/>
      <c r="AE25" s="354"/>
      <c r="AI25" s="95" t="s">
        <v>448</v>
      </c>
      <c r="AJ25" s="354">
        <f>B17</f>
        <v>1.04753425E-2</v>
      </c>
      <c r="AK25" s="95" t="s">
        <v>129</v>
      </c>
      <c r="AL25" s="95" t="s">
        <v>448</v>
      </c>
      <c r="AM25" s="354">
        <f>B17</f>
        <v>1.04753425E-2</v>
      </c>
      <c r="AN25" s="95" t="s">
        <v>129</v>
      </c>
      <c r="AR25" s="95" t="s">
        <v>448</v>
      </c>
      <c r="AS25" s="354">
        <f>B17</f>
        <v>1.04753425E-2</v>
      </c>
      <c r="AT25" s="95" t="s">
        <v>129</v>
      </c>
      <c r="AU25" s="95" t="s">
        <v>448</v>
      </c>
      <c r="AV25" s="354">
        <f>B17</f>
        <v>1.04753425E-2</v>
      </c>
      <c r="AW25" s="95" t="s">
        <v>129</v>
      </c>
      <c r="BA25" s="95" t="s">
        <v>448</v>
      </c>
      <c r="BB25" s="354">
        <f>B17</f>
        <v>1.04753425E-2</v>
      </c>
      <c r="BC25" s="95" t="s">
        <v>129</v>
      </c>
      <c r="BD25" s="95" t="s">
        <v>448</v>
      </c>
      <c r="BE25" s="354">
        <f>B17</f>
        <v>1.04753425E-2</v>
      </c>
      <c r="BF25" s="95" t="s">
        <v>129</v>
      </c>
      <c r="BJ25" s="95" t="s">
        <v>448</v>
      </c>
      <c r="BK25" s="354">
        <f>B17</f>
        <v>1.04753425E-2</v>
      </c>
      <c r="BL25" s="95" t="s">
        <v>129</v>
      </c>
      <c r="BM25" s="95" t="s">
        <v>448</v>
      </c>
      <c r="BN25" s="354">
        <f>B17</f>
        <v>1.04753425E-2</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1</v>
      </c>
      <c r="CP25" s="95" t="s">
        <v>479</v>
      </c>
      <c r="CT25" s="95" t="s">
        <v>87</v>
      </c>
      <c r="CU25" s="399">
        <f>(CU27*CU31*CU35+CU28*CU32*CU34)</f>
        <v>1610000</v>
      </c>
      <c r="CV25" s="95" t="s">
        <v>443</v>
      </c>
      <c r="CW25" s="95" t="s">
        <v>245</v>
      </c>
      <c r="CX25" s="95">
        <v>350</v>
      </c>
      <c r="CY25" s="95" t="s">
        <v>55</v>
      </c>
      <c r="CZ25" s="95" t="s">
        <v>82</v>
      </c>
      <c r="DA25" s="360">
        <f>(DA35*DA37*DA29*(DA40/24))+(DA36*DA38*DA30*(DA41/24))</f>
        <v>259000</v>
      </c>
      <c r="DB25" s="95" t="s">
        <v>444</v>
      </c>
      <c r="DO25" s="95" t="s">
        <v>66</v>
      </c>
      <c r="DP25" s="354">
        <f>B30</f>
        <v>0</v>
      </c>
      <c r="ED25" s="95" t="s">
        <v>67</v>
      </c>
      <c r="EE25" s="354">
        <f>B31</f>
        <v>0</v>
      </c>
      <c r="ES25" s="95" t="s">
        <v>67</v>
      </c>
      <c r="ET25" s="354">
        <f>B31</f>
        <v>0</v>
      </c>
      <c r="FH25" s="95" t="s">
        <v>67</v>
      </c>
      <c r="FI25" s="354">
        <f>B31</f>
        <v>0</v>
      </c>
      <c r="FW25" s="95" t="s">
        <v>67</v>
      </c>
      <c r="FX25" s="354">
        <f>B31</f>
        <v>0</v>
      </c>
      <c r="GL25" s="95" t="s">
        <v>67</v>
      </c>
      <c r="GM25" s="354">
        <f>B31</f>
        <v>0</v>
      </c>
      <c r="HA25" s="95" t="s">
        <v>67</v>
      </c>
      <c r="HB25" s="354">
        <f>B31</f>
        <v>0</v>
      </c>
      <c r="HD25" s="355" t="s">
        <v>51</v>
      </c>
      <c r="HE25" s="354">
        <v>15</v>
      </c>
      <c r="HF25" s="95" t="s">
        <v>25</v>
      </c>
    </row>
    <row r="26" spans="1:214" s="95" customFormat="1" ht="14.25" thickTop="1" thickBot="1" x14ac:dyDescent="0.25">
      <c r="A26" s="95" t="s">
        <v>349</v>
      </c>
      <c r="B26" s="353">
        <v>0</v>
      </c>
      <c r="G26" s="95" t="s">
        <v>400</v>
      </c>
      <c r="H26" s="354">
        <f>B42</f>
        <v>10.4</v>
      </c>
      <c r="I26" s="95" t="s">
        <v>413</v>
      </c>
      <c r="J26" s="95" t="s">
        <v>404</v>
      </c>
      <c r="K26" s="354">
        <f>B40</f>
        <v>14.8</v>
      </c>
      <c r="L26" s="95" t="s">
        <v>413</v>
      </c>
      <c r="M26" s="95" t="s">
        <v>54</v>
      </c>
      <c r="N26" s="95">
        <v>350</v>
      </c>
      <c r="O26" s="95" t="s">
        <v>63</v>
      </c>
      <c r="P26" s="95" t="s">
        <v>54</v>
      </c>
      <c r="Q26" s="95">
        <v>350</v>
      </c>
      <c r="R26" s="95" t="s">
        <v>63</v>
      </c>
      <c r="V26" s="95" t="s">
        <v>46</v>
      </c>
      <c r="W26" s="354">
        <v>9.9999999999999995E-7</v>
      </c>
      <c r="Y26" s="95" t="s">
        <v>46</v>
      </c>
      <c r="Z26" s="354">
        <v>9.9999999999999995E-7</v>
      </c>
      <c r="AC26" s="354"/>
      <c r="AD26" s="354"/>
      <c r="AE26" s="354"/>
      <c r="AI26" s="95" t="s">
        <v>54</v>
      </c>
      <c r="AJ26" s="95">
        <v>250</v>
      </c>
      <c r="AK26" s="95" t="s">
        <v>63</v>
      </c>
      <c r="AL26" s="95" t="s">
        <v>54</v>
      </c>
      <c r="AM26" s="95">
        <v>250</v>
      </c>
      <c r="AN26" s="95" t="s">
        <v>63</v>
      </c>
      <c r="AR26" s="95" t="s">
        <v>54</v>
      </c>
      <c r="AS26" s="95">
        <v>225</v>
      </c>
      <c r="AT26" s="95" t="s">
        <v>63</v>
      </c>
      <c r="AU26" s="95" t="s">
        <v>54</v>
      </c>
      <c r="AV26" s="95">
        <v>225</v>
      </c>
      <c r="AW26" s="95" t="s">
        <v>63</v>
      </c>
      <c r="BA26" s="95" t="s">
        <v>54</v>
      </c>
      <c r="BB26" s="95">
        <v>250</v>
      </c>
      <c r="BC26" s="95" t="s">
        <v>63</v>
      </c>
      <c r="BD26" s="95" t="s">
        <v>54</v>
      </c>
      <c r="BE26" s="95">
        <v>250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95">
        <v>2.2499999999999999E-2</v>
      </c>
      <c r="CE26" s="95" t="s">
        <v>102</v>
      </c>
      <c r="CF26" s="95">
        <v>4.2700000000000002E-2</v>
      </c>
      <c r="CN26" s="95" t="s">
        <v>342</v>
      </c>
      <c r="CO26" s="357">
        <v>1</v>
      </c>
      <c r="CP26" s="95" t="s">
        <v>479</v>
      </c>
      <c r="CT26" s="95" t="s">
        <v>82</v>
      </c>
      <c r="CU26" s="399">
        <f>((CU35*CU31*CU29*CU36/24))+(CU34*CU32*CU30*(CU37/24))</f>
        <v>259000</v>
      </c>
      <c r="CV26" s="95" t="s">
        <v>444</v>
      </c>
      <c r="CZ26" s="95" t="s">
        <v>263</v>
      </c>
      <c r="DA26" s="360">
        <f>(DA35*DA37*DA42*DA44)+(DA36*DA38*DA43*DA45)</f>
        <v>9583</v>
      </c>
      <c r="DB26" s="95" t="s">
        <v>445</v>
      </c>
      <c r="DF26" s="95" t="s">
        <v>67</v>
      </c>
      <c r="DG26" s="354">
        <f>B31</f>
        <v>0</v>
      </c>
      <c r="DO26" s="95" t="s">
        <v>73</v>
      </c>
      <c r="DP26" s="95">
        <v>0.26</v>
      </c>
      <c r="ED26" s="95" t="s">
        <v>73</v>
      </c>
      <c r="EE26" s="95">
        <v>0.25</v>
      </c>
      <c r="EJ26" s="95" t="s">
        <v>67</v>
      </c>
      <c r="EK26" s="354">
        <f>B31</f>
        <v>0</v>
      </c>
      <c r="ES26" s="95" t="s">
        <v>73</v>
      </c>
      <c r="ET26" s="95">
        <v>0.25</v>
      </c>
      <c r="FH26" s="95" t="s">
        <v>316</v>
      </c>
      <c r="FI26" s="95">
        <v>0.25</v>
      </c>
      <c r="FW26" s="95" t="s">
        <v>311</v>
      </c>
      <c r="FX26" s="95">
        <v>0.25</v>
      </c>
      <c r="GL26" s="95" t="s">
        <v>305</v>
      </c>
      <c r="GM26" s="95">
        <v>0.25</v>
      </c>
      <c r="HA26" s="95" t="s">
        <v>310</v>
      </c>
      <c r="HB26" s="95">
        <v>0.25</v>
      </c>
      <c r="HD26" s="95" t="s">
        <v>17</v>
      </c>
      <c r="HE26" s="354">
        <f>H3</f>
        <v>0.69012544990953739</v>
      </c>
      <c r="HF26" s="95" t="s">
        <v>25</v>
      </c>
    </row>
    <row r="27" spans="1:214" s="95" customFormat="1" ht="12.75" customHeight="1" thickTop="1" x14ac:dyDescent="0.2">
      <c r="A27" s="95" t="s">
        <v>457</v>
      </c>
      <c r="B27" s="353">
        <v>0</v>
      </c>
      <c r="D27" s="401" t="s">
        <v>3</v>
      </c>
      <c r="E27" s="19"/>
      <c r="F27" s="20" t="s">
        <v>460</v>
      </c>
      <c r="G27" s="95" t="s">
        <v>401</v>
      </c>
      <c r="H27" s="354">
        <f>B43</f>
        <v>28.5</v>
      </c>
      <c r="I27" s="95" t="s">
        <v>413</v>
      </c>
      <c r="J27" s="95" t="s">
        <v>405</v>
      </c>
      <c r="K27" s="354">
        <f>B41</f>
        <v>56.2</v>
      </c>
      <c r="L27" s="95" t="s">
        <v>413</v>
      </c>
      <c r="M27" s="95" t="s">
        <v>68</v>
      </c>
      <c r="N27" s="95">
        <v>26</v>
      </c>
      <c r="O27" s="95" t="s">
        <v>62</v>
      </c>
      <c r="P27" s="95" t="s">
        <v>68</v>
      </c>
      <c r="Q27" s="95">
        <v>26</v>
      </c>
      <c r="R27" s="95" t="s">
        <v>62</v>
      </c>
      <c r="V27" s="95" t="s">
        <v>52</v>
      </c>
      <c r="W27" s="354">
        <f>0.693/W28</f>
        <v>66.155354824913829</v>
      </c>
      <c r="Y27" s="95" t="s">
        <v>52</v>
      </c>
      <c r="Z27" s="354">
        <f>0.693/Z28</f>
        <v>66.155354824913829</v>
      </c>
      <c r="AB27" s="95" t="s">
        <v>68</v>
      </c>
      <c r="AC27" s="95">
        <v>25</v>
      </c>
      <c r="AD27" s="95">
        <v>25</v>
      </c>
      <c r="AE27" s="95">
        <v>25</v>
      </c>
      <c r="AF27" s="95">
        <v>1</v>
      </c>
      <c r="AG27" s="95">
        <v>1</v>
      </c>
      <c r="AH27" s="95" t="s">
        <v>129</v>
      </c>
      <c r="AI27" s="95" t="s">
        <v>68</v>
      </c>
      <c r="AJ27" s="95">
        <v>25</v>
      </c>
      <c r="AK27" s="95" t="s">
        <v>62</v>
      </c>
      <c r="AL27" s="95" t="s">
        <v>68</v>
      </c>
      <c r="AM27" s="95">
        <v>25</v>
      </c>
      <c r="AN27" s="95" t="s">
        <v>62</v>
      </c>
      <c r="AR27" s="95" t="s">
        <v>68</v>
      </c>
      <c r="AS27" s="95">
        <v>25</v>
      </c>
      <c r="AT27" s="95" t="s">
        <v>62</v>
      </c>
      <c r="AU27" s="95" t="s">
        <v>68</v>
      </c>
      <c r="AV27" s="95">
        <v>25</v>
      </c>
      <c r="AW27" s="95" t="s">
        <v>62</v>
      </c>
      <c r="BA27" s="95" t="s">
        <v>68</v>
      </c>
      <c r="BB27" s="95">
        <v>25</v>
      </c>
      <c r="BC27" s="95" t="s">
        <v>62</v>
      </c>
      <c r="BD27" s="95" t="s">
        <v>68</v>
      </c>
      <c r="BE27" s="95">
        <v>25</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95">
        <v>0.46300000000000002</v>
      </c>
      <c r="CE27" s="95" t="s">
        <v>113</v>
      </c>
      <c r="CF27" s="95">
        <v>0.72299999999999998</v>
      </c>
      <c r="CN27" s="95" t="s">
        <v>343</v>
      </c>
      <c r="CO27" s="357">
        <v>1</v>
      </c>
      <c r="CP27" s="95" t="s">
        <v>80</v>
      </c>
      <c r="CT27" s="95" t="s">
        <v>117</v>
      </c>
      <c r="CU27" s="95">
        <f>B36</f>
        <v>200</v>
      </c>
      <c r="CV27" s="95" t="s">
        <v>96</v>
      </c>
      <c r="CZ27" s="95" t="s">
        <v>105</v>
      </c>
      <c r="DA27" s="95">
        <f>B38</f>
        <v>0.78</v>
      </c>
      <c r="DB27" s="95" t="s">
        <v>59</v>
      </c>
      <c r="EB27" s="354"/>
      <c r="ED27" s="95" t="s">
        <v>347</v>
      </c>
      <c r="EE27" s="354">
        <f>B23</f>
        <v>0</v>
      </c>
      <c r="EQ27" s="354"/>
      <c r="ES27" s="95" t="s">
        <v>348</v>
      </c>
      <c r="ET27" s="354">
        <f>B24</f>
        <v>0</v>
      </c>
      <c r="FH27" s="95" t="s">
        <v>349</v>
      </c>
      <c r="FI27" s="356">
        <f>B26</f>
        <v>0</v>
      </c>
      <c r="FW27" s="95" t="s">
        <v>350</v>
      </c>
      <c r="FX27" s="357">
        <v>1</v>
      </c>
      <c r="GL27" s="95" t="s">
        <v>351</v>
      </c>
      <c r="GM27" s="356">
        <f>B25</f>
        <v>0</v>
      </c>
      <c r="HA27" s="95" t="s">
        <v>352</v>
      </c>
      <c r="HB27" s="356">
        <f>B27</f>
        <v>0</v>
      </c>
      <c r="HD27" s="95" t="s">
        <v>52</v>
      </c>
      <c r="HE27" s="354">
        <f>0.693/HE28</f>
        <v>66.155354824913829</v>
      </c>
    </row>
    <row r="28" spans="1:214" s="95" customFormat="1" ht="14.25" x14ac:dyDescent="0.2">
      <c r="A28" s="95" t="s">
        <v>433</v>
      </c>
      <c r="B28" s="353">
        <f>B24</f>
        <v>0</v>
      </c>
      <c r="D28" s="402" t="s">
        <v>166</v>
      </c>
      <c r="E28" s="101" t="s">
        <v>17</v>
      </c>
      <c r="F28" s="102" t="s">
        <v>23</v>
      </c>
      <c r="G28" s="95" t="s">
        <v>145</v>
      </c>
      <c r="H28" s="95">
        <v>0.5</v>
      </c>
      <c r="I28" s="95" t="s">
        <v>146</v>
      </c>
      <c r="J28" s="95" t="s">
        <v>402</v>
      </c>
      <c r="K28" s="360">
        <f>(K31*K35*K29)+(K32*K34*K30)</f>
        <v>221340</v>
      </c>
      <c r="L28" s="95" t="s">
        <v>230</v>
      </c>
      <c r="M28" s="95" t="s">
        <v>91</v>
      </c>
      <c r="N28" s="95">
        <v>0.4</v>
      </c>
      <c r="P28" s="95" t="s">
        <v>91</v>
      </c>
      <c r="Q28" s="95">
        <v>0.4</v>
      </c>
      <c r="V28" s="95" t="s">
        <v>448</v>
      </c>
      <c r="W28" s="354">
        <f>B17</f>
        <v>1.04753425E-2</v>
      </c>
      <c r="X28" s="95" t="s">
        <v>129</v>
      </c>
      <c r="Y28" s="95" t="s">
        <v>448</v>
      </c>
      <c r="Z28" s="354">
        <f>B17</f>
        <v>1.04753425E-2</v>
      </c>
      <c r="AA28" s="95" t="s">
        <v>129</v>
      </c>
      <c r="AB28" s="95" t="s">
        <v>171</v>
      </c>
      <c r="AC28" s="354">
        <f t="shared" ref="AC28:AF29" si="0">8/24</f>
        <v>0.33333333333333331</v>
      </c>
      <c r="AD28" s="354">
        <f t="shared" si="0"/>
        <v>0.33333333333333331</v>
      </c>
      <c r="AE28" s="354">
        <f t="shared" si="0"/>
        <v>0.33333333333333331</v>
      </c>
      <c r="AF28" s="354">
        <f t="shared" si="0"/>
        <v>0.33333333333333331</v>
      </c>
      <c r="AG28" s="354">
        <f>8/24</f>
        <v>0.33333333333333331</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1</v>
      </c>
      <c r="CA28" s="95" t="s">
        <v>85</v>
      </c>
      <c r="CB28" s="95" t="s">
        <v>182</v>
      </c>
      <c r="CC28" s="95">
        <v>1</v>
      </c>
      <c r="CD28" s="95" t="s">
        <v>127</v>
      </c>
      <c r="CE28" s="95" t="s">
        <v>182</v>
      </c>
      <c r="CF28" s="95">
        <v>1</v>
      </c>
      <c r="CG28" s="95" t="s">
        <v>127</v>
      </c>
      <c r="CN28" s="95" t="s">
        <v>344</v>
      </c>
      <c r="CO28" s="357">
        <v>1</v>
      </c>
      <c r="CP28" s="95" t="s">
        <v>80</v>
      </c>
      <c r="CT28" s="95" t="s">
        <v>140</v>
      </c>
      <c r="CU28" s="95">
        <f>B37</f>
        <v>100</v>
      </c>
      <c r="CV28" s="95" t="s">
        <v>96</v>
      </c>
      <c r="CZ28" s="95" t="s">
        <v>135</v>
      </c>
      <c r="DA28" s="95">
        <f>B39</f>
        <v>2.5</v>
      </c>
      <c r="DB28" s="95" t="s">
        <v>59</v>
      </c>
      <c r="FW28" s="95" t="s">
        <v>203</v>
      </c>
      <c r="FX28" s="354">
        <v>30</v>
      </c>
      <c r="HD28" s="95" t="s">
        <v>448</v>
      </c>
      <c r="HE28" s="354">
        <f>B17</f>
        <v>1.04753425E-2</v>
      </c>
      <c r="HF28" s="95" t="s">
        <v>129</v>
      </c>
    </row>
    <row r="29" spans="1:214" s="95" customFormat="1" ht="15" x14ac:dyDescent="0.2">
      <c r="A29" s="95" t="s">
        <v>432</v>
      </c>
      <c r="B29" s="353">
        <f>B25</f>
        <v>0</v>
      </c>
      <c r="D29" s="402" t="s">
        <v>166</v>
      </c>
      <c r="E29" s="403" t="e">
        <f>E36</f>
        <v>#DIV/0!</v>
      </c>
      <c r="F29" s="184"/>
      <c r="G29" s="95" t="s">
        <v>70</v>
      </c>
      <c r="H29" s="95">
        <v>350</v>
      </c>
      <c r="I29" s="95" t="s">
        <v>55</v>
      </c>
      <c r="J29" s="95" t="s">
        <v>400</v>
      </c>
      <c r="K29" s="354">
        <f>B42</f>
        <v>10.4</v>
      </c>
      <c r="L29" s="95" t="s">
        <v>413</v>
      </c>
      <c r="M29" s="95" t="s">
        <v>102</v>
      </c>
      <c r="N29" s="95">
        <v>1</v>
      </c>
      <c r="P29" s="95" t="s">
        <v>102</v>
      </c>
      <c r="Q29" s="95">
        <v>1</v>
      </c>
      <c r="V29" s="95" t="s">
        <v>54</v>
      </c>
      <c r="W29" s="95">
        <v>250</v>
      </c>
      <c r="X29" s="95" t="s">
        <v>63</v>
      </c>
      <c r="Y29" s="95" t="s">
        <v>54</v>
      </c>
      <c r="Z29" s="95">
        <f>Z41*Z42</f>
        <v>250</v>
      </c>
      <c r="AA29" s="95" t="s">
        <v>63</v>
      </c>
      <c r="AB29" s="95" t="s">
        <v>174</v>
      </c>
      <c r="AC29" s="354">
        <f t="shared" si="0"/>
        <v>0.33333333333333331</v>
      </c>
      <c r="AD29" s="354">
        <f t="shared" si="0"/>
        <v>0.33333333333333331</v>
      </c>
      <c r="AE29" s="354">
        <f t="shared" si="0"/>
        <v>0.33333333333333331</v>
      </c>
      <c r="AF29" s="354">
        <f t="shared" si="0"/>
        <v>0.33333333333333331</v>
      </c>
      <c r="AG29" s="354">
        <f>8/24</f>
        <v>0.33333333333333331</v>
      </c>
      <c r="AI29" s="95" t="s">
        <v>102</v>
      </c>
      <c r="AJ29" s="95">
        <v>1</v>
      </c>
      <c r="AL29" s="95" t="s">
        <v>102</v>
      </c>
      <c r="AM29" s="95">
        <v>1</v>
      </c>
      <c r="AR29" s="95" t="s">
        <v>102</v>
      </c>
      <c r="AS29" s="95">
        <v>1</v>
      </c>
      <c r="AU29" s="95" t="s">
        <v>91</v>
      </c>
      <c r="AV29" s="95">
        <v>1</v>
      </c>
      <c r="BA29" s="95" t="s">
        <v>102</v>
      </c>
      <c r="BB29" s="95">
        <v>1</v>
      </c>
      <c r="BD29" s="95" t="s">
        <v>102</v>
      </c>
      <c r="BE29" s="95">
        <v>1</v>
      </c>
      <c r="BJ29" s="95" t="s">
        <v>68</v>
      </c>
      <c r="BK29" s="95">
        <v>1</v>
      </c>
      <c r="BL29" s="95" t="s">
        <v>62</v>
      </c>
      <c r="BM29" s="95" t="s">
        <v>68</v>
      </c>
      <c r="BN29" s="95">
        <v>1</v>
      </c>
      <c r="BO29" s="95" t="s">
        <v>62</v>
      </c>
      <c r="BT29" s="404"/>
      <c r="BU29" s="355"/>
      <c r="BW29" s="95">
        <v>1000</v>
      </c>
      <c r="BX29" s="95" t="s">
        <v>173</v>
      </c>
      <c r="BY29" s="95" t="s">
        <v>259</v>
      </c>
      <c r="BZ29" s="95">
        <v>1</v>
      </c>
      <c r="CA29" s="95" t="s">
        <v>85</v>
      </c>
      <c r="CB29" s="95" t="s">
        <v>131</v>
      </c>
      <c r="CC29" s="354">
        <f>B10</f>
        <v>1.5400000000000001E-6</v>
      </c>
      <c r="CD29" s="95" t="s">
        <v>132</v>
      </c>
      <c r="CE29" s="95" t="s">
        <v>131</v>
      </c>
      <c r="CF29" s="354">
        <f>B12</f>
        <v>4.5199999999999999E-6</v>
      </c>
      <c r="CG29" s="95" t="s">
        <v>132</v>
      </c>
      <c r="CT29" s="95" t="s">
        <v>240</v>
      </c>
      <c r="CU29" s="95">
        <f>B33</f>
        <v>10</v>
      </c>
      <c r="CV29" s="95" t="s">
        <v>83</v>
      </c>
      <c r="CZ29" s="95" t="s">
        <v>240</v>
      </c>
      <c r="DA29" s="95">
        <f>B33</f>
        <v>10</v>
      </c>
      <c r="DB29" s="95" t="s">
        <v>264</v>
      </c>
      <c r="FW29" s="95" t="s">
        <v>322</v>
      </c>
      <c r="FX29" s="354">
        <v>8.1999999999999993</v>
      </c>
      <c r="HD29" s="95" t="s">
        <v>172</v>
      </c>
      <c r="HE29" s="95">
        <v>0.3</v>
      </c>
    </row>
    <row r="30" spans="1:214" s="95" customFormat="1" ht="15.75" thickBot="1" x14ac:dyDescent="0.25">
      <c r="A30" s="95" t="s">
        <v>66</v>
      </c>
      <c r="B30" s="353">
        <v>0</v>
      </c>
      <c r="D30" s="405"/>
      <c r="E30" s="256" t="s">
        <v>34</v>
      </c>
      <c r="F30" s="257"/>
      <c r="G30" s="95" t="s">
        <v>78</v>
      </c>
      <c r="H30" s="95">
        <v>350</v>
      </c>
      <c r="I30" s="95" t="s">
        <v>55</v>
      </c>
      <c r="J30" s="95" t="s">
        <v>401</v>
      </c>
      <c r="K30" s="354">
        <f>B43</f>
        <v>28.5</v>
      </c>
      <c r="L30" s="95" t="s">
        <v>413</v>
      </c>
      <c r="M30" s="95" t="s">
        <v>113</v>
      </c>
      <c r="N30" s="95">
        <v>1</v>
      </c>
      <c r="P30" s="95" t="s">
        <v>113</v>
      </c>
      <c r="Q30" s="95">
        <v>1</v>
      </c>
      <c r="V30" s="95" t="s">
        <v>68</v>
      </c>
      <c r="W30" s="95">
        <v>25</v>
      </c>
      <c r="X30" s="95" t="s">
        <v>62</v>
      </c>
      <c r="Y30" s="95" t="s">
        <v>68</v>
      </c>
      <c r="Z30" s="95">
        <v>1</v>
      </c>
      <c r="AA30" s="95" t="s">
        <v>62</v>
      </c>
      <c r="AB30" s="95" t="s">
        <v>177</v>
      </c>
      <c r="AC30" s="95">
        <v>0.4</v>
      </c>
      <c r="AD30" s="95">
        <v>0.4</v>
      </c>
      <c r="AE30" s="95">
        <v>0.4</v>
      </c>
      <c r="AF30" s="95">
        <v>0.4</v>
      </c>
      <c r="AG30" s="95">
        <v>0.4</v>
      </c>
      <c r="AI30" s="95" t="s">
        <v>113</v>
      </c>
      <c r="AJ30" s="95">
        <f>N30</f>
        <v>1</v>
      </c>
      <c r="AL30" s="95" t="s">
        <v>113</v>
      </c>
      <c r="AM30" s="95">
        <f>Q30</f>
        <v>1</v>
      </c>
      <c r="AR30" s="95" t="s">
        <v>113</v>
      </c>
      <c r="AS30" s="95">
        <f>AJ30</f>
        <v>1</v>
      </c>
      <c r="AU30" s="95" t="s">
        <v>113</v>
      </c>
      <c r="AV30" s="95">
        <f>AM30</f>
        <v>1</v>
      </c>
      <c r="BA30" s="95" t="s">
        <v>113</v>
      </c>
      <c r="BB30" s="95">
        <f>AS30</f>
        <v>1</v>
      </c>
      <c r="BD30" s="95" t="s">
        <v>113</v>
      </c>
      <c r="BE30" s="95">
        <f>AV30</f>
        <v>1</v>
      </c>
      <c r="BT30" s="354"/>
      <c r="BW30" s="95">
        <v>1000</v>
      </c>
      <c r="BX30" s="95" t="s">
        <v>408</v>
      </c>
      <c r="BY30" s="95" t="s">
        <v>260</v>
      </c>
      <c r="BZ30" s="95">
        <v>1</v>
      </c>
      <c r="CA30" s="95" t="s">
        <v>85</v>
      </c>
      <c r="CT30" s="95" t="s">
        <v>241</v>
      </c>
      <c r="CU30" s="95">
        <f>B34</f>
        <v>20</v>
      </c>
      <c r="CV30" s="95" t="s">
        <v>83</v>
      </c>
      <c r="CZ30" s="95" t="s">
        <v>241</v>
      </c>
      <c r="DA30" s="95">
        <f>B34</f>
        <v>20</v>
      </c>
      <c r="DB30" s="95" t="s">
        <v>264</v>
      </c>
      <c r="FX30" s="95">
        <v>1000</v>
      </c>
      <c r="FY30" s="95" t="s">
        <v>230</v>
      </c>
      <c r="HD30" s="95" t="s">
        <v>175</v>
      </c>
      <c r="HE30" s="354">
        <v>1.5</v>
      </c>
    </row>
    <row r="31" spans="1:214" s="95" customFormat="1" ht="13.5" thickTop="1" x14ac:dyDescent="0.2">
      <c r="A31" s="95" t="s">
        <v>67</v>
      </c>
      <c r="B31" s="353">
        <v>0</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B5</f>
        <v>1.7999999999999999E-11</v>
      </c>
      <c r="X31" s="95" t="s">
        <v>76</v>
      </c>
      <c r="Y31" s="95" t="s">
        <v>75</v>
      </c>
      <c r="Z31" s="354">
        <f>B5</f>
        <v>1.7999999999999999E-11</v>
      </c>
      <c r="AA31" s="95" t="s">
        <v>76</v>
      </c>
      <c r="AB31" s="95" t="s">
        <v>160</v>
      </c>
      <c r="AC31" s="95">
        <v>25</v>
      </c>
      <c r="AD31" s="95">
        <v>25</v>
      </c>
      <c r="AE31" s="95">
        <v>25</v>
      </c>
      <c r="AF31" s="95">
        <v>1</v>
      </c>
      <c r="AG31" s="95">
        <v>1</v>
      </c>
      <c r="AH31" s="95" t="s">
        <v>94</v>
      </c>
      <c r="AI31" s="95" t="s">
        <v>124</v>
      </c>
      <c r="AJ31" s="95">
        <v>0</v>
      </c>
      <c r="AK31" s="95" t="s">
        <v>125</v>
      </c>
      <c r="AL31" s="95" t="s">
        <v>124</v>
      </c>
      <c r="AM31" s="95">
        <v>0</v>
      </c>
      <c r="AN31" s="95" t="s">
        <v>125</v>
      </c>
      <c r="AR31" s="95" t="s">
        <v>126</v>
      </c>
      <c r="AS31" s="95">
        <f>8/24</f>
        <v>0.33333333333333331</v>
      </c>
      <c r="AT31" s="95" t="s">
        <v>127</v>
      </c>
      <c r="AU31" s="95" t="s">
        <v>124</v>
      </c>
      <c r="AV31" s="95">
        <f>8/24</f>
        <v>0.33333333333333331</v>
      </c>
      <c r="AW31" s="95" t="s">
        <v>125</v>
      </c>
      <c r="BA31" s="95" t="s">
        <v>126</v>
      </c>
      <c r="BB31" s="95">
        <f>8/24</f>
        <v>0.33333333333333331</v>
      </c>
      <c r="BC31" s="95" t="s">
        <v>127</v>
      </c>
      <c r="BD31" s="95" t="s">
        <v>124</v>
      </c>
      <c r="BE31" s="95">
        <f>8/24</f>
        <v>0.33333333333333331</v>
      </c>
      <c r="BF31" s="95" t="s">
        <v>125</v>
      </c>
      <c r="BJ31" s="95" t="s">
        <v>102</v>
      </c>
      <c r="BK31" s="95">
        <v>1.5699999999999999E-5</v>
      </c>
      <c r="BM31" s="95" t="s">
        <v>102</v>
      </c>
      <c r="BN31" s="95">
        <v>1.35E-4</v>
      </c>
      <c r="BW31" s="95">
        <v>365</v>
      </c>
      <c r="BX31" s="95" t="s">
        <v>55</v>
      </c>
      <c r="BY31" s="95" t="s">
        <v>243</v>
      </c>
      <c r="BZ31" s="354">
        <v>6.8000000000000005E-2</v>
      </c>
      <c r="CT31" s="95" t="s">
        <v>70</v>
      </c>
      <c r="CU31" s="95">
        <v>350</v>
      </c>
      <c r="CV31" s="95" t="s">
        <v>55</v>
      </c>
      <c r="CZ31" s="95" t="s">
        <v>265</v>
      </c>
      <c r="DA31" s="354">
        <f>B40</f>
        <v>14.8</v>
      </c>
      <c r="DB31" s="95" t="s">
        <v>413</v>
      </c>
      <c r="HD31" s="95" t="s">
        <v>61</v>
      </c>
      <c r="HE31" s="95">
        <v>26</v>
      </c>
    </row>
    <row r="32" spans="1:214" s="95" customFormat="1" x14ac:dyDescent="0.2">
      <c r="D32" s="95" t="s">
        <v>54</v>
      </c>
      <c r="E32" s="95">
        <v>350</v>
      </c>
      <c r="F32" s="95" t="s">
        <v>55</v>
      </c>
      <c r="G32" s="95" t="s">
        <v>88</v>
      </c>
      <c r="H32" s="95">
        <v>6</v>
      </c>
      <c r="J32" s="95" t="s">
        <v>78</v>
      </c>
      <c r="K32" s="95">
        <v>350</v>
      </c>
      <c r="L32" s="95" t="s">
        <v>55</v>
      </c>
      <c r="M32" s="95" t="s">
        <v>131</v>
      </c>
      <c r="N32" s="354">
        <f>B10</f>
        <v>1.5400000000000001E-6</v>
      </c>
      <c r="O32" s="95" t="s">
        <v>478</v>
      </c>
      <c r="P32" s="95" t="s">
        <v>131</v>
      </c>
      <c r="Q32" s="354">
        <f>B12</f>
        <v>4.5199999999999999E-6</v>
      </c>
      <c r="R32" s="95" t="s">
        <v>132</v>
      </c>
      <c r="V32" s="95" t="s">
        <v>84</v>
      </c>
      <c r="W32" s="95">
        <v>8</v>
      </c>
      <c r="X32" s="95" t="s">
        <v>85</v>
      </c>
      <c r="Y32" s="95" t="s">
        <v>84</v>
      </c>
      <c r="Z32" s="95">
        <v>8</v>
      </c>
      <c r="AA32" s="95" t="s">
        <v>85</v>
      </c>
      <c r="AB32" s="95" t="s">
        <v>52</v>
      </c>
      <c r="AC32" s="354">
        <f>0.693/AC33</f>
        <v>66.155354824913829</v>
      </c>
      <c r="AD32" s="354">
        <f>0.693/AD33</f>
        <v>66.155354824913829</v>
      </c>
      <c r="AE32" s="354">
        <f>0.693/AE33</f>
        <v>66.155354824913829</v>
      </c>
      <c r="AF32" s="354">
        <f>0.693/AF33</f>
        <v>66.155354824913829</v>
      </c>
      <c r="AG32" s="354">
        <f>0.693/AG33</f>
        <v>66.155354824913829</v>
      </c>
      <c r="AI32" s="95" t="s">
        <v>131</v>
      </c>
      <c r="AJ32" s="354">
        <f>B10</f>
        <v>1.5400000000000001E-6</v>
      </c>
      <c r="AK32" s="95" t="s">
        <v>132</v>
      </c>
      <c r="AL32" s="95" t="s">
        <v>131</v>
      </c>
      <c r="AM32" s="354">
        <f>B12</f>
        <v>4.5199999999999999E-6</v>
      </c>
      <c r="AN32" s="95" t="s">
        <v>132</v>
      </c>
      <c r="AR32" s="95" t="s">
        <v>131</v>
      </c>
      <c r="AS32" s="354">
        <f>B10</f>
        <v>1.5400000000000001E-6</v>
      </c>
      <c r="AT32" s="95" t="s">
        <v>132</v>
      </c>
      <c r="AU32" s="95" t="s">
        <v>131</v>
      </c>
      <c r="AV32" s="354">
        <f>B12</f>
        <v>4.5199999999999999E-6</v>
      </c>
      <c r="AW32" s="95" t="s">
        <v>132</v>
      </c>
      <c r="BA32" s="95" t="s">
        <v>131</v>
      </c>
      <c r="BB32" s="354">
        <f>B10</f>
        <v>1.5400000000000001E-6</v>
      </c>
      <c r="BC32" s="95" t="s">
        <v>132</v>
      </c>
      <c r="BD32" s="95" t="s">
        <v>131</v>
      </c>
      <c r="BE32" s="354">
        <f>B12</f>
        <v>4.5199999999999999E-6</v>
      </c>
      <c r="BF32" s="95" t="s">
        <v>132</v>
      </c>
      <c r="BJ32" s="95" t="s">
        <v>113</v>
      </c>
      <c r="BK32" s="95">
        <v>0.80900000000000005</v>
      </c>
      <c r="BM32" s="95" t="s">
        <v>113</v>
      </c>
      <c r="BN32" s="95">
        <v>0.71099999999999997</v>
      </c>
      <c r="BT32" s="354"/>
      <c r="BW32" s="95">
        <v>8760</v>
      </c>
      <c r="BX32" s="95" t="s">
        <v>258</v>
      </c>
      <c r="BY32" s="95" t="s">
        <v>113</v>
      </c>
      <c r="BZ32" s="95">
        <v>0.75600000000000001</v>
      </c>
      <c r="CT32" s="95" t="s">
        <v>78</v>
      </c>
      <c r="CU32" s="95">
        <v>350</v>
      </c>
      <c r="CV32" s="95" t="s">
        <v>55</v>
      </c>
      <c r="CZ32" s="95" t="s">
        <v>178</v>
      </c>
      <c r="DA32" s="354">
        <f>B41</f>
        <v>56.2</v>
      </c>
      <c r="DB32" s="95" t="s">
        <v>413</v>
      </c>
      <c r="DY32" s="406"/>
      <c r="HD32" s="95" t="s">
        <v>68</v>
      </c>
      <c r="HE32" s="354">
        <v>70</v>
      </c>
    </row>
    <row r="33" spans="1:214" s="95" customFormat="1" ht="13.15" customHeight="1" x14ac:dyDescent="0.2">
      <c r="A33" s="95" t="s">
        <v>93</v>
      </c>
      <c r="B33" s="397">
        <v>10</v>
      </c>
      <c r="C33" s="95" t="s">
        <v>83</v>
      </c>
      <c r="D33" s="95" t="s">
        <v>415</v>
      </c>
      <c r="E33" s="354">
        <f>B16</f>
        <v>0</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B17</f>
        <v>1.04753425E-2</v>
      </c>
      <c r="AD33" s="354">
        <f>B17</f>
        <v>1.04753425E-2</v>
      </c>
      <c r="AE33" s="354">
        <f>B17</f>
        <v>1.04753425E-2</v>
      </c>
      <c r="AF33" s="354">
        <f>B17</f>
        <v>1.04753425E-2</v>
      </c>
      <c r="AG33" s="354">
        <f>B17</f>
        <v>1.04753425E-2</v>
      </c>
      <c r="AH33" s="95" t="s">
        <v>129</v>
      </c>
      <c r="AI33" s="95" t="s">
        <v>151</v>
      </c>
      <c r="AJ33" s="95">
        <f>8/24</f>
        <v>0.33333333333333331</v>
      </c>
      <c r="AK33" s="95" t="s">
        <v>125</v>
      </c>
      <c r="AL33" s="95" t="s">
        <v>151</v>
      </c>
      <c r="AM33" s="95">
        <f>8/24</f>
        <v>0.33333333333333331</v>
      </c>
      <c r="AN33" s="95" t="s">
        <v>125</v>
      </c>
      <c r="AR33" s="95" t="s">
        <v>151</v>
      </c>
      <c r="AS33" s="95">
        <v>0</v>
      </c>
      <c r="AT33" s="95" t="s">
        <v>125</v>
      </c>
      <c r="AU33" s="95" t="s">
        <v>151</v>
      </c>
      <c r="AV33" s="95">
        <v>0</v>
      </c>
      <c r="AW33" s="95" t="s">
        <v>125</v>
      </c>
      <c r="BA33" s="95" t="s">
        <v>151</v>
      </c>
      <c r="BB33" s="95">
        <v>0</v>
      </c>
      <c r="BC33" s="95" t="s">
        <v>125</v>
      </c>
      <c r="BD33" s="95" t="s">
        <v>151</v>
      </c>
      <c r="BE33" s="95">
        <v>0</v>
      </c>
      <c r="BF33" s="95" t="s">
        <v>125</v>
      </c>
      <c r="BJ33" s="95" t="s">
        <v>126</v>
      </c>
      <c r="BK33" s="95">
        <f>8/24</f>
        <v>0.33333333333333331</v>
      </c>
      <c r="BL33" s="95" t="s">
        <v>127</v>
      </c>
      <c r="BM33" s="95" t="s">
        <v>124</v>
      </c>
      <c r="BN33" s="95">
        <f>8/24</f>
        <v>0.33333333333333331</v>
      </c>
      <c r="BO33" s="95" t="s">
        <v>125</v>
      </c>
      <c r="BY33" s="95" t="s">
        <v>185</v>
      </c>
      <c r="BZ33" s="95">
        <v>26</v>
      </c>
      <c r="CA33" s="95" t="s">
        <v>94</v>
      </c>
      <c r="CT33" s="95" t="s">
        <v>248</v>
      </c>
      <c r="CU33" s="95">
        <v>40</v>
      </c>
      <c r="CV33" s="95" t="s">
        <v>129</v>
      </c>
      <c r="CZ33" s="95" t="s">
        <v>266</v>
      </c>
      <c r="DA33" s="354">
        <f>B42</f>
        <v>10.4</v>
      </c>
      <c r="DB33" s="95" t="s">
        <v>413</v>
      </c>
      <c r="DY33" s="406"/>
      <c r="HD33" s="95" t="s">
        <v>428</v>
      </c>
      <c r="HE33" s="354">
        <f>1+((HE35*HE36*HE37)/(HE38*HE39))</f>
        <v>16.660043458695149</v>
      </c>
    </row>
    <row r="34" spans="1:214" s="95" customFormat="1" x14ac:dyDescent="0.2">
      <c r="A34" s="95" t="s">
        <v>103</v>
      </c>
      <c r="B34" s="397">
        <v>20</v>
      </c>
      <c r="C34" s="95" t="s">
        <v>83</v>
      </c>
      <c r="D34" s="95" t="s">
        <v>68</v>
      </c>
      <c r="E34" s="95">
        <v>26</v>
      </c>
      <c r="F34" s="95" t="s">
        <v>129</v>
      </c>
      <c r="G34" s="95" t="s">
        <v>179</v>
      </c>
      <c r="H34" s="95">
        <v>0.54</v>
      </c>
      <c r="I34" s="95" t="s">
        <v>180</v>
      </c>
      <c r="J34" s="95" t="s">
        <v>106</v>
      </c>
      <c r="K34" s="95">
        <v>20</v>
      </c>
      <c r="L34" s="95" t="s">
        <v>129</v>
      </c>
      <c r="V34" s="95" t="s">
        <v>104</v>
      </c>
      <c r="W34" s="95">
        <f>B35</f>
        <v>60</v>
      </c>
      <c r="X34" s="95" t="s">
        <v>83</v>
      </c>
      <c r="Y34" s="95" t="s">
        <v>104</v>
      </c>
      <c r="Z34" s="95">
        <f>B35</f>
        <v>60</v>
      </c>
      <c r="AA34" s="95" t="s">
        <v>83</v>
      </c>
      <c r="AC34" s="95">
        <v>365</v>
      </c>
      <c r="AD34" s="95">
        <v>365</v>
      </c>
      <c r="AE34" s="95">
        <v>365</v>
      </c>
      <c r="AF34" s="95">
        <v>365</v>
      </c>
      <c r="AG34" s="95">
        <v>365</v>
      </c>
      <c r="AH34" s="95" t="s">
        <v>189</v>
      </c>
      <c r="BJ34" s="95" t="s">
        <v>131</v>
      </c>
      <c r="BK34" s="354">
        <f>B11</f>
        <v>9.8500000000000001E-10</v>
      </c>
      <c r="BL34" s="95" t="s">
        <v>132</v>
      </c>
      <c r="BM34" s="95" t="s">
        <v>131</v>
      </c>
      <c r="BN34" s="354">
        <f>B13</f>
        <v>7.1899999999999998E-6</v>
      </c>
      <c r="BO34" s="95" t="s">
        <v>132</v>
      </c>
      <c r="BZ34" s="95">
        <v>365</v>
      </c>
      <c r="CA34" s="95" t="s">
        <v>189</v>
      </c>
      <c r="CH34" s="483" t="s">
        <v>430</v>
      </c>
      <c r="CI34" s="483"/>
      <c r="CJ34" s="483"/>
      <c r="CK34" s="483"/>
      <c r="CL34" s="483"/>
      <c r="CT34" s="95" t="s">
        <v>106</v>
      </c>
      <c r="CU34" s="95">
        <v>34</v>
      </c>
      <c r="CV34" s="95" t="s">
        <v>129</v>
      </c>
      <c r="CZ34" s="95" t="s">
        <v>267</v>
      </c>
      <c r="DA34" s="354">
        <f>B43</f>
        <v>28.5</v>
      </c>
      <c r="DB34" s="95" t="s">
        <v>413</v>
      </c>
      <c r="DS34" s="354"/>
      <c r="DY34" s="406"/>
      <c r="EH34" s="354"/>
      <c r="HD34" s="95" t="s">
        <v>183</v>
      </c>
      <c r="HE34" s="95">
        <v>8.1999999999999993</v>
      </c>
    </row>
    <row r="35" spans="1:214" s="95" customFormat="1" ht="13.15" customHeight="1" x14ac:dyDescent="0.2">
      <c r="A35" s="95" t="s">
        <v>104</v>
      </c>
      <c r="B35" s="397">
        <v>60</v>
      </c>
      <c r="C35" s="95" t="s">
        <v>83</v>
      </c>
      <c r="D35" s="95" t="s">
        <v>178</v>
      </c>
      <c r="E35" s="95">
        <f>B44</f>
        <v>54</v>
      </c>
      <c r="F35" s="95" t="s">
        <v>96</v>
      </c>
      <c r="G35" s="95" t="s">
        <v>181</v>
      </c>
      <c r="H35" s="95">
        <v>0.71</v>
      </c>
      <c r="I35" s="95" t="s">
        <v>180</v>
      </c>
      <c r="J35" s="95" t="s">
        <v>88</v>
      </c>
      <c r="K35" s="95">
        <v>6</v>
      </c>
      <c r="L35" s="95" t="s">
        <v>129</v>
      </c>
      <c r="M35" s="407"/>
      <c r="N35" s="407"/>
      <c r="O35" s="407"/>
      <c r="P35" s="407"/>
      <c r="Q35" s="407"/>
      <c r="R35" s="407"/>
      <c r="V35" s="95" t="s">
        <v>115</v>
      </c>
      <c r="W35" s="354">
        <f>B14</f>
        <v>7.8500000000000008E-9</v>
      </c>
      <c r="X35" s="95" t="s">
        <v>116</v>
      </c>
      <c r="Y35" s="95" t="s">
        <v>115</v>
      </c>
      <c r="Z35" s="354">
        <f>B14</f>
        <v>7.8500000000000008E-9</v>
      </c>
      <c r="AA35" s="95" t="s">
        <v>116</v>
      </c>
      <c r="AB35" s="95" t="s">
        <v>38</v>
      </c>
      <c r="AC35" s="95">
        <f>(AC31*AC32)/(1-EXP(-AC32*AC31))</f>
        <v>1653.8838706228457</v>
      </c>
      <c r="AD35" s="95">
        <f>(AD31*AD32)/(1-EXP(-AD32*AD31))</f>
        <v>1653.8838706228457</v>
      </c>
      <c r="AE35" s="95">
        <f>(AE31*AE32)/(1-EXP(-AE32*AE31))</f>
        <v>1653.8838706228457</v>
      </c>
      <c r="AF35" s="95">
        <f>(AF31*AF32)/(1-EXP(-AF32*AF31))</f>
        <v>66.155354824913829</v>
      </c>
      <c r="AG35" s="95">
        <f>(AG31*AG32)/(1-EXP(-AG32*AG31))</f>
        <v>66.155354824913829</v>
      </c>
      <c r="BT35" s="354"/>
      <c r="BZ35" s="95">
        <v>1000</v>
      </c>
      <c r="CA35" s="95" t="s">
        <v>195</v>
      </c>
      <c r="CH35" s="483"/>
      <c r="CI35" s="483"/>
      <c r="CJ35" s="483"/>
      <c r="CK35" s="483"/>
      <c r="CL35" s="483"/>
      <c r="CT35" s="95" t="s">
        <v>88</v>
      </c>
      <c r="CU35" s="95">
        <v>6</v>
      </c>
      <c r="CV35" s="95" t="s">
        <v>129</v>
      </c>
      <c r="CZ35" s="95" t="s">
        <v>269</v>
      </c>
      <c r="DA35" s="95">
        <v>350</v>
      </c>
      <c r="DB35" s="95" t="s">
        <v>268</v>
      </c>
      <c r="DS35" s="354"/>
      <c r="DY35" s="406"/>
      <c r="EH35" s="354"/>
      <c r="HD35" s="95" t="s">
        <v>145</v>
      </c>
      <c r="HE35" s="408">
        <v>5</v>
      </c>
      <c r="HF35" s="95" t="s">
        <v>186</v>
      </c>
    </row>
    <row r="36" spans="1:214" s="95" customFormat="1" ht="13.5" thickBot="1" x14ac:dyDescent="0.25">
      <c r="A36" s="95" t="s">
        <v>117</v>
      </c>
      <c r="B36" s="397">
        <v>200</v>
      </c>
      <c r="C36" s="95" t="s">
        <v>96</v>
      </c>
      <c r="D36" s="95" t="s">
        <v>142</v>
      </c>
      <c r="E36" s="354" t="e">
        <f>E31/(E33*E32*E34*E35)</f>
        <v>#DIV/0!</v>
      </c>
      <c r="F36" s="95" t="s">
        <v>23</v>
      </c>
      <c r="G36" s="95" t="s">
        <v>184</v>
      </c>
      <c r="H36" s="95">
        <v>24</v>
      </c>
      <c r="I36" s="95" t="s">
        <v>85</v>
      </c>
      <c r="J36" s="95" t="s">
        <v>259</v>
      </c>
      <c r="K36" s="95">
        <v>24</v>
      </c>
      <c r="L36" s="95" t="s">
        <v>85</v>
      </c>
      <c r="M36" s="407"/>
      <c r="N36" s="407"/>
      <c r="O36" s="407"/>
      <c r="P36" s="407"/>
      <c r="Q36" s="407"/>
      <c r="R36" s="407"/>
      <c r="V36" s="95" t="s">
        <v>414</v>
      </c>
      <c r="W36" s="95">
        <v>1</v>
      </c>
      <c r="Y36" s="95" t="s">
        <v>414</v>
      </c>
      <c r="Z36" s="95">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270</v>
      </c>
      <c r="DA36" s="95">
        <v>350</v>
      </c>
      <c r="DB36" s="95" t="s">
        <v>268</v>
      </c>
      <c r="DS36" s="354"/>
      <c r="DY36" s="409"/>
      <c r="EH36" s="354"/>
      <c r="HD36" s="95" t="s">
        <v>187</v>
      </c>
      <c r="HE36" s="408">
        <v>5</v>
      </c>
      <c r="HF36" s="95" t="s">
        <v>188</v>
      </c>
    </row>
    <row r="37" spans="1:214" s="95" customFormat="1" ht="13.5" thickBot="1" x14ac:dyDescent="0.25">
      <c r="A37" s="95" t="s">
        <v>140</v>
      </c>
      <c r="B37" s="397">
        <v>100</v>
      </c>
      <c r="C37" s="95" t="s">
        <v>96</v>
      </c>
      <c r="G37" s="95" t="s">
        <v>184</v>
      </c>
      <c r="H37" s="95">
        <v>24</v>
      </c>
      <c r="I37" s="95" t="s">
        <v>85</v>
      </c>
      <c r="J37" s="95" t="s">
        <v>260</v>
      </c>
      <c r="K37" s="95">
        <v>24</v>
      </c>
      <c r="L37" s="95" t="s">
        <v>85</v>
      </c>
      <c r="V37" s="374" t="s">
        <v>134</v>
      </c>
      <c r="W37" s="375">
        <f>W26/((W32/W33)*W29*W30*W31*W34)</f>
        <v>0.44444444444444448</v>
      </c>
      <c r="X37" s="376" t="s">
        <v>37</v>
      </c>
      <c r="Y37" s="376" t="s">
        <v>134</v>
      </c>
      <c r="Z37" s="375">
        <f>(Z26*Z30*Z27)/((1-EXP(-Z27))*Z30*Z31*Z29*Z43*(Z32/Z33)*Z34)</f>
        <v>735.05949805459818</v>
      </c>
      <c r="AA37" s="377" t="s">
        <v>38</v>
      </c>
      <c r="AB37" s="374" t="s">
        <v>142</v>
      </c>
      <c r="AC37" s="375" t="e">
        <f>(AC5/(AC9*AC16*AC8*AC11*(1/AC6)))*AC35</f>
        <v>#DIV/0!</v>
      </c>
      <c r="AD37" s="375" t="e">
        <f>(AD5/(AD9*AD16*AD8*AD11*(1/AD6)))*AD35</f>
        <v>#DIV/0!</v>
      </c>
      <c r="AE37" s="375" t="e">
        <f>(AE5/(AE9*AE16*AE8*AE11*(1/AE6)))*AE35</f>
        <v>#DIV/0!</v>
      </c>
      <c r="AF37" s="375" t="e">
        <f>(AF5/(AF9*AF16*AF8*AF11*(1/AF6)))*AF35</f>
        <v>#DIV/0!</v>
      </c>
      <c r="AG37" s="410" t="e">
        <f>(AG5/(AG9*AG16*AG8*AG11*(1/AG6)))*AG35</f>
        <v>#DIV/0!</v>
      </c>
      <c r="BK37" s="483"/>
      <c r="BL37" s="483"/>
      <c r="BM37" s="483"/>
      <c r="BN37" s="483"/>
      <c r="BO37" s="483"/>
      <c r="CH37" s="483"/>
      <c r="CI37" s="483"/>
      <c r="CJ37" s="483"/>
      <c r="CK37" s="483"/>
      <c r="CL37" s="483"/>
      <c r="CT37" s="95" t="s">
        <v>260</v>
      </c>
      <c r="CU37" s="95">
        <v>24</v>
      </c>
      <c r="CV37" s="95" t="s">
        <v>85</v>
      </c>
      <c r="CZ37" s="95" t="s">
        <v>246</v>
      </c>
      <c r="DA37" s="95">
        <v>6</v>
      </c>
      <c r="DB37" s="95" t="s">
        <v>129</v>
      </c>
      <c r="DS37" s="354"/>
      <c r="DY37" s="406"/>
      <c r="EH37" s="354"/>
      <c r="HD37" s="95" t="s">
        <v>191</v>
      </c>
      <c r="HE37" s="408">
        <f>(0.0112*HE39*HE39)^0.5+HE40*(1-EXP((-HE38*HE39)/(HE35*HE36*HE40)))</f>
        <v>6.2013772096432787</v>
      </c>
      <c r="HF37" s="95" t="s">
        <v>192</v>
      </c>
    </row>
    <row r="38" spans="1:214" s="95" customFormat="1" ht="14.25" thickTop="1" thickBot="1" x14ac:dyDescent="0.25">
      <c r="A38" s="95" t="s">
        <v>451</v>
      </c>
      <c r="B38" s="397">
        <v>0.78</v>
      </c>
      <c r="D38" s="401" t="s">
        <v>3</v>
      </c>
      <c r="E38" s="19"/>
      <c r="F38" s="20" t="s">
        <v>460</v>
      </c>
      <c r="G38" s="95" t="s">
        <v>167</v>
      </c>
      <c r="H38" s="95">
        <v>1</v>
      </c>
      <c r="I38" s="95" t="s">
        <v>168</v>
      </c>
      <c r="J38" s="95" t="s">
        <v>399</v>
      </c>
      <c r="K38" s="95">
        <v>0.25</v>
      </c>
      <c r="V38" s="383" t="s">
        <v>139</v>
      </c>
      <c r="W38" s="384">
        <f>(W26)/((W32/W33)*W29*W30*W35*(1/365))</f>
        <v>22.318471337579616</v>
      </c>
      <c r="X38" s="385" t="s">
        <v>37</v>
      </c>
      <c r="Y38" s="385" t="s">
        <v>139</v>
      </c>
      <c r="Z38" s="384">
        <f>(Z26*Z30*Z27)/((1-EXP(-Z27*Z30))*Z35*Z29*Z43*(Z32/Z33)*Z36*(Z43/Z44))</f>
        <v>36912.159762181211</v>
      </c>
      <c r="AA38" s="386" t="s">
        <v>38</v>
      </c>
      <c r="AB38" s="411" t="s">
        <v>134</v>
      </c>
      <c r="AC38" s="354">
        <f>(AC5/(AC24*AC20*AC8*AC11*(1/AC40)*((8/1)/(24/1))*AC36))*AC35</f>
        <v>999199066.43406045</v>
      </c>
      <c r="AD38" s="354">
        <f>(AD5/(AD24*AD20*AD8*((8/1)/(24/1))*AD11*(1/AD40)*AD36))*AD35</f>
        <v>999199066.43406045</v>
      </c>
      <c r="AE38" s="354">
        <f>(AE5/(AE24*AE20*AE8*((8/1)/(24/1))*AE11*(1/AE40)*AE36))*AE35</f>
        <v>1110221184.926734</v>
      </c>
      <c r="AF38" s="354">
        <f>(AF5/(AF24*AF20*AF8*AF11*(1/AF41)*AF28*AF19*AF36))*AF35</f>
        <v>568702.03770634718</v>
      </c>
      <c r="AG38" s="413">
        <v>432</v>
      </c>
      <c r="BK38" s="483"/>
      <c r="BL38" s="483"/>
      <c r="BM38" s="483"/>
      <c r="BN38" s="483"/>
      <c r="BO38" s="483"/>
      <c r="CT38" s="95" t="s">
        <v>420</v>
      </c>
      <c r="CU38" s="95">
        <v>1</v>
      </c>
      <c r="CZ38" s="95" t="s">
        <v>247</v>
      </c>
      <c r="DA38" s="95">
        <v>34</v>
      </c>
      <c r="DB38" s="95" t="s">
        <v>129</v>
      </c>
      <c r="DY38" s="406"/>
      <c r="HD38" s="95" t="s">
        <v>194</v>
      </c>
      <c r="HE38" s="408">
        <v>0.18</v>
      </c>
      <c r="HF38" s="95" t="s">
        <v>186</v>
      </c>
    </row>
    <row r="39" spans="1:214" s="95" customFormat="1" ht="13.5" thickBot="1" x14ac:dyDescent="0.25">
      <c r="A39" s="95" t="s">
        <v>452</v>
      </c>
      <c r="B39" s="397">
        <v>2.5</v>
      </c>
      <c r="D39" s="402" t="s">
        <v>166</v>
      </c>
      <c r="E39" s="101" t="s">
        <v>17</v>
      </c>
      <c r="F39" s="102" t="s">
        <v>25</v>
      </c>
      <c r="G39" s="95" t="s">
        <v>169</v>
      </c>
      <c r="H39" s="95">
        <v>1</v>
      </c>
      <c r="I39" s="95" t="s">
        <v>168</v>
      </c>
      <c r="J39" s="95" t="s">
        <v>171</v>
      </c>
      <c r="K39" s="95">
        <v>1.752</v>
      </c>
      <c r="L39" s="95" t="s">
        <v>127</v>
      </c>
      <c r="V39" s="374" t="s">
        <v>134</v>
      </c>
      <c r="W39" s="375">
        <f>(W26*W27*W30)/((W32/W33)*(1-EXP(-W27*W30))*W31*W34*W29*W30)</f>
        <v>735.05949805459818</v>
      </c>
      <c r="X39" s="376" t="s">
        <v>38</v>
      </c>
      <c r="Y39" s="376" t="s">
        <v>134</v>
      </c>
      <c r="Z39" s="375">
        <f>Z26/((Z31*Z29*Z43*(Z32/Z33)*Z34))</f>
        <v>11.111111111111112</v>
      </c>
      <c r="AA39" s="377" t="s">
        <v>37</v>
      </c>
      <c r="AB39" s="383" t="s">
        <v>197</v>
      </c>
      <c r="AC39" s="384">
        <f>(AC5/(AC23*AC22*AC29*AC19*AC8*(1/AC34)*AC11))*AC35</f>
        <v>34.169864874188988</v>
      </c>
      <c r="AD39" s="384">
        <f>(AD5/(AD23*AD22*AD29*AD21*AD8*(1/AD34)*AD11))*AD35</f>
        <v>85.424662185472457</v>
      </c>
      <c r="AE39" s="384">
        <f>(AE5/(AE23*AE22*AE29*AE19*AE8*(1/AE34)*AE11))*AE35</f>
        <v>37.966516526876646</v>
      </c>
      <c r="AF39" s="384">
        <f>(AF5/(AF23*AF22*(AF28+AF29*AF21)*AF8*(1/AF34)*AF11))*AF35</f>
        <v>24.407046338706415</v>
      </c>
      <c r="AG39" s="414">
        <f>(AG5/(AG24*AG20*AG8*AG11*(1/AG42)*(AG28+(AG29*AG30))*AG36))*AG35</f>
        <v>18930859.327489853</v>
      </c>
      <c r="BK39" s="483"/>
      <c r="BL39" s="483"/>
      <c r="BM39" s="483"/>
      <c r="BN39" s="483"/>
      <c r="BO39" s="483"/>
      <c r="BT39" s="404"/>
      <c r="BU39" s="355"/>
      <c r="CT39" s="95" t="s">
        <v>171</v>
      </c>
      <c r="CU39" s="95">
        <v>12.167999999999999</v>
      </c>
      <c r="CV39" s="95" t="s">
        <v>127</v>
      </c>
      <c r="CZ39" s="95" t="s">
        <v>248</v>
      </c>
      <c r="DA39" s="95">
        <v>40</v>
      </c>
      <c r="DB39" s="95" t="s">
        <v>129</v>
      </c>
      <c r="DY39" s="406"/>
      <c r="HD39" s="95" t="s">
        <v>196</v>
      </c>
      <c r="HE39" s="408">
        <v>55</v>
      </c>
      <c r="HF39" s="95" t="s">
        <v>192</v>
      </c>
    </row>
    <row r="40" spans="1:214" s="95" customFormat="1" ht="15" customHeight="1" thickBot="1" x14ac:dyDescent="0.25">
      <c r="A40" s="95" t="s">
        <v>404</v>
      </c>
      <c r="B40" s="353">
        <v>14.8</v>
      </c>
      <c r="C40" s="95" t="s">
        <v>413</v>
      </c>
      <c r="D40" s="402" t="s">
        <v>193</v>
      </c>
      <c r="E40" s="403" t="e">
        <f>E50</f>
        <v>#DIV/0!</v>
      </c>
      <c r="F40" s="184"/>
      <c r="H40" s="95">
        <f>1/1000</f>
        <v>1E-3</v>
      </c>
      <c r="I40" s="95" t="s">
        <v>170</v>
      </c>
      <c r="J40" s="95" t="s">
        <v>174</v>
      </c>
      <c r="K40" s="95">
        <v>16.416</v>
      </c>
      <c r="L40" s="95" t="s">
        <v>127</v>
      </c>
      <c r="V40" s="383" t="s">
        <v>139</v>
      </c>
      <c r="W40" s="384">
        <f>(W26*W27*W30)/((W32/W33)*(1-EXP(-W27*W30))*W35*W29*W30*(1/365))</f>
        <v>36912.159762181218</v>
      </c>
      <c r="X40" s="385" t="s">
        <v>38</v>
      </c>
      <c r="Y40" s="385" t="s">
        <v>139</v>
      </c>
      <c r="Z40" s="384">
        <f>Z26/(Z35*Z29*(1/Z44)*Z43*(Z32/Z33)*Z36)</f>
        <v>557.96178343949032</v>
      </c>
      <c r="AA40" s="386" t="s">
        <v>37</v>
      </c>
      <c r="AB40" s="95" t="s">
        <v>164</v>
      </c>
      <c r="AC40" s="354">
        <f>B18</f>
        <v>1359344473.5814338</v>
      </c>
      <c r="AD40" s="354">
        <f>B18</f>
        <v>1359344473.5814338</v>
      </c>
      <c r="AE40" s="354">
        <f>B18</f>
        <v>1359344473.5814338</v>
      </c>
      <c r="AG40" s="354">
        <f>(AG5/(AG23*AG22*(AG28+AG29*AG21)*AG8*(1/AG34)*AG11))*AG35</f>
        <v>24.407046338706415</v>
      </c>
      <c r="BT40" s="404"/>
      <c r="BU40" s="355"/>
      <c r="CT40" s="95" t="s">
        <v>174</v>
      </c>
      <c r="CU40" s="95">
        <v>10.007999999999999</v>
      </c>
      <c r="CV40" s="95" t="s">
        <v>127</v>
      </c>
      <c r="CZ40" s="95" t="s">
        <v>446</v>
      </c>
      <c r="DA40" s="95">
        <v>24</v>
      </c>
      <c r="DB40" s="95" t="s">
        <v>85</v>
      </c>
      <c r="DY40" s="406"/>
      <c r="HD40" s="95" t="s">
        <v>198</v>
      </c>
      <c r="HE40" s="408">
        <v>5</v>
      </c>
      <c r="HF40" s="95" t="s">
        <v>192</v>
      </c>
    </row>
    <row r="41" spans="1:214" s="95" customFormat="1" ht="15" thickBot="1" x14ac:dyDescent="0.25">
      <c r="A41" s="95" t="s">
        <v>405</v>
      </c>
      <c r="B41" s="353">
        <v>56.2</v>
      </c>
      <c r="C41" s="95" t="s">
        <v>413</v>
      </c>
      <c r="D41" s="405" t="s">
        <v>10</v>
      </c>
      <c r="E41" s="256" t="s">
        <v>34</v>
      </c>
      <c r="F41" s="257"/>
      <c r="H41" s="95">
        <v>1000</v>
      </c>
      <c r="I41" s="95" t="s">
        <v>173</v>
      </c>
      <c r="J41" s="95" t="s">
        <v>177</v>
      </c>
      <c r="K41" s="95">
        <v>0.4</v>
      </c>
      <c r="Y41" s="95" t="s">
        <v>411</v>
      </c>
      <c r="Z41" s="95">
        <v>50</v>
      </c>
      <c r="AA41" s="95" t="s">
        <v>211</v>
      </c>
      <c r="AB41" s="415" t="s">
        <v>201</v>
      </c>
      <c r="AF41" s="416">
        <f>B19</f>
        <v>773681.6396651821</v>
      </c>
      <c r="AH41" s="415" t="s">
        <v>165</v>
      </c>
      <c r="BT41" s="354"/>
      <c r="CT41" s="95" t="s">
        <v>177</v>
      </c>
      <c r="CU41" s="95">
        <v>0.4</v>
      </c>
      <c r="CZ41" s="95" t="s">
        <v>447</v>
      </c>
      <c r="DA41" s="95">
        <v>24</v>
      </c>
      <c r="DB41" s="95" t="s">
        <v>85</v>
      </c>
      <c r="DY41" s="406"/>
      <c r="HD41" s="95" t="s">
        <v>199</v>
      </c>
      <c r="HE41" s="408">
        <v>5</v>
      </c>
      <c r="HF41" s="95" t="s">
        <v>192</v>
      </c>
    </row>
    <row r="42" spans="1:214" s="95" customFormat="1" ht="13.9" customHeight="1" thickTop="1" x14ac:dyDescent="0.2">
      <c r="A42" s="95" t="s">
        <v>400</v>
      </c>
      <c r="B42" s="353">
        <v>10.4</v>
      </c>
      <c r="C42" s="95" t="s">
        <v>413</v>
      </c>
      <c r="D42" s="95" t="s">
        <v>46</v>
      </c>
      <c r="E42" s="354">
        <v>9.9999999999999995E-7</v>
      </c>
      <c r="H42" s="95">
        <v>1000</v>
      </c>
      <c r="I42" s="95" t="s">
        <v>408</v>
      </c>
      <c r="J42" s="95" t="s">
        <v>242</v>
      </c>
      <c r="K42" s="95">
        <v>0.4</v>
      </c>
      <c r="Y42" s="95" t="s">
        <v>410</v>
      </c>
      <c r="Z42" s="95">
        <v>5</v>
      </c>
      <c r="AA42" s="95" t="s">
        <v>327</v>
      </c>
      <c r="AB42" s="415" t="s">
        <v>202</v>
      </c>
      <c r="AF42" s="415"/>
      <c r="AG42" s="416">
        <f>B20</f>
        <v>36055860.959050171</v>
      </c>
      <c r="AH42" s="415"/>
      <c r="AI42" s="415"/>
      <c r="AJ42" s="415"/>
      <c r="AK42" s="415"/>
      <c r="CT42" s="95" t="s">
        <v>242</v>
      </c>
      <c r="CU42" s="95">
        <v>0.4</v>
      </c>
      <c r="CZ42" s="95" t="s">
        <v>167</v>
      </c>
      <c r="DA42" s="95">
        <v>1</v>
      </c>
      <c r="DB42" s="95" t="s">
        <v>271</v>
      </c>
    </row>
    <row r="43" spans="1:214" s="95" customFormat="1" ht="13.15" customHeight="1" x14ac:dyDescent="0.2">
      <c r="A43" s="95" t="s">
        <v>401</v>
      </c>
      <c r="B43" s="353">
        <v>28.5</v>
      </c>
      <c r="C43" s="95" t="s">
        <v>413</v>
      </c>
      <c r="D43" s="95" t="s">
        <v>54</v>
      </c>
      <c r="E43" s="95">
        <v>350</v>
      </c>
      <c r="F43" s="95" t="s">
        <v>55</v>
      </c>
      <c r="G43" s="95" t="s">
        <v>399</v>
      </c>
      <c r="H43" s="95">
        <v>0.25</v>
      </c>
      <c r="J43" s="95" t="s">
        <v>243</v>
      </c>
      <c r="K43" s="95">
        <v>1</v>
      </c>
      <c r="Y43" s="95" t="s">
        <v>328</v>
      </c>
      <c r="Z43" s="95">
        <v>1</v>
      </c>
      <c r="AA43" s="95" t="s">
        <v>276</v>
      </c>
      <c r="AF43" s="483" t="s">
        <v>429</v>
      </c>
      <c r="AG43" s="483"/>
      <c r="AH43" s="483"/>
      <c r="AI43" s="415"/>
      <c r="AJ43" s="415"/>
      <c r="AK43" s="415"/>
      <c r="BT43" s="354"/>
      <c r="CT43" s="95" t="s">
        <v>243</v>
      </c>
      <c r="CU43" s="95">
        <v>1</v>
      </c>
      <c r="CZ43" s="95" t="s">
        <v>169</v>
      </c>
      <c r="DA43" s="95">
        <v>1</v>
      </c>
      <c r="DB43" s="95" t="s">
        <v>271</v>
      </c>
    </row>
    <row r="44" spans="1:214" s="95" customFormat="1" x14ac:dyDescent="0.2">
      <c r="A44" s="95" t="s">
        <v>178</v>
      </c>
      <c r="B44" s="397">
        <v>54</v>
      </c>
      <c r="C44" s="95" t="s">
        <v>96</v>
      </c>
      <c r="D44" s="95" t="s">
        <v>415</v>
      </c>
      <c r="E44" s="354">
        <f>B16</f>
        <v>0</v>
      </c>
      <c r="F44" s="95" t="s">
        <v>176</v>
      </c>
      <c r="H44" s="95">
        <v>365</v>
      </c>
      <c r="I44" s="95" t="s">
        <v>55</v>
      </c>
      <c r="J44" s="95" t="s">
        <v>113</v>
      </c>
      <c r="K44" s="95">
        <v>1</v>
      </c>
      <c r="Z44" s="95">
        <v>365</v>
      </c>
      <c r="AA44" s="95" t="s">
        <v>161</v>
      </c>
      <c r="AF44" s="483"/>
      <c r="AG44" s="483"/>
      <c r="AH44" s="483"/>
      <c r="CT44" s="95" t="s">
        <v>113</v>
      </c>
      <c r="CU44" s="95">
        <v>1</v>
      </c>
      <c r="CZ44" s="95" t="s">
        <v>272</v>
      </c>
      <c r="DA44" s="95">
        <v>0.54</v>
      </c>
      <c r="DB44" s="95" t="s">
        <v>274</v>
      </c>
    </row>
    <row r="45" spans="1:214" s="95" customFormat="1" ht="12.75" customHeight="1" x14ac:dyDescent="0.2">
      <c r="A45" s="95" t="s">
        <v>278</v>
      </c>
      <c r="B45" s="397">
        <v>256</v>
      </c>
      <c r="C45" s="95" t="s">
        <v>413</v>
      </c>
      <c r="D45" s="95" t="s">
        <v>68</v>
      </c>
      <c r="E45" s="95">
        <v>26</v>
      </c>
      <c r="F45" s="95" t="s">
        <v>129</v>
      </c>
      <c r="H45" s="95">
        <v>8760</v>
      </c>
      <c r="I45" s="95" t="s">
        <v>258</v>
      </c>
      <c r="J45" s="95" t="s">
        <v>185</v>
      </c>
      <c r="K45" s="95">
        <v>26</v>
      </c>
      <c r="L45" s="95" t="s">
        <v>94</v>
      </c>
      <c r="AB45" s="415"/>
      <c r="AC45" s="415"/>
      <c r="AF45" s="483"/>
      <c r="AG45" s="483"/>
      <c r="AH45" s="483"/>
      <c r="AI45" s="415"/>
      <c r="AJ45" s="415"/>
      <c r="AK45" s="415"/>
      <c r="CT45" s="95" t="s">
        <v>329</v>
      </c>
      <c r="CU45" s="95">
        <v>40</v>
      </c>
      <c r="CV45" s="95" t="s">
        <v>94</v>
      </c>
      <c r="CZ45" s="95" t="s">
        <v>273</v>
      </c>
      <c r="DA45" s="95">
        <v>0.71</v>
      </c>
      <c r="DB45" s="95" t="s">
        <v>274</v>
      </c>
    </row>
    <row r="46" spans="1:214" s="95" customFormat="1" x14ac:dyDescent="0.2">
      <c r="A46" s="95" t="s">
        <v>279</v>
      </c>
      <c r="B46" s="397">
        <v>615</v>
      </c>
      <c r="C46" s="95" t="s">
        <v>413</v>
      </c>
      <c r="D46" s="95" t="s">
        <v>178</v>
      </c>
      <c r="E46" s="95">
        <f>B44</f>
        <v>54</v>
      </c>
      <c r="F46" s="95" t="s">
        <v>96</v>
      </c>
      <c r="G46" s="95" t="s">
        <v>49</v>
      </c>
      <c r="H46" s="95">
        <f>H48</f>
        <v>0</v>
      </c>
      <c r="K46" s="95">
        <v>365</v>
      </c>
      <c r="L46" s="95" t="s">
        <v>189</v>
      </c>
      <c r="AB46" s="415"/>
      <c r="AC46" s="417"/>
      <c r="AI46" s="415"/>
      <c r="AJ46" s="415"/>
      <c r="AK46" s="415"/>
      <c r="CU46" s="95">
        <v>365</v>
      </c>
      <c r="CV46" s="95" t="s">
        <v>189</v>
      </c>
      <c r="DA46" s="95">
        <v>365</v>
      </c>
      <c r="DB46" s="95" t="s">
        <v>268</v>
      </c>
    </row>
    <row r="47" spans="1:214" s="95" customFormat="1" ht="15" x14ac:dyDescent="0.2">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c r="CZ47" s="95" t="s">
        <v>145</v>
      </c>
      <c r="DA47" s="95">
        <v>0.5</v>
      </c>
      <c r="DB47" s="95" t="s">
        <v>275</v>
      </c>
    </row>
    <row r="48" spans="1:214" s="95" customFormat="1" x14ac:dyDescent="0.2">
      <c r="D48" s="95" t="s">
        <v>203</v>
      </c>
      <c r="E48" s="95">
        <f>B22</f>
        <v>0</v>
      </c>
      <c r="F48" s="95" t="s">
        <v>48</v>
      </c>
      <c r="G48" s="95" t="s">
        <v>66</v>
      </c>
      <c r="H48" s="354">
        <f>B30</f>
        <v>0</v>
      </c>
      <c r="K48" s="95">
        <v>1000</v>
      </c>
      <c r="L48" s="95" t="s">
        <v>53</v>
      </c>
      <c r="W48" s="404"/>
      <c r="X48" s="355"/>
      <c r="Y48" s="355"/>
      <c r="Z48" s="355"/>
      <c r="AA48" s="355"/>
      <c r="AB48" s="415"/>
      <c r="AC48" s="415"/>
      <c r="AF48" s="418"/>
      <c r="AG48" s="415"/>
      <c r="AH48" s="415"/>
      <c r="AI48" s="415"/>
      <c r="AJ48" s="415"/>
      <c r="AK48" s="415"/>
      <c r="CU48" s="95">
        <v>1000</v>
      </c>
      <c r="CV48" s="95" t="s">
        <v>53</v>
      </c>
      <c r="DA48" s="95">
        <v>1</v>
      </c>
      <c r="DB48" s="95" t="s">
        <v>276</v>
      </c>
    </row>
    <row r="49" spans="4:106" s="95" customFormat="1" x14ac:dyDescent="0.2">
      <c r="D49" s="95" t="s">
        <v>205</v>
      </c>
      <c r="E49" s="95">
        <v>1</v>
      </c>
      <c r="F49" s="95" t="s">
        <v>206</v>
      </c>
      <c r="G49" s="95" t="s">
        <v>73</v>
      </c>
      <c r="H49" s="95">
        <v>0.26</v>
      </c>
      <c r="J49" s="95" t="s">
        <v>49</v>
      </c>
      <c r="K49" s="95">
        <f>K51</f>
        <v>0</v>
      </c>
      <c r="W49" s="354"/>
      <c r="AB49" s="415"/>
      <c r="AC49" s="415"/>
      <c r="AF49" s="418"/>
      <c r="AG49" s="415"/>
      <c r="AH49" s="415"/>
      <c r="AI49" s="415"/>
      <c r="AJ49" s="415"/>
      <c r="AK49" s="415"/>
      <c r="BT49" s="354"/>
      <c r="DA49" s="95">
        <v>8760</v>
      </c>
      <c r="DB49" s="95" t="s">
        <v>258</v>
      </c>
    </row>
    <row r="50" spans="4:106" s="95" customFormat="1" x14ac:dyDescent="0.2">
      <c r="D50" s="95" t="s">
        <v>142</v>
      </c>
      <c r="E50" s="354" t="e">
        <f>E42/(E44*E43*E45*E46*E48*E49*(1/E47))</f>
        <v>#DIV/0!</v>
      </c>
      <c r="G50" s="95" t="s">
        <v>47</v>
      </c>
      <c r="H50" s="354">
        <f>(H53*H54*H55*((1-EXP(-H56*H57))))/(H58*H56)</f>
        <v>0</v>
      </c>
      <c r="I50" s="95" t="s">
        <v>48</v>
      </c>
      <c r="J50" s="95" t="s">
        <v>57</v>
      </c>
      <c r="K50" s="95">
        <f>K52</f>
        <v>0.26</v>
      </c>
      <c r="W50" s="354"/>
      <c r="AB50" s="415"/>
      <c r="AC50" s="415"/>
      <c r="AF50" s="418"/>
      <c r="AG50" s="415"/>
      <c r="AH50" s="415"/>
      <c r="AI50" s="415"/>
      <c r="AJ50" s="415"/>
      <c r="AK50" s="415"/>
      <c r="BW50" s="354"/>
      <c r="DA50" s="95">
        <v>1000</v>
      </c>
      <c r="DB50" s="95" t="s">
        <v>195</v>
      </c>
    </row>
    <row r="51" spans="4:106" s="95" customFormat="1" x14ac:dyDescent="0.2">
      <c r="G51" s="95" t="s">
        <v>56</v>
      </c>
      <c r="H51" s="354">
        <f>(H53*H54*H59*((1-EXP(-H56*H57))))/(H58*H56)</f>
        <v>5.4035127681958941E-3</v>
      </c>
      <c r="I51" s="95" t="s">
        <v>48</v>
      </c>
      <c r="J51" s="95" t="s">
        <v>66</v>
      </c>
      <c r="K51" s="354">
        <f>B30</f>
        <v>0</v>
      </c>
      <c r="AB51" s="415"/>
      <c r="AC51" s="415"/>
      <c r="AF51" s="418"/>
      <c r="AG51" s="415"/>
      <c r="BW51" s="354"/>
    </row>
    <row r="52" spans="4:106" s="95" customFormat="1" x14ac:dyDescent="0.2">
      <c r="G52" s="95" t="s">
        <v>65</v>
      </c>
      <c r="H52" s="354">
        <f>(H53*H54*H60*H66*((1-EXP(-H61*H62))))/(H63*H61)</f>
        <v>0.82303427313698274</v>
      </c>
      <c r="I52" s="95" t="s">
        <v>48</v>
      </c>
      <c r="J52" s="95" t="s">
        <v>73</v>
      </c>
      <c r="K52" s="95">
        <v>0.26</v>
      </c>
      <c r="AB52" s="415"/>
      <c r="AC52" s="415"/>
      <c r="AF52" s="418"/>
      <c r="AG52" s="415"/>
      <c r="BW52" s="354"/>
    </row>
    <row r="53" spans="4:106" s="95" customFormat="1" x14ac:dyDescent="0.2">
      <c r="G53" s="95" t="s">
        <v>71</v>
      </c>
      <c r="H53" s="95">
        <v>3.62</v>
      </c>
      <c r="I53" s="95" t="s">
        <v>72</v>
      </c>
      <c r="W53" s="354"/>
      <c r="AB53" s="415"/>
      <c r="AC53" s="415"/>
      <c r="AF53" s="418"/>
      <c r="AG53" s="415"/>
    </row>
    <row r="54" spans="4:106" s="95" customFormat="1" x14ac:dyDescent="0.2">
      <c r="G54" s="95" t="s">
        <v>79</v>
      </c>
      <c r="H54" s="95">
        <v>0.25</v>
      </c>
      <c r="I54" s="95" t="s">
        <v>80</v>
      </c>
      <c r="AB54" s="415"/>
      <c r="AC54" s="415"/>
      <c r="AF54" s="418"/>
      <c r="AG54" s="415"/>
    </row>
    <row r="55" spans="4:106" s="95" customFormat="1" x14ac:dyDescent="0.2">
      <c r="G55" s="95" t="s">
        <v>66</v>
      </c>
      <c r="H55" s="354">
        <f>B30</f>
        <v>0</v>
      </c>
      <c r="AB55" s="415"/>
      <c r="AC55" s="415"/>
      <c r="AD55" s="415"/>
      <c r="AF55" s="418"/>
      <c r="AG55" s="415"/>
      <c r="AH55" s="415"/>
      <c r="AI55" s="415"/>
      <c r="AJ55" s="415"/>
      <c r="AK55" s="415"/>
    </row>
    <row r="56" spans="4:106" s="95" customFormat="1" x14ac:dyDescent="0.2">
      <c r="G56" s="95" t="s">
        <v>99</v>
      </c>
      <c r="H56" s="95">
        <f>H64+H65</f>
        <v>0.18144061256544503</v>
      </c>
      <c r="AB56" s="415"/>
      <c r="AC56" s="415"/>
      <c r="AD56" s="415"/>
      <c r="AF56" s="418"/>
      <c r="AG56" s="415"/>
      <c r="AH56" s="415"/>
      <c r="AI56" s="415"/>
      <c r="AJ56" s="415"/>
      <c r="AK56" s="415"/>
    </row>
    <row r="57" spans="4:106" s="95" customFormat="1" x14ac:dyDescent="0.2">
      <c r="G57" s="95" t="s">
        <v>109</v>
      </c>
      <c r="H57" s="95">
        <v>10950</v>
      </c>
      <c r="I57" s="95" t="s">
        <v>110</v>
      </c>
      <c r="AB57" s="415"/>
      <c r="AC57" s="415"/>
      <c r="AD57" s="415"/>
      <c r="AF57" s="418"/>
      <c r="AG57" s="415"/>
      <c r="AH57" s="415"/>
      <c r="AI57" s="415"/>
      <c r="AJ57" s="415"/>
      <c r="AK57" s="415"/>
    </row>
    <row r="58" spans="4:106" s="95" customFormat="1" x14ac:dyDescent="0.2">
      <c r="G58" s="95" t="s">
        <v>120</v>
      </c>
      <c r="H58" s="95">
        <v>240</v>
      </c>
      <c r="I58" s="95" t="s">
        <v>121</v>
      </c>
      <c r="AB58" s="415"/>
      <c r="AC58" s="415"/>
      <c r="AF58" s="418"/>
      <c r="AG58" s="415"/>
      <c r="AH58" s="415"/>
      <c r="AI58" s="415"/>
      <c r="AJ58" s="415"/>
      <c r="AK58" s="415"/>
    </row>
    <row r="59" spans="4:106" s="95" customFormat="1" x14ac:dyDescent="0.2">
      <c r="G59" s="95" t="s">
        <v>130</v>
      </c>
      <c r="H59" s="95">
        <v>0.26</v>
      </c>
      <c r="AB59" s="415"/>
      <c r="AC59" s="415"/>
      <c r="AF59" s="415"/>
      <c r="AG59" s="415"/>
      <c r="AH59" s="415"/>
      <c r="AI59" s="415"/>
      <c r="AJ59" s="415"/>
      <c r="AK59" s="415"/>
    </row>
    <row r="60" spans="4:106" s="95" customFormat="1" x14ac:dyDescent="0.2">
      <c r="G60" s="95" t="s">
        <v>137</v>
      </c>
      <c r="H60" s="95">
        <v>0.42</v>
      </c>
      <c r="I60" s="95" t="s">
        <v>80</v>
      </c>
      <c r="AB60" s="415"/>
      <c r="AC60" s="415"/>
      <c r="AF60" s="415"/>
      <c r="AG60" s="415"/>
      <c r="AH60" s="415"/>
      <c r="AI60" s="415"/>
      <c r="AJ60" s="415"/>
      <c r="AK60" s="415"/>
    </row>
    <row r="61" spans="4:106" s="95" customFormat="1" x14ac:dyDescent="0.2">
      <c r="G61" s="95" t="s">
        <v>143</v>
      </c>
      <c r="H61" s="95">
        <f>H65+(0.693/H67)</f>
        <v>0.23091361256544501</v>
      </c>
      <c r="I61" s="95" t="s">
        <v>144</v>
      </c>
      <c r="AB61" s="415"/>
      <c r="AC61" s="415"/>
      <c r="AD61" s="415"/>
      <c r="AF61" s="415"/>
      <c r="AG61" s="415"/>
      <c r="AH61" s="415"/>
      <c r="AI61" s="415"/>
      <c r="AJ61" s="415"/>
      <c r="AK61" s="415"/>
      <c r="DA61" s="354"/>
    </row>
    <row r="62" spans="4:106" s="95" customFormat="1" x14ac:dyDescent="0.2">
      <c r="G62" s="95" t="s">
        <v>148</v>
      </c>
      <c r="H62" s="95">
        <v>60</v>
      </c>
      <c r="I62" s="95" t="s">
        <v>110</v>
      </c>
      <c r="AB62" s="415"/>
      <c r="AC62" s="415"/>
      <c r="AD62" s="415"/>
      <c r="AF62" s="418"/>
      <c r="AG62" s="415"/>
      <c r="AH62" s="415"/>
      <c r="AI62" s="415"/>
      <c r="AJ62" s="415"/>
      <c r="AK62" s="415"/>
    </row>
    <row r="63" spans="4:106" s="95" customFormat="1" x14ac:dyDescent="0.2">
      <c r="G63" s="95" t="s">
        <v>150</v>
      </c>
      <c r="H63" s="95">
        <v>2</v>
      </c>
      <c r="I63" s="95" t="s">
        <v>121</v>
      </c>
      <c r="AB63" s="415"/>
      <c r="AC63" s="415"/>
      <c r="AD63" s="415"/>
      <c r="AF63" s="418"/>
      <c r="AG63" s="415"/>
      <c r="AH63" s="415"/>
      <c r="AI63" s="415"/>
      <c r="AJ63" s="415"/>
      <c r="AK63" s="415"/>
    </row>
    <row r="64" spans="4:106"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0.18141361256544503</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B31</f>
        <v>0</v>
      </c>
      <c r="AB68" s="415"/>
      <c r="AC68" s="420"/>
      <c r="AD68" s="415"/>
      <c r="AF68" s="418"/>
      <c r="AG68" s="415"/>
      <c r="AH68" s="415"/>
      <c r="AI68" s="415"/>
      <c r="AJ68" s="415"/>
      <c r="AK68" s="415"/>
    </row>
    <row r="69" spans="7:105" s="95" customFormat="1" x14ac:dyDescent="0.2">
      <c r="G69" s="95" t="s">
        <v>453</v>
      </c>
      <c r="H69" s="354">
        <f>B21</f>
        <v>3.82</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cQS205nEfS6x4roJQ25n4JFpCbAhI/1OFtd0hHwxCaHAyyimBY2xxMV/inMpTWcVov07vi/D+k+MGhWMxu0V0A==" saltValue="Cq1T7ozyICK2fWSSRJL0fw==" spinCount="100000" sheet="1" objects="1" scenarios="1" formatColumns="0" formatRows="0"/>
  <mergeCells count="4">
    <mergeCell ref="A1:C4"/>
    <mergeCell ref="CH34:CL37"/>
    <mergeCell ref="BK36:BO39"/>
    <mergeCell ref="AF43:AH45"/>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F86"/>
  <sheetViews>
    <sheetView workbookViewId="0">
      <pane xSplit="3" topLeftCell="D1" activePane="topRight" state="frozen"/>
      <selection pane="topRight" activeCell="D1" sqref="D1"/>
    </sheetView>
  </sheetViews>
  <sheetFormatPr defaultRowHeight="12.75" x14ac:dyDescent="0.2"/>
  <cols>
    <col min="1" max="1" width="14.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0" width="10.28515625" bestFit="1" customWidth="1"/>
    <col min="81" max="81" width="11.5703125" bestFit="1" customWidth="1"/>
    <col min="82" max="82" width="15.7109375" bestFit="1" customWidth="1"/>
    <col min="83" max="83" width="10.28515625" bestFit="1" customWidth="1"/>
    <col min="84" max="84" width="8.85546875" bestFit="1" customWidth="1"/>
    <col min="85" max="85" width="15.7109375" bestFit="1" customWidth="1"/>
    <col min="86" max="86" width="10.28515625" bestFit="1" customWidth="1"/>
    <col min="87" max="87" width="8.85546875" bestFit="1" customWidth="1"/>
    <col min="88" max="88" width="15.710937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4.25" thickTop="1" thickBot="1" x14ac:dyDescent="0.25">
      <c r="A1" s="493" t="s">
        <v>462</v>
      </c>
      <c r="B1" s="494"/>
      <c r="C1" s="495"/>
      <c r="D1" s="14" t="s">
        <v>3</v>
      </c>
      <c r="E1" s="15"/>
      <c r="F1" s="15" t="s">
        <v>0</v>
      </c>
      <c r="G1" s="16" t="s">
        <v>3</v>
      </c>
      <c r="H1" s="17"/>
      <c r="I1" s="17" t="s">
        <v>0</v>
      </c>
      <c r="J1" s="18" t="s">
        <v>3</v>
      </c>
      <c r="K1" s="19"/>
      <c r="L1" s="20" t="s">
        <v>0</v>
      </c>
      <c r="M1" s="21" t="s">
        <v>13</v>
      </c>
      <c r="N1" s="22" t="s">
        <v>14</v>
      </c>
      <c r="O1" s="22" t="s">
        <v>0</v>
      </c>
      <c r="P1" s="23" t="s">
        <v>13</v>
      </c>
      <c r="Q1" s="22" t="s">
        <v>157</v>
      </c>
      <c r="R1" s="22" t="s">
        <v>0</v>
      </c>
      <c r="S1" s="23" t="s">
        <v>13</v>
      </c>
      <c r="T1" s="22" t="s">
        <v>16</v>
      </c>
      <c r="U1" s="24" t="s">
        <v>0</v>
      </c>
      <c r="V1" s="25" t="s">
        <v>1</v>
      </c>
      <c r="W1" s="26" t="s">
        <v>2</v>
      </c>
      <c r="X1" s="26" t="s">
        <v>0</v>
      </c>
      <c r="Y1" s="27" t="s">
        <v>1</v>
      </c>
      <c r="Z1" s="26" t="s">
        <v>4</v>
      </c>
      <c r="AA1" s="28" t="s">
        <v>0</v>
      </c>
      <c r="AB1" s="29" t="s">
        <v>1</v>
      </c>
      <c r="AC1" s="30" t="s">
        <v>4</v>
      </c>
      <c r="AD1" s="31" t="s">
        <v>5</v>
      </c>
      <c r="AE1" s="30" t="s">
        <v>2</v>
      </c>
      <c r="AF1" s="30" t="s">
        <v>7</v>
      </c>
      <c r="AG1" s="31" t="s">
        <v>6</v>
      </c>
      <c r="AH1" s="32" t="s">
        <v>15</v>
      </c>
      <c r="AI1" s="33" t="s">
        <v>13</v>
      </c>
      <c r="AJ1" s="34" t="s">
        <v>14</v>
      </c>
      <c r="AK1" s="34" t="s">
        <v>0</v>
      </c>
      <c r="AL1" s="35" t="s">
        <v>13</v>
      </c>
      <c r="AM1" s="34" t="s">
        <v>157</v>
      </c>
      <c r="AN1" s="34" t="s">
        <v>0</v>
      </c>
      <c r="AO1" s="35" t="s">
        <v>13</v>
      </c>
      <c r="AP1" s="34" t="s">
        <v>16</v>
      </c>
      <c r="AQ1" s="36" t="s">
        <v>0</v>
      </c>
      <c r="AR1" s="37" t="s">
        <v>13</v>
      </c>
      <c r="AS1" s="38" t="s">
        <v>14</v>
      </c>
      <c r="AT1" s="38" t="s">
        <v>0</v>
      </c>
      <c r="AU1" s="39" t="s">
        <v>13</v>
      </c>
      <c r="AV1" s="38" t="s">
        <v>157</v>
      </c>
      <c r="AW1" s="38" t="s">
        <v>0</v>
      </c>
      <c r="AX1" s="39" t="s">
        <v>13</v>
      </c>
      <c r="AY1" s="38" t="s">
        <v>16</v>
      </c>
      <c r="AZ1" s="40" t="s">
        <v>0</v>
      </c>
      <c r="BA1" s="37" t="s">
        <v>13</v>
      </c>
      <c r="BB1" s="38" t="s">
        <v>14</v>
      </c>
      <c r="BC1" s="38" t="s">
        <v>0</v>
      </c>
      <c r="BD1" s="39" t="s">
        <v>13</v>
      </c>
      <c r="BE1" s="38" t="s">
        <v>157</v>
      </c>
      <c r="BF1" s="38" t="s">
        <v>0</v>
      </c>
      <c r="BG1" s="39" t="s">
        <v>13</v>
      </c>
      <c r="BH1" s="38" t="s">
        <v>16</v>
      </c>
      <c r="BI1" s="40" t="s">
        <v>0</v>
      </c>
      <c r="BJ1" s="37" t="s">
        <v>13</v>
      </c>
      <c r="BK1" s="38" t="s">
        <v>14</v>
      </c>
      <c r="BL1" s="38" t="s">
        <v>0</v>
      </c>
      <c r="BM1" s="39" t="s">
        <v>13</v>
      </c>
      <c r="BN1" s="38" t="s">
        <v>157</v>
      </c>
      <c r="BO1" s="38" t="s">
        <v>0</v>
      </c>
      <c r="BP1" s="39" t="s">
        <v>13</v>
      </c>
      <c r="BQ1" s="38" t="s">
        <v>16</v>
      </c>
      <c r="BR1" s="40" t="s">
        <v>0</v>
      </c>
      <c r="BS1" s="41" t="s">
        <v>8</v>
      </c>
      <c r="BT1" s="42"/>
      <c r="BU1" s="42" t="s">
        <v>0</v>
      </c>
      <c r="BV1" s="41" t="s">
        <v>8</v>
      </c>
      <c r="BW1" s="42"/>
      <c r="BX1" s="42" t="s">
        <v>0</v>
      </c>
      <c r="BY1" s="41" t="s">
        <v>434</v>
      </c>
      <c r="BZ1" s="42"/>
      <c r="CA1" s="42" t="s">
        <v>0</v>
      </c>
      <c r="CB1" s="41" t="s">
        <v>8</v>
      </c>
      <c r="CC1" s="42" t="s">
        <v>14</v>
      </c>
      <c r="CD1" s="42" t="s">
        <v>0</v>
      </c>
      <c r="CE1" s="41" t="s">
        <v>8</v>
      </c>
      <c r="CF1" s="42" t="s">
        <v>157</v>
      </c>
      <c r="CG1" s="42" t="s">
        <v>0</v>
      </c>
      <c r="CH1" s="41" t="s">
        <v>8</v>
      </c>
      <c r="CI1" s="42" t="s">
        <v>16</v>
      </c>
      <c r="CJ1" s="43" t="s">
        <v>0</v>
      </c>
      <c r="CK1" s="41" t="s">
        <v>8</v>
      </c>
      <c r="CL1" s="42" t="s">
        <v>331</v>
      </c>
      <c r="CM1" s="43" t="s">
        <v>0</v>
      </c>
      <c r="CN1" s="41" t="s">
        <v>8</v>
      </c>
      <c r="CO1" s="42" t="s">
        <v>331</v>
      </c>
      <c r="CP1" s="43" t="s">
        <v>0</v>
      </c>
      <c r="CQ1" s="41" t="s">
        <v>8</v>
      </c>
      <c r="CR1" s="42" t="s">
        <v>331</v>
      </c>
      <c r="CS1" s="43" t="s">
        <v>0</v>
      </c>
      <c r="CT1" s="44" t="s">
        <v>321</v>
      </c>
      <c r="CU1" s="45"/>
      <c r="CV1" s="46" t="s">
        <v>0</v>
      </c>
      <c r="CW1" s="47" t="s">
        <v>321</v>
      </c>
      <c r="CX1" s="48"/>
      <c r="CY1" s="48" t="s">
        <v>0</v>
      </c>
      <c r="CZ1" s="49" t="s">
        <v>9</v>
      </c>
      <c r="DA1" s="50"/>
      <c r="DB1" s="51" t="s">
        <v>0</v>
      </c>
      <c r="DC1" s="52" t="s">
        <v>9</v>
      </c>
      <c r="DD1" s="52"/>
      <c r="DE1" s="52" t="s">
        <v>0</v>
      </c>
      <c r="DF1" s="53" t="s">
        <v>9</v>
      </c>
      <c r="DG1" s="54" t="s">
        <v>10</v>
      </c>
      <c r="DH1" s="54" t="s">
        <v>0</v>
      </c>
      <c r="DI1" s="55" t="s">
        <v>9</v>
      </c>
      <c r="DJ1" s="54" t="s">
        <v>11</v>
      </c>
      <c r="DK1" s="54" t="s">
        <v>0</v>
      </c>
      <c r="DL1" s="55" t="s">
        <v>9</v>
      </c>
      <c r="DM1" s="54" t="s">
        <v>12</v>
      </c>
      <c r="DN1" s="54" t="s">
        <v>0</v>
      </c>
      <c r="DO1" s="55" t="s">
        <v>9</v>
      </c>
      <c r="DP1" s="54" t="s">
        <v>12</v>
      </c>
      <c r="DQ1" s="56" t="s">
        <v>0</v>
      </c>
      <c r="DR1" s="57" t="s">
        <v>9</v>
      </c>
      <c r="DS1" s="57"/>
      <c r="DT1" s="57" t="s">
        <v>0</v>
      </c>
      <c r="DU1" s="58" t="s">
        <v>9</v>
      </c>
      <c r="DV1" s="59" t="s">
        <v>10</v>
      </c>
      <c r="DW1" s="59" t="s">
        <v>0</v>
      </c>
      <c r="DX1" s="60" t="s">
        <v>9</v>
      </c>
      <c r="DY1" s="59" t="s">
        <v>11</v>
      </c>
      <c r="DZ1" s="59" t="s">
        <v>0</v>
      </c>
      <c r="EA1" s="60" t="s">
        <v>9</v>
      </c>
      <c r="EB1" s="59" t="s">
        <v>12</v>
      </c>
      <c r="EC1" s="59" t="s">
        <v>0</v>
      </c>
      <c r="ED1" s="60" t="s">
        <v>9</v>
      </c>
      <c r="EE1" s="59" t="s">
        <v>12</v>
      </c>
      <c r="EF1" s="61" t="s">
        <v>0</v>
      </c>
      <c r="EG1" s="62" t="s">
        <v>9</v>
      </c>
      <c r="EH1" s="62"/>
      <c r="EI1" s="62" t="s">
        <v>0</v>
      </c>
      <c r="EJ1" s="63" t="s">
        <v>9</v>
      </c>
      <c r="EK1" s="64" t="s">
        <v>10</v>
      </c>
      <c r="EL1" s="64" t="s">
        <v>0</v>
      </c>
      <c r="EM1" s="65" t="s">
        <v>9</v>
      </c>
      <c r="EN1" s="64" t="s">
        <v>11</v>
      </c>
      <c r="EO1" s="64" t="s">
        <v>0</v>
      </c>
      <c r="EP1" s="65" t="s">
        <v>9</v>
      </c>
      <c r="EQ1" s="64" t="s">
        <v>12</v>
      </c>
      <c r="ER1" s="64" t="s">
        <v>0</v>
      </c>
      <c r="ES1" s="65" t="s">
        <v>9</v>
      </c>
      <c r="ET1" s="64" t="s">
        <v>12</v>
      </c>
      <c r="EU1" s="66" t="s">
        <v>0</v>
      </c>
      <c r="EV1" s="67" t="s">
        <v>9</v>
      </c>
      <c r="EW1" s="67"/>
      <c r="EX1" s="67" t="s">
        <v>0</v>
      </c>
      <c r="EY1" s="68" t="s">
        <v>9</v>
      </c>
      <c r="EZ1" s="69" t="s">
        <v>10</v>
      </c>
      <c r="FA1" s="69" t="s">
        <v>0</v>
      </c>
      <c r="FB1" s="70" t="s">
        <v>9</v>
      </c>
      <c r="FC1" s="69" t="s">
        <v>11</v>
      </c>
      <c r="FD1" s="69" t="s">
        <v>0</v>
      </c>
      <c r="FE1" s="70" t="s">
        <v>9</v>
      </c>
      <c r="FF1" s="69" t="s">
        <v>12</v>
      </c>
      <c r="FG1" s="69" t="s">
        <v>0</v>
      </c>
      <c r="FH1" s="70" t="s">
        <v>9</v>
      </c>
      <c r="FI1" s="69" t="s">
        <v>12</v>
      </c>
      <c r="FJ1" s="71" t="s">
        <v>0</v>
      </c>
      <c r="FK1" s="72" t="s">
        <v>9</v>
      </c>
      <c r="FL1" s="73"/>
      <c r="FM1" s="74" t="s">
        <v>0</v>
      </c>
      <c r="FN1" s="75" t="s">
        <v>9</v>
      </c>
      <c r="FO1" s="76" t="s">
        <v>10</v>
      </c>
      <c r="FP1" s="76" t="s">
        <v>0</v>
      </c>
      <c r="FQ1" s="77" t="s">
        <v>9</v>
      </c>
      <c r="FR1" s="76" t="s">
        <v>11</v>
      </c>
      <c r="FS1" s="76" t="s">
        <v>0</v>
      </c>
      <c r="FT1" s="77" t="s">
        <v>9</v>
      </c>
      <c r="FU1" s="76" t="s">
        <v>12</v>
      </c>
      <c r="FV1" s="76" t="s">
        <v>0</v>
      </c>
      <c r="FW1" s="77" t="s">
        <v>9</v>
      </c>
      <c r="FX1" s="76" t="s">
        <v>12</v>
      </c>
      <c r="FY1" s="78" t="s">
        <v>0</v>
      </c>
      <c r="FZ1" s="79" t="s">
        <v>9</v>
      </c>
      <c r="GA1" s="80"/>
      <c r="GB1" s="81" t="s">
        <v>0</v>
      </c>
      <c r="GC1" s="82" t="s">
        <v>9</v>
      </c>
      <c r="GD1" s="83" t="s">
        <v>10</v>
      </c>
      <c r="GE1" s="83" t="s">
        <v>0</v>
      </c>
      <c r="GF1" s="84" t="s">
        <v>9</v>
      </c>
      <c r="GG1" s="83" t="s">
        <v>11</v>
      </c>
      <c r="GH1" s="83" t="s">
        <v>0</v>
      </c>
      <c r="GI1" s="84" t="s">
        <v>9</v>
      </c>
      <c r="GJ1" s="83" t="s">
        <v>12</v>
      </c>
      <c r="GK1" s="83" t="s">
        <v>0</v>
      </c>
      <c r="GL1" s="84" t="s">
        <v>9</v>
      </c>
      <c r="GM1" s="83" t="s">
        <v>12</v>
      </c>
      <c r="GN1" s="85" t="s">
        <v>0</v>
      </c>
      <c r="GO1" s="86" t="s">
        <v>9</v>
      </c>
      <c r="GP1" s="87"/>
      <c r="GQ1" s="88" t="s">
        <v>0</v>
      </c>
      <c r="GR1" s="89" t="s">
        <v>9</v>
      </c>
      <c r="GS1" s="90" t="s">
        <v>10</v>
      </c>
      <c r="GT1" s="90" t="s">
        <v>0</v>
      </c>
      <c r="GU1" s="91" t="s">
        <v>9</v>
      </c>
      <c r="GV1" s="90" t="s">
        <v>11</v>
      </c>
      <c r="GW1" s="90" t="s">
        <v>0</v>
      </c>
      <c r="GX1" s="91" t="s">
        <v>9</v>
      </c>
      <c r="GY1" s="90" t="s">
        <v>12</v>
      </c>
      <c r="GZ1" s="90" t="s">
        <v>0</v>
      </c>
      <c r="HA1" s="91" t="s">
        <v>9</v>
      </c>
      <c r="HB1" s="90" t="s">
        <v>12</v>
      </c>
      <c r="HC1" s="90" t="s">
        <v>0</v>
      </c>
      <c r="HD1" s="92" t="s">
        <v>17</v>
      </c>
      <c r="HE1" s="93" t="s">
        <v>0</v>
      </c>
      <c r="HF1" s="94" t="s">
        <v>18</v>
      </c>
    </row>
    <row r="2" spans="1:214" s="95" customFormat="1" ht="13.5" thickTop="1" x14ac:dyDescent="0.2">
      <c r="A2" s="423" t="s">
        <v>243</v>
      </c>
      <c r="B2" s="424">
        <v>2.41E-4</v>
      </c>
      <c r="C2" s="425"/>
      <c r="D2" s="97"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ht="13.5" thickBot="1" x14ac:dyDescent="0.25">
      <c r="A3" s="426" t="s">
        <v>113</v>
      </c>
      <c r="B3" s="427">
        <v>0.753</v>
      </c>
      <c r="C3" s="428"/>
      <c r="D3" s="97" t="s">
        <v>37</v>
      </c>
      <c r="E3" s="181">
        <f>1/((1/E20)+(1/E21))</f>
        <v>5.8821799357374784E-4</v>
      </c>
      <c r="F3" s="182"/>
      <c r="G3" s="98"/>
      <c r="H3" s="181">
        <f>1/((1/H10)+(1/H12)+(1/H13))</f>
        <v>3.9693501333869849</v>
      </c>
      <c r="I3" s="183"/>
      <c r="J3" s="100"/>
      <c r="K3" s="181">
        <f>1/((1/K14)+(1/K15)+(1/K16+(1/K17)))</f>
        <v>8.1128179506699941E-2</v>
      </c>
      <c r="L3" s="184"/>
      <c r="M3" s="103" t="s">
        <v>39</v>
      </c>
      <c r="N3" s="185">
        <f>(N5*N6*N7)/((1-EXP(-N7*N6))*N10*N15*(N9/365)*N13*(((N14/24)*N12)+((N16/24)*N11)))</f>
        <v>59.292133422896235</v>
      </c>
      <c r="O3" s="105"/>
      <c r="P3" s="106" t="s">
        <v>39</v>
      </c>
      <c r="Q3" s="185">
        <f>(Q5*Q6*Q7)/((1-EXP(-Q7*Q6))*Q10*Q15*(Q9/365)*Q13*(((Q14/24)*Q12)+((Q16/24)*Q11)))</f>
        <v>192183.40949432651</v>
      </c>
      <c r="R3" s="105"/>
      <c r="S3" s="106" t="s">
        <v>39</v>
      </c>
      <c r="T3" s="185">
        <f>(T5*T6*T7)/((1-EXP(-T7*T6))*T10*T15*(T9/365)*T13*(((T14/24)*T12)+((T16/24)*T11)))</f>
        <v>67.442832541514676</v>
      </c>
      <c r="U3" s="107"/>
      <c r="V3" s="108" t="s">
        <v>38</v>
      </c>
      <c r="W3" s="186">
        <f>1/((1/W18)+(1/W19))</f>
        <v>5.5854180592659051E-4</v>
      </c>
      <c r="X3" s="187"/>
      <c r="Y3" s="188" t="s">
        <v>38</v>
      </c>
      <c r="Z3" s="186">
        <f>1/((1/Z18)+(1/Z19))</f>
        <v>7.8896396174364864E-4</v>
      </c>
      <c r="AA3" s="189"/>
      <c r="AB3" s="112"/>
      <c r="AC3" s="190">
        <f>1/((1/AC37)+(1/AC38)+(1/AC39))</f>
        <v>18.351041271705981</v>
      </c>
      <c r="AD3" s="191">
        <f>1/((1/AD37)+(1/AD38)+(1/AD39))</f>
        <v>25.070180589200124</v>
      </c>
      <c r="AE3" s="190">
        <f>1/((1/AE37)+(1/AE38)+(1/AE39))</f>
        <v>32.979642600839597</v>
      </c>
      <c r="AF3" s="190">
        <f>1/((1/AF37)+(1/AF38)+(1/AF39))</f>
        <v>10.177360266298576</v>
      </c>
      <c r="AG3" s="191">
        <f>1/((1/AG37)+(1/AG39)+(1/AG40))</f>
        <v>136.00060844834559</v>
      </c>
      <c r="AH3" s="192"/>
      <c r="AI3" s="116" t="s">
        <v>39</v>
      </c>
      <c r="AJ3" s="193">
        <f>(AJ5*AJ6*AJ7)/((1-EXP(-AJ7*AJ6))*AJ10*AJ15*(AJ9/365)*AJ13*((AJ14*AJ12)+((AJ16/24)*AJ11)))</f>
        <v>41.346819794253669</v>
      </c>
      <c r="AK3" s="118"/>
      <c r="AL3" s="119" t="s">
        <v>39</v>
      </c>
      <c r="AM3" s="193">
        <f>(AM5*AM6*AM7)/((1-EXP(-AM7*AM6))*AM10*AM15*(AM9/365)*AM13*((AM14*AM12)+((AM16/24)*AM11)))</f>
        <v>134012.88603560074</v>
      </c>
      <c r="AN3" s="118"/>
      <c r="AO3" s="119" t="s">
        <v>39</v>
      </c>
      <c r="AP3" s="193">
        <f>(AP5*AP6*AP7)/((1-EXP(-AP7*AP6))*AP10*AP15*(AP9/365)*AP13*((AP14*AP12)+((AP16/24)*AP11)))</f>
        <v>47.030446080170719</v>
      </c>
      <c r="AQ3" s="120"/>
      <c r="AR3" s="121" t="s">
        <v>39</v>
      </c>
      <c r="AS3" s="194">
        <f>(AS5*AS6*AS7)/((1-EXP(-AS7*AS6))*AS10*AS15*(AS9/365)*AS13*(((AS14/24)*AS12)+(AS16*AS11)))</f>
        <v>88858.296667760122</v>
      </c>
      <c r="AT3" s="123"/>
      <c r="AU3" s="124" t="s">
        <v>39</v>
      </c>
      <c r="AV3" s="194">
        <f>(AV5*AV6*AV7)/((1-EXP(-AV7*AV6))*AV10*AV15*(AV9/365)*AV13*(((AV14/24)*AV12)+(AV16*AV11)))</f>
        <v>593244353.88474917</v>
      </c>
      <c r="AW3" s="123"/>
      <c r="AX3" s="124" t="s">
        <v>39</v>
      </c>
      <c r="AY3" s="194">
        <f>(AY5*AY6*AY7)/((1-EXP(-AY7*AY6))*AY10*AY15*(AY9/365)*AY13*(((AY14/24)*AY12)+(AY16*AY11)))</f>
        <v>107781.33887113623</v>
      </c>
      <c r="AZ3" s="125"/>
      <c r="BA3" s="121" t="s">
        <v>39</v>
      </c>
      <c r="BB3" s="194">
        <f>(BB5*BB6*BB7)/((1-EXP(-BB7*BB6))*BB10*BB15*(BB9/365)*BB13*(((BB14/24)*BB12)+(BB16*BB11)))</f>
        <v>88858.296667760122</v>
      </c>
      <c r="BC3" s="123"/>
      <c r="BD3" s="124" t="s">
        <v>39</v>
      </c>
      <c r="BE3" s="194">
        <f>(BE5*BE6*BE7)/((1-EXP(-BE7*BE6))*BE10*BE15*(BE9/365)*BE13*(((BE14/24)*BE12)+(BE16*BE11)))</f>
        <v>593244353.88474917</v>
      </c>
      <c r="BF3" s="123"/>
      <c r="BG3" s="124" t="s">
        <v>39</v>
      </c>
      <c r="BH3" s="194">
        <f>(BH5*BH6*BH7)/((1-EXP(-BH7*BH6))*BH10*BH15*(BH9/365)*BH13*(((BH14/24)*BH12)+(BH16*BH11)))</f>
        <v>107781.33887113623</v>
      </c>
      <c r="BI3" s="125"/>
      <c r="BJ3" s="121" t="s">
        <v>39</v>
      </c>
      <c r="BK3" s="194">
        <f>(BK5*BK6*BK7)/((1-EXP(-BK7*BK6))*BK12*BK16*(BK9/365)*BK14*BK15*BK13)</f>
        <v>875187.57286084001</v>
      </c>
      <c r="BL3" s="123"/>
      <c r="BM3" s="124" t="s">
        <v>39</v>
      </c>
      <c r="BN3" s="194">
        <f>(BN5*BN6*BN7)/((1-EXP(-BN7*BN6))*BN12*BN16*(BN9/365)*BN14*BN15*BN13)</f>
        <v>5843011915.1515179</v>
      </c>
      <c r="BO3" s="123"/>
      <c r="BP3" s="124" t="s">
        <v>39</v>
      </c>
      <c r="BQ3" s="194">
        <f>(BQ5*BQ6*BQ7)/((1-EXP(-BQ7*BQ6))*BQ12*BQ16*(BQ9/365)*BQ14*BQ15*BQ13)</f>
        <v>1061565.3450911373</v>
      </c>
      <c r="BR3" s="125"/>
      <c r="BS3" s="126" t="s">
        <v>37</v>
      </c>
      <c r="BT3" s="195">
        <f>1/((1/BT21)+(1/BT22))</f>
        <v>2.4756305119540481E-2</v>
      </c>
      <c r="BU3" s="128"/>
      <c r="BV3" s="126"/>
      <c r="BW3" s="195">
        <f>1/((1/BW10)+(1/BW12))</f>
        <v>46.227675678090215</v>
      </c>
      <c r="BX3" s="128"/>
      <c r="BY3" s="126"/>
      <c r="BZ3" s="195">
        <f>1/((1/BZ13)+(1/BZ14)+(1/BZ15))</f>
        <v>18.357250025293414</v>
      </c>
      <c r="CA3" s="128"/>
      <c r="CB3" s="126" t="s">
        <v>39</v>
      </c>
      <c r="CC3" s="195">
        <f>(CC5*CC6*CC7)/((1-EXP(-CC7*CC6))*CC10*CC14*(CC9/365)*CC12*(CC13/24)*CC11)</f>
        <v>429250.57333350001</v>
      </c>
      <c r="CD3" s="128"/>
      <c r="CE3" s="126" t="s">
        <v>39</v>
      </c>
      <c r="CF3" s="195">
        <f>(CF5*CF6*CF7)/((1-EXP(-CF7*CF6))*CF10*CF14*(CF9/365)*CF12*(CF13/24)*CF11)</f>
        <v>2865804191.4085383</v>
      </c>
      <c r="CG3" s="128"/>
      <c r="CH3" s="126" t="s">
        <v>39</v>
      </c>
      <c r="CI3" s="195">
        <f>(CI5*CI6*CI7)/((1-EXP(-CI7*CI6))*CI10*CI14*(CI9/365)*CI12*(CI13/24)*CI11)</f>
        <v>520662.70950558939</v>
      </c>
      <c r="CJ3" s="129"/>
      <c r="CK3" s="126" t="s">
        <v>17</v>
      </c>
      <c r="CL3" s="195">
        <f>CL5/(CL6*CL7*CL8*CL9)</f>
        <v>7.175660160734787</v>
      </c>
      <c r="CM3" s="129"/>
      <c r="CN3" s="126" t="s">
        <v>17</v>
      </c>
      <c r="CO3" s="195">
        <f>CL3/(CO5*((CO10*CO12*CO13*(CO6+CO7))+(CO11*CO12)))</f>
        <v>1905.8858328644853</v>
      </c>
      <c r="CP3" s="129"/>
      <c r="CQ3" s="126" t="s">
        <v>17</v>
      </c>
      <c r="CR3" s="195">
        <f>CL3/(CR5*CR6*(1/CR7))</f>
        <v>2391886.7202449287</v>
      </c>
      <c r="CS3" s="129"/>
      <c r="CT3" s="130"/>
      <c r="CU3" s="196">
        <f>1/((1/CU14)+(1/CU15)+(1/CU16+(1/CU17)))</f>
        <v>0.11295922309997261</v>
      </c>
      <c r="CV3" s="197"/>
      <c r="CW3" s="133" t="s">
        <v>37</v>
      </c>
      <c r="CX3" s="198">
        <f>1/((1/CX20)+(1/CX21))</f>
        <v>4.6167163596667318E-4</v>
      </c>
      <c r="CY3" s="199"/>
      <c r="CZ3" s="200"/>
      <c r="DA3" s="201">
        <f>1/((1/DA13)+(1/DA14)+(1/DA15)+(1/DA16))</f>
        <v>9.2100937581555639E-4</v>
      </c>
      <c r="DB3" s="202"/>
      <c r="DC3" s="138"/>
      <c r="DD3" s="203">
        <f>DD7</f>
        <v>3.0837547798199083E-2</v>
      </c>
      <c r="DE3" s="204" t="s">
        <v>421</v>
      </c>
      <c r="DF3" s="139"/>
      <c r="DG3" s="205">
        <f>DD7/((1/DG24)*(DG5+DG6+DG7))</f>
        <v>2.4226947991176417</v>
      </c>
      <c r="DH3" s="206" t="s">
        <v>421</v>
      </c>
      <c r="DI3" s="141"/>
      <c r="DJ3" s="205">
        <f>DD7/(DJ5+DJ6)</f>
        <v>0.1185831486183391</v>
      </c>
      <c r="DK3" s="206" t="s">
        <v>421</v>
      </c>
      <c r="DL3" s="141"/>
      <c r="DM3" s="205">
        <f>(DD7)/(DM5+DM6)</f>
        <v>0.1185831486183391</v>
      </c>
      <c r="DN3" s="206"/>
      <c r="DO3" s="141"/>
      <c r="DP3" s="205">
        <f>-(DP5+DP6+DP7)/(DP23+DP24)</f>
        <v>-49.753026107995034</v>
      </c>
      <c r="DQ3" s="207"/>
      <c r="DR3" s="143"/>
      <c r="DS3" s="208">
        <f>DS7</f>
        <v>1.3568521031207597E-2</v>
      </c>
      <c r="DT3" s="209" t="s">
        <v>421</v>
      </c>
      <c r="DU3" s="144"/>
      <c r="DV3" s="210">
        <f>DS7/(DV5*DV6)</f>
        <v>73.741962126128243</v>
      </c>
      <c r="DW3" s="211"/>
      <c r="DX3" s="146"/>
      <c r="DY3" s="210">
        <f>DS7/(DY9*((DY10*DY12*DY13*(DY5+DY6))+(DY11*DY12)))</f>
        <v>1437.4956066540522</v>
      </c>
      <c r="DZ3" s="211" t="s">
        <v>421</v>
      </c>
      <c r="EA3" s="146"/>
      <c r="EB3" s="210">
        <f>DS7/(EB9*((EB10*EB12*EB13*(EB5+EB6))+(EB11*EB12)))</f>
        <v>1437.4956066540522</v>
      </c>
      <c r="EC3" s="211"/>
      <c r="ED3" s="146"/>
      <c r="EE3" s="210">
        <f>-EE15/((EE10*EE12*EE13*(EE5+EE6))+(EE11*EE12))</f>
        <v>-19.49359042271427</v>
      </c>
      <c r="EF3" s="212"/>
      <c r="EG3" s="148"/>
      <c r="EH3" s="213">
        <f>EH7</f>
        <v>6.1675095596398166E-2</v>
      </c>
      <c r="EI3" s="214" t="s">
        <v>421</v>
      </c>
      <c r="EJ3" s="149"/>
      <c r="EK3" s="215">
        <f>EH7/(EK5*EK6)</f>
        <v>23.273620979772893</v>
      </c>
      <c r="EL3" s="216"/>
      <c r="EM3" s="151"/>
      <c r="EN3" s="215">
        <f>EH7/(EN9*((EN10*EN12*EN13*(EN5+EN6))+(EN11*EN12)))</f>
        <v>363.72002651686296</v>
      </c>
      <c r="EO3" s="216" t="s">
        <v>421</v>
      </c>
      <c r="EP3" s="151"/>
      <c r="EQ3" s="215">
        <f>EH7/(EQ9*((EQ10*EQ12*EQ13*(EQ5+EQ6))+(EQ11*EQ12)))</f>
        <v>363.72002651686296</v>
      </c>
      <c r="ER3" s="216"/>
      <c r="ES3" s="151"/>
      <c r="ET3" s="215">
        <f>-ET15/((ET10*ET12*ET13*(ET5+ET6))+(ET11*ET12))</f>
        <v>-15.627994751352706</v>
      </c>
      <c r="EU3" s="217"/>
      <c r="EV3" s="218"/>
      <c r="EW3" s="219">
        <f>EW7</f>
        <v>6.1675095596398166E-2</v>
      </c>
      <c r="EX3" s="218" t="s">
        <v>421</v>
      </c>
      <c r="EY3" s="220"/>
      <c r="EZ3" s="221">
        <f>EW7/(EZ5*EZ6*(1/EZ7))</f>
        <v>38546.934747748848</v>
      </c>
      <c r="FA3" s="221"/>
      <c r="FB3" s="222"/>
      <c r="FC3" s="221">
        <f>EW7/(FC9*((FC10*FC12*FC13*(FC5+FC6))+(FC11*FC12)))</f>
        <v>211.21608080958273</v>
      </c>
      <c r="FD3" s="223" t="s">
        <v>421</v>
      </c>
      <c r="FE3" s="224"/>
      <c r="FF3" s="221">
        <f>EW7/(FF9*(FF10*FF12*FF13*(FF5*FF6))+(FF11*FF12))</f>
        <v>2.8032860141083664</v>
      </c>
      <c r="FG3" s="221"/>
      <c r="FH3" s="222"/>
      <c r="FI3" s="221">
        <f>FI15/((FI10*FI12*FI13*(FI5+FI6))+(FI11*FI12))</f>
        <v>5.4794520547945202</v>
      </c>
      <c r="FJ3" s="225"/>
      <c r="FK3" s="226"/>
      <c r="FL3" s="227">
        <f>FL7</f>
        <v>6.1675095596398166E-2</v>
      </c>
      <c r="FM3" s="228"/>
      <c r="FN3" s="229"/>
      <c r="FO3" s="230">
        <f>FL7/(FR5*(1/FO7))</f>
        <v>2.0558365198799389</v>
      </c>
      <c r="FP3" s="230"/>
      <c r="FQ3" s="231"/>
      <c r="FR3" s="230">
        <f>(FL7*FR6)/FR5</f>
        <v>1.6857859463015497E-2</v>
      </c>
      <c r="FS3" s="230"/>
      <c r="FT3" s="231"/>
      <c r="FU3" s="230">
        <f>(FL7*FU15)/FU14</f>
        <v>1.6857859463015497E-2</v>
      </c>
      <c r="FV3" s="230"/>
      <c r="FW3" s="231"/>
      <c r="FX3" s="230">
        <f>-FX29/FX30</f>
        <v>-8.199999999999999E-3</v>
      </c>
      <c r="FY3" s="232"/>
      <c r="FZ3" s="233"/>
      <c r="GA3" s="234">
        <f>GA7</f>
        <v>6.1675095596398166E-2</v>
      </c>
      <c r="GB3" s="235" t="s">
        <v>421</v>
      </c>
      <c r="GC3" s="236"/>
      <c r="GD3" s="237">
        <f>FL7/(GD5*GD6*(1/GD7))</f>
        <v>25697.956498499232</v>
      </c>
      <c r="GE3" s="237"/>
      <c r="GF3" s="238"/>
      <c r="GG3" s="237">
        <f>GA7/((GG9)*((GG10*GG12*GG13*(GG5+GG6))+(GG11*GG12)))</f>
        <v>140.81072053972181</v>
      </c>
      <c r="GH3" s="237" t="s">
        <v>421</v>
      </c>
      <c r="GI3" s="238"/>
      <c r="GJ3" s="237">
        <f>FL7/(GJ9*(GJ10*GJ12*GJ13*(GJ5*GJ6))+(GJ11*GJ12))</f>
        <v>2.8032223074062297</v>
      </c>
      <c r="GK3" s="237"/>
      <c r="GL3" s="238"/>
      <c r="GM3" s="237">
        <f>GM15/((GM10*GM12*GM13*(GM5+GM6))+(GM11*GM12))</f>
        <v>5.4794520547945202</v>
      </c>
      <c r="GN3" s="239"/>
      <c r="GO3" s="240"/>
      <c r="GP3" s="241">
        <f>GP7</f>
        <v>6.1675095596398166E-2</v>
      </c>
      <c r="GQ3" s="242" t="s">
        <v>421</v>
      </c>
      <c r="GR3" s="243"/>
      <c r="GS3" s="244">
        <f>GP7/(GS5*GS6*(1/GS7))</f>
        <v>31824.09473498357</v>
      </c>
      <c r="GT3" s="244"/>
      <c r="GU3" s="245"/>
      <c r="GV3" s="244">
        <f>GP7/((GV9)*((GV10*GV12*GV13*(GV5+GV6))+(GV11*GV12)))</f>
        <v>231.30040164412668</v>
      </c>
      <c r="GW3" s="244" t="s">
        <v>421</v>
      </c>
      <c r="GX3" s="245"/>
      <c r="GY3" s="244">
        <f>GP7/((GY9*((GY10*GY12*GY13*(GY5+GY6))+(GY11*GY12))))</f>
        <v>231.30040164412668</v>
      </c>
      <c r="GZ3" s="244"/>
      <c r="HA3" s="245"/>
      <c r="HB3" s="244">
        <f>GP7/((HB10*HB12*HB13*(HB5+HB6))+(HB11*HB12))</f>
        <v>3.9321068279501534E-2</v>
      </c>
      <c r="HC3" s="246"/>
      <c r="HD3" s="247">
        <f>HE5*HE13*10^-3*(HE14+(HE9/HE10))*((HE11*HE7)/(1-EXP(-HE7*HE11)))</f>
        <v>1.2864465728363332</v>
      </c>
      <c r="HE3" s="248"/>
      <c r="HF3" s="180" t="s">
        <v>40</v>
      </c>
    </row>
    <row r="4" spans="1:214" s="95" customFormat="1" ht="14.25" thickTop="1" thickBot="1" x14ac:dyDescent="0.25">
      <c r="A4" s="493" t="s">
        <v>463</v>
      </c>
      <c r="B4" s="494"/>
      <c r="C4" s="495"/>
      <c r="D4" s="429" t="s">
        <v>38</v>
      </c>
      <c r="E4" s="250">
        <f>1/((1/E22)+(1/E23))</f>
        <v>5.977000328807096E-4</v>
      </c>
      <c r="F4" s="251"/>
      <c r="G4" s="252"/>
      <c r="H4" s="253"/>
      <c r="I4" s="254"/>
      <c r="J4" s="255" t="s">
        <v>0</v>
      </c>
      <c r="K4" s="256" t="s">
        <v>34</v>
      </c>
      <c r="L4" s="257"/>
      <c r="M4" s="258"/>
      <c r="N4" s="259"/>
      <c r="O4" s="260"/>
      <c r="P4" s="261"/>
      <c r="Q4" s="259"/>
      <c r="R4" s="260"/>
      <c r="S4" s="261"/>
      <c r="T4" s="259"/>
      <c r="U4" s="262"/>
      <c r="V4" s="263" t="s">
        <v>37</v>
      </c>
      <c r="W4" s="264">
        <f>1/((1/W16)+(1/W17))</f>
        <v>5.4749515746008181E-4</v>
      </c>
      <c r="X4" s="265"/>
      <c r="Y4" s="266" t="s">
        <v>37</v>
      </c>
      <c r="Z4" s="264">
        <f>1/((1/Z16)+(1/Z17))</f>
        <v>7.7644767115391282E-4</v>
      </c>
      <c r="AA4" s="267"/>
      <c r="AB4" s="268" t="s">
        <v>0</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2.5275923712002726E-2</v>
      </c>
      <c r="BU4" s="286"/>
      <c r="BV4" s="284"/>
      <c r="BW4" s="285"/>
      <c r="BX4" s="286"/>
      <c r="BY4" s="284" t="s">
        <v>0</v>
      </c>
      <c r="BZ4" s="285" t="s">
        <v>34</v>
      </c>
      <c r="CA4" s="286"/>
      <c r="CB4" s="284"/>
      <c r="CC4" s="285"/>
      <c r="CD4" s="286"/>
      <c r="CE4" s="284"/>
      <c r="CF4" s="285"/>
      <c r="CG4" s="286"/>
      <c r="CH4" s="284"/>
      <c r="CI4" s="285"/>
      <c r="CJ4" s="287"/>
      <c r="CK4" s="284"/>
      <c r="CL4" s="285"/>
      <c r="CM4" s="287"/>
      <c r="CN4" s="284"/>
      <c r="CO4" s="285"/>
      <c r="CP4" s="287"/>
      <c r="CQ4" s="284"/>
      <c r="CR4" s="285"/>
      <c r="CS4" s="287"/>
      <c r="CT4" s="288" t="s">
        <v>0</v>
      </c>
      <c r="CU4" s="289" t="s">
        <v>9</v>
      </c>
      <c r="CV4" s="290"/>
      <c r="CW4" s="291" t="s">
        <v>38</v>
      </c>
      <c r="CX4" s="292">
        <f>1/((1/CX22)+(1/CX23))</f>
        <v>4.7663499505341448E-4</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0.34042379169887527</v>
      </c>
      <c r="HE4" s="351"/>
      <c r="HF4" s="352" t="s">
        <v>45</v>
      </c>
    </row>
    <row r="5" spans="1:214" s="95" customFormat="1" ht="13.5" thickTop="1" x14ac:dyDescent="0.2">
      <c r="A5" s="423" t="s">
        <v>464</v>
      </c>
      <c r="B5" s="424">
        <v>1.17E-4</v>
      </c>
      <c r="C5" s="425"/>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B41</f>
        <v>6.0000000000000001E-3</v>
      </c>
      <c r="CQ5" s="95" t="s">
        <v>432</v>
      </c>
      <c r="CR5" s="354">
        <f>B41</f>
        <v>6.0000000000000001E-3</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1.7470612337404778E-3</v>
      </c>
      <c r="DH5" s="95" t="s">
        <v>48</v>
      </c>
      <c r="DI5" s="95" t="s">
        <v>49</v>
      </c>
      <c r="DJ5" s="95">
        <f>DJ7</f>
        <v>5.0000000000000002E-5</v>
      </c>
      <c r="DL5" s="95" t="s">
        <v>49</v>
      </c>
      <c r="DM5" s="95">
        <f>DM7</f>
        <v>5.0000000000000002E-5</v>
      </c>
      <c r="DO5" s="95" t="s">
        <v>47</v>
      </c>
      <c r="DP5" s="95">
        <f>(DP8*DP9*DP10*((1-EXP(-DP11*DP12))))/(DP13*DP11)</f>
        <v>1.7873205381175516E-3</v>
      </c>
      <c r="DQ5" s="95" t="s">
        <v>48</v>
      </c>
      <c r="DR5" s="95" t="s">
        <v>46</v>
      </c>
      <c r="DS5" s="354">
        <v>9.9999999999999995E-7</v>
      </c>
      <c r="DU5" s="95" t="s">
        <v>347</v>
      </c>
      <c r="DV5" s="354">
        <f>B35</f>
        <v>1.9999999999999999E-6</v>
      </c>
      <c r="DX5" s="95" t="s">
        <v>50</v>
      </c>
      <c r="DY5" s="95">
        <f>DY7</f>
        <v>5.0000000000000001E-3</v>
      </c>
      <c r="EA5" s="95" t="s">
        <v>50</v>
      </c>
      <c r="EB5" s="95">
        <f>EB7</f>
        <v>5.0000000000000001E-3</v>
      </c>
      <c r="ED5" s="95" t="s">
        <v>50</v>
      </c>
      <c r="EE5" s="95">
        <f>EE7</f>
        <v>5.0000000000000001E-3</v>
      </c>
      <c r="EG5" s="95" t="s">
        <v>46</v>
      </c>
      <c r="EH5" s="354">
        <v>9.9999999999999995E-7</v>
      </c>
      <c r="EJ5" s="95" t="s">
        <v>348</v>
      </c>
      <c r="EK5" s="354">
        <f>B36</f>
        <v>5.0000000000000002E-5</v>
      </c>
      <c r="EM5" s="95" t="s">
        <v>50</v>
      </c>
      <c r="EN5" s="95">
        <f>EN7</f>
        <v>5.0000000000000001E-3</v>
      </c>
      <c r="EP5" s="95" t="s">
        <v>50</v>
      </c>
      <c r="EQ5" s="95">
        <f>EQ7</f>
        <v>5.0000000000000001E-3</v>
      </c>
      <c r="ES5" s="95" t="s">
        <v>50</v>
      </c>
      <c r="ET5" s="95">
        <f>ET7</f>
        <v>5.0000000000000001E-3</v>
      </c>
      <c r="EV5" s="95" t="s">
        <v>46</v>
      </c>
      <c r="EW5" s="354">
        <v>9.9999999999999995E-7</v>
      </c>
      <c r="EY5" s="95" t="s">
        <v>349</v>
      </c>
      <c r="EZ5" s="356">
        <f>B38</f>
        <v>4.0000000000000001E-3</v>
      </c>
      <c r="FB5" s="95" t="s">
        <v>50</v>
      </c>
      <c r="FC5" s="95">
        <f>FC7</f>
        <v>5.0000000000000001E-3</v>
      </c>
      <c r="FE5" s="95" t="s">
        <v>50</v>
      </c>
      <c r="FF5" s="95">
        <f>FF7</f>
        <v>5.0000000000000001E-3</v>
      </c>
      <c r="FH5" s="95" t="s">
        <v>50</v>
      </c>
      <c r="FI5" s="95">
        <f>FI7</f>
        <v>5.0000000000000001E-3</v>
      </c>
      <c r="FK5" s="95" t="s">
        <v>46</v>
      </c>
      <c r="FL5" s="354">
        <v>9.9999999999999995E-7</v>
      </c>
      <c r="FN5" s="95" t="s">
        <v>350</v>
      </c>
      <c r="FO5" s="357">
        <v>1</v>
      </c>
      <c r="FQ5" s="95" t="s">
        <v>203</v>
      </c>
      <c r="FR5" s="354">
        <f>B34</f>
        <v>30</v>
      </c>
      <c r="FT5" s="95" t="s">
        <v>50</v>
      </c>
      <c r="FU5" s="95">
        <f>FU7</f>
        <v>5.0000000000000001E-3</v>
      </c>
      <c r="FW5" s="95" t="s">
        <v>50</v>
      </c>
      <c r="FX5" s="95">
        <f>FX7</f>
        <v>5.0000000000000001E-3</v>
      </c>
      <c r="FZ5" s="95" t="s">
        <v>46</v>
      </c>
      <c r="GA5" s="354">
        <v>9.9999999999999995E-7</v>
      </c>
      <c r="GC5" s="95" t="s">
        <v>351</v>
      </c>
      <c r="GD5" s="356">
        <f>B37</f>
        <v>6.0000000000000001E-3</v>
      </c>
      <c r="GF5" s="95" t="s">
        <v>50</v>
      </c>
      <c r="GG5" s="95">
        <f>GG7</f>
        <v>5.0000000000000001E-3</v>
      </c>
      <c r="GI5" s="95" t="s">
        <v>50</v>
      </c>
      <c r="GJ5" s="95">
        <f>GJ7</f>
        <v>5.0000000000000001E-3</v>
      </c>
      <c r="GL5" s="95" t="s">
        <v>50</v>
      </c>
      <c r="GM5" s="95">
        <f>GM7</f>
        <v>5.0000000000000001E-3</v>
      </c>
      <c r="GO5" s="95" t="s">
        <v>46</v>
      </c>
      <c r="GP5" s="354">
        <v>9.9999999999999995E-7</v>
      </c>
      <c r="GR5" s="95" t="s">
        <v>352</v>
      </c>
      <c r="GS5" s="356">
        <f>B39</f>
        <v>1.7000000000000001E-4</v>
      </c>
      <c r="GU5" s="95" t="s">
        <v>50</v>
      </c>
      <c r="GV5" s="95">
        <f>GV7</f>
        <v>5.0000000000000001E-3</v>
      </c>
      <c r="GX5" s="95" t="s">
        <v>50</v>
      </c>
      <c r="GY5" s="95">
        <f>GY7</f>
        <v>5.0000000000000001E-3</v>
      </c>
      <c r="HA5" s="95" t="s">
        <v>50</v>
      </c>
      <c r="HB5" s="95">
        <f>HB7</f>
        <v>5.0000000000000001E-3</v>
      </c>
      <c r="HD5" s="355" t="s">
        <v>51</v>
      </c>
      <c r="HE5" s="95">
        <v>15</v>
      </c>
      <c r="HF5" s="95" t="s">
        <v>25</v>
      </c>
    </row>
    <row r="6" spans="1:214" s="95" customFormat="1" x14ac:dyDescent="0.2">
      <c r="A6" s="426" t="s">
        <v>465</v>
      </c>
      <c r="B6" s="427">
        <v>0.74299999999999999</v>
      </c>
      <c r="C6" s="428"/>
      <c r="D6" s="95" t="s">
        <v>52</v>
      </c>
      <c r="E6" s="354">
        <f>0.693/E7</f>
        <v>1.6034243405830633E-3</v>
      </c>
      <c r="G6" s="95" t="s">
        <v>261</v>
      </c>
      <c r="H6" s="354">
        <f>B18</f>
        <v>1.04E-10</v>
      </c>
      <c r="I6" s="95" t="s">
        <v>64</v>
      </c>
      <c r="J6" s="95" t="s">
        <v>77</v>
      </c>
      <c r="K6" s="354">
        <f>B19</f>
        <v>2.17E-10</v>
      </c>
      <c r="L6" s="95" t="s">
        <v>64</v>
      </c>
      <c r="M6" s="95" t="s">
        <v>61</v>
      </c>
      <c r="N6" s="95">
        <v>20</v>
      </c>
      <c r="O6" s="95" t="s">
        <v>62</v>
      </c>
      <c r="P6" s="95" t="s">
        <v>61</v>
      </c>
      <c r="Q6" s="95">
        <v>20</v>
      </c>
      <c r="R6" s="95" t="s">
        <v>62</v>
      </c>
      <c r="S6" s="95" t="s">
        <v>61</v>
      </c>
      <c r="T6" s="95">
        <v>20</v>
      </c>
      <c r="U6" s="95" t="s">
        <v>62</v>
      </c>
      <c r="V6" s="95" t="s">
        <v>52</v>
      </c>
      <c r="W6" s="354">
        <f>0.693/W7</f>
        <v>1.6034243405830633E-3</v>
      </c>
      <c r="Y6" s="95" t="s">
        <v>52</v>
      </c>
      <c r="Z6" s="354">
        <f>0.693/Z7</f>
        <v>1.6034243405830633E-3</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20</v>
      </c>
      <c r="AT6" s="95" t="s">
        <v>62</v>
      </c>
      <c r="AU6" s="95" t="s">
        <v>61</v>
      </c>
      <c r="AV6" s="95">
        <v>20</v>
      </c>
      <c r="AW6" s="95" t="s">
        <v>62</v>
      </c>
      <c r="AX6" s="95" t="s">
        <v>61</v>
      </c>
      <c r="AY6" s="95">
        <v>20</v>
      </c>
      <c r="AZ6" s="95" t="s">
        <v>62</v>
      </c>
      <c r="BA6" s="95" t="s">
        <v>61</v>
      </c>
      <c r="BB6" s="95">
        <v>20</v>
      </c>
      <c r="BC6" s="95" t="s">
        <v>62</v>
      </c>
      <c r="BD6" s="95" t="s">
        <v>61</v>
      </c>
      <c r="BE6" s="95">
        <v>20</v>
      </c>
      <c r="BF6" s="95" t="s">
        <v>62</v>
      </c>
      <c r="BG6" s="95" t="s">
        <v>61</v>
      </c>
      <c r="BH6" s="95">
        <v>20</v>
      </c>
      <c r="BI6" s="95" t="s">
        <v>62</v>
      </c>
      <c r="BJ6" s="95" t="s">
        <v>61</v>
      </c>
      <c r="BK6" s="95">
        <v>1</v>
      </c>
      <c r="BL6" s="95" t="s">
        <v>62</v>
      </c>
      <c r="BM6" s="95" t="s">
        <v>61</v>
      </c>
      <c r="BN6" s="95">
        <v>1</v>
      </c>
      <c r="BO6" s="95" t="s">
        <v>62</v>
      </c>
      <c r="BP6" s="95" t="s">
        <v>61</v>
      </c>
      <c r="BQ6" s="95">
        <v>1</v>
      </c>
      <c r="BR6" s="95" t="s">
        <v>62</v>
      </c>
      <c r="BS6" s="95" t="s">
        <v>52</v>
      </c>
      <c r="BT6" s="354">
        <f>0.693/BT7</f>
        <v>1.6034243405830633E-3</v>
      </c>
      <c r="BV6" s="95" t="s">
        <v>261</v>
      </c>
      <c r="BW6" s="354">
        <f>H6</f>
        <v>1.04E-10</v>
      </c>
      <c r="BX6" s="95" t="s">
        <v>64</v>
      </c>
      <c r="BY6" s="95" t="s">
        <v>77</v>
      </c>
      <c r="BZ6" s="354">
        <f>K6</f>
        <v>2.17E-10</v>
      </c>
      <c r="CA6" s="95" t="s">
        <v>64</v>
      </c>
      <c r="CB6" s="95" t="s">
        <v>61</v>
      </c>
      <c r="CC6" s="95">
        <v>26</v>
      </c>
      <c r="CD6" s="95" t="s">
        <v>62</v>
      </c>
      <c r="CE6" s="95" t="s">
        <v>61</v>
      </c>
      <c r="CF6" s="95">
        <v>26</v>
      </c>
      <c r="CG6" s="95" t="s">
        <v>62</v>
      </c>
      <c r="CH6" s="95" t="s">
        <v>61</v>
      </c>
      <c r="CI6" s="95">
        <v>26</v>
      </c>
      <c r="CJ6" s="95" t="s">
        <v>62</v>
      </c>
      <c r="CK6" s="95" t="s">
        <v>415</v>
      </c>
      <c r="CL6" s="354">
        <f>E33</f>
        <v>1.34E-10</v>
      </c>
      <c r="CM6" s="95" t="s">
        <v>23</v>
      </c>
      <c r="CN6" s="95" t="s">
        <v>50</v>
      </c>
      <c r="CO6" s="95">
        <f>CO8</f>
        <v>5.0000000000000001E-3</v>
      </c>
      <c r="CQ6" s="95" t="s">
        <v>345</v>
      </c>
      <c r="CR6" s="357">
        <v>0.5</v>
      </c>
      <c r="CS6" s="95" t="s">
        <v>59</v>
      </c>
      <c r="CT6" s="95" t="s">
        <v>77</v>
      </c>
      <c r="CU6" s="354">
        <f>B19</f>
        <v>2.17E-10</v>
      </c>
      <c r="CV6" s="95" t="s">
        <v>64</v>
      </c>
      <c r="CW6" s="95" t="s">
        <v>52</v>
      </c>
      <c r="CX6" s="354">
        <f>0.693/CX7</f>
        <v>1.6034243405830633E-3</v>
      </c>
      <c r="CZ6" s="95" t="s">
        <v>261</v>
      </c>
      <c r="DA6" s="354">
        <f>B18</f>
        <v>1.04E-10</v>
      </c>
      <c r="DB6" s="95" t="s">
        <v>64</v>
      </c>
      <c r="DC6" s="95" t="s">
        <v>415</v>
      </c>
      <c r="DD6" s="354">
        <f>B28</f>
        <v>1.34E-10</v>
      </c>
      <c r="DE6" s="95" t="s">
        <v>64</v>
      </c>
      <c r="DF6" s="95" t="s">
        <v>56</v>
      </c>
      <c r="DG6" s="95">
        <f>(DG8*DG9*DG14*((1-EXP(-DG11*DG12))))/(DG13*DG11)</f>
        <v>9.0847184154504852</v>
      </c>
      <c r="DH6" s="95" t="s">
        <v>48</v>
      </c>
      <c r="DI6" s="95" t="s">
        <v>57</v>
      </c>
      <c r="DJ6" s="95">
        <f>DJ8</f>
        <v>0.26</v>
      </c>
      <c r="DL6" s="95" t="s">
        <v>57</v>
      </c>
      <c r="DM6" s="95">
        <f>DM8</f>
        <v>0.26</v>
      </c>
      <c r="DO6" s="95" t="s">
        <v>56</v>
      </c>
      <c r="DP6" s="95">
        <f>(DP8*DP9*DP14*((1-EXP(-DP11*DP12))))/(DP13*DP11)</f>
        <v>9.2940667982112686</v>
      </c>
      <c r="DQ6" s="95" t="s">
        <v>48</v>
      </c>
      <c r="DR6" s="95" t="s">
        <v>415</v>
      </c>
      <c r="DS6" s="354">
        <f>B28</f>
        <v>1.34E-10</v>
      </c>
      <c r="DT6" s="95" t="s">
        <v>64</v>
      </c>
      <c r="DU6" s="95" t="s">
        <v>58</v>
      </c>
      <c r="DV6" s="95">
        <v>92</v>
      </c>
      <c r="DW6" s="95" t="s">
        <v>59</v>
      </c>
      <c r="DX6" s="95" t="s">
        <v>57</v>
      </c>
      <c r="DY6" s="95">
        <f>DY8</f>
        <v>0.25</v>
      </c>
      <c r="EA6" s="95" t="s">
        <v>57</v>
      </c>
      <c r="EB6" s="95">
        <f>EB8</f>
        <v>0.25</v>
      </c>
      <c r="ED6" s="95" t="s">
        <v>57</v>
      </c>
      <c r="EE6" s="95">
        <f>EE8</f>
        <v>0.25</v>
      </c>
      <c r="EG6" s="95" t="s">
        <v>415</v>
      </c>
      <c r="EH6" s="354">
        <f>B28</f>
        <v>1.34E-10</v>
      </c>
      <c r="EI6" s="95" t="s">
        <v>64</v>
      </c>
      <c r="EJ6" s="95" t="s">
        <v>60</v>
      </c>
      <c r="EK6" s="95">
        <v>53</v>
      </c>
      <c r="EL6" s="95" t="s">
        <v>59</v>
      </c>
      <c r="EM6" s="95" t="s">
        <v>57</v>
      </c>
      <c r="EN6" s="95">
        <f>EN8</f>
        <v>0.25</v>
      </c>
      <c r="EP6" s="95" t="s">
        <v>57</v>
      </c>
      <c r="EQ6" s="95">
        <f>EQ8</f>
        <v>0.25</v>
      </c>
      <c r="ES6" s="95" t="s">
        <v>57</v>
      </c>
      <c r="ET6" s="95">
        <f>ET8</f>
        <v>0.25</v>
      </c>
      <c r="EV6" s="95" t="s">
        <v>415</v>
      </c>
      <c r="EW6" s="354">
        <f>B28</f>
        <v>1.34E-10</v>
      </c>
      <c r="EX6" s="95" t="s">
        <v>64</v>
      </c>
      <c r="EY6" s="95" t="s">
        <v>297</v>
      </c>
      <c r="EZ6" s="95">
        <v>0.4</v>
      </c>
      <c r="FA6" s="95" t="s">
        <v>59</v>
      </c>
      <c r="FB6" s="95" t="s">
        <v>57</v>
      </c>
      <c r="FC6" s="95">
        <f>FC8</f>
        <v>0.25</v>
      </c>
      <c r="FE6" s="95" t="s">
        <v>57</v>
      </c>
      <c r="FF6" s="95">
        <f>FF8</f>
        <v>0.25</v>
      </c>
      <c r="FH6" s="95" t="s">
        <v>57</v>
      </c>
      <c r="FI6" s="95">
        <f>FI8</f>
        <v>0.25</v>
      </c>
      <c r="FK6" s="95" t="s">
        <v>415</v>
      </c>
      <c r="FL6" s="354">
        <f>B28</f>
        <v>1.34E-10</v>
      </c>
      <c r="FM6" s="95" t="s">
        <v>64</v>
      </c>
      <c r="FN6" s="95" t="s">
        <v>300</v>
      </c>
      <c r="FO6" s="357">
        <v>1</v>
      </c>
      <c r="FP6" s="95" t="s">
        <v>59</v>
      </c>
      <c r="FQ6" s="95" t="s">
        <v>322</v>
      </c>
      <c r="FR6" s="354">
        <v>8.1999999999999993</v>
      </c>
      <c r="FT6" s="95" t="s">
        <v>57</v>
      </c>
      <c r="FU6" s="95">
        <f>FU8</f>
        <v>0.25</v>
      </c>
      <c r="FW6" s="95" t="s">
        <v>57</v>
      </c>
      <c r="FX6" s="95">
        <f>FX8</f>
        <v>0.25</v>
      </c>
      <c r="FZ6" s="95" t="s">
        <v>415</v>
      </c>
      <c r="GA6" s="354">
        <f>B28</f>
        <v>1.34E-10</v>
      </c>
      <c r="GB6" s="95" t="s">
        <v>64</v>
      </c>
      <c r="GC6" s="95" t="s">
        <v>298</v>
      </c>
      <c r="GD6" s="95">
        <v>0.4</v>
      </c>
      <c r="GE6" s="95" t="s">
        <v>59</v>
      </c>
      <c r="GF6" s="95" t="s">
        <v>57</v>
      </c>
      <c r="GG6" s="95">
        <f>GG8</f>
        <v>0.25</v>
      </c>
      <c r="GI6" s="95" t="s">
        <v>57</v>
      </c>
      <c r="GJ6" s="95">
        <f>GJ8</f>
        <v>0.25</v>
      </c>
      <c r="GL6" s="95" t="s">
        <v>57</v>
      </c>
      <c r="GM6" s="95">
        <f>GM8</f>
        <v>0.25</v>
      </c>
      <c r="GO6" s="95" t="s">
        <v>415</v>
      </c>
      <c r="GP6" s="354">
        <f>B28</f>
        <v>1.34E-10</v>
      </c>
      <c r="GQ6" s="95" t="s">
        <v>64</v>
      </c>
      <c r="GR6" s="95" t="s">
        <v>299</v>
      </c>
      <c r="GS6" s="95">
        <v>11.4</v>
      </c>
      <c r="GT6" s="95" t="s">
        <v>59</v>
      </c>
      <c r="GU6" s="95" t="s">
        <v>57</v>
      </c>
      <c r="GV6" s="95">
        <f>GV8</f>
        <v>0.25</v>
      </c>
      <c r="GX6" s="95" t="s">
        <v>57</v>
      </c>
      <c r="GY6" s="95">
        <f>GY8</f>
        <v>0.25</v>
      </c>
      <c r="HA6" s="95" t="s">
        <v>57</v>
      </c>
      <c r="HB6" s="95">
        <f>HB8</f>
        <v>0.25</v>
      </c>
      <c r="HD6" s="95" t="s">
        <v>17</v>
      </c>
      <c r="HE6" s="354">
        <f>H3</f>
        <v>3.9693501333869849</v>
      </c>
      <c r="HF6" s="95" t="s">
        <v>25</v>
      </c>
    </row>
    <row r="7" spans="1:214" s="95" customFormat="1" x14ac:dyDescent="0.2">
      <c r="A7" s="426" t="s">
        <v>466</v>
      </c>
      <c r="B7" s="427">
        <v>1.35E-4</v>
      </c>
      <c r="C7" s="428"/>
      <c r="D7" s="95" t="s">
        <v>448</v>
      </c>
      <c r="E7" s="354">
        <f>B29</f>
        <v>432.2</v>
      </c>
      <c r="F7" s="95" t="s">
        <v>129</v>
      </c>
      <c r="G7" s="95" t="s">
        <v>75</v>
      </c>
      <c r="H7" s="354">
        <f>B17</f>
        <v>2.81E-8</v>
      </c>
      <c r="I7" s="95" t="s">
        <v>64</v>
      </c>
      <c r="J7" s="95" t="s">
        <v>75</v>
      </c>
      <c r="K7" s="354">
        <f>B17</f>
        <v>2.81E-8</v>
      </c>
      <c r="L7" s="95" t="s">
        <v>64</v>
      </c>
      <c r="M7" s="95" t="s">
        <v>52</v>
      </c>
      <c r="N7" s="354">
        <f>0.693/N8</f>
        <v>1.6034243405830633E-3</v>
      </c>
      <c r="P7" s="95" t="s">
        <v>52</v>
      </c>
      <c r="Q7" s="354">
        <f>0.693/Q8</f>
        <v>1.6034243405830633E-3</v>
      </c>
      <c r="S7" s="95" t="s">
        <v>52</v>
      </c>
      <c r="T7" s="354">
        <f>0.693/T8</f>
        <v>1.6034243405830633E-3</v>
      </c>
      <c r="V7" s="95" t="s">
        <v>448</v>
      </c>
      <c r="W7" s="354">
        <f>B29</f>
        <v>432.2</v>
      </c>
      <c r="X7" s="95" t="s">
        <v>129</v>
      </c>
      <c r="Y7" s="95" t="s">
        <v>448</v>
      </c>
      <c r="Z7" s="354">
        <f>B29</f>
        <v>432.2</v>
      </c>
      <c r="AA7" s="95" t="s">
        <v>129</v>
      </c>
      <c r="AB7" s="95" t="s">
        <v>69</v>
      </c>
      <c r="AC7" s="95">
        <v>130</v>
      </c>
      <c r="AD7" s="95">
        <v>130</v>
      </c>
      <c r="AE7" s="95">
        <v>130</v>
      </c>
      <c r="AF7" s="95">
        <f>AF12*AF13</f>
        <v>130</v>
      </c>
      <c r="AG7" s="95">
        <f>AG12*AG13</f>
        <v>130</v>
      </c>
      <c r="AH7" s="95" t="s">
        <v>55</v>
      </c>
      <c r="AI7" s="95" t="s">
        <v>52</v>
      </c>
      <c r="AJ7" s="354">
        <f>0.693/AJ8</f>
        <v>1.6034243405830633E-3</v>
      </c>
      <c r="AL7" s="95" t="s">
        <v>52</v>
      </c>
      <c r="AM7" s="354">
        <f>0.693/AM8</f>
        <v>1.6034243405830633E-3</v>
      </c>
      <c r="AO7" s="95" t="s">
        <v>52</v>
      </c>
      <c r="AP7" s="354">
        <f>0.693/AP8</f>
        <v>1.6034243405830633E-3</v>
      </c>
      <c r="AR7" s="95" t="s">
        <v>52</v>
      </c>
      <c r="AS7" s="354">
        <f>0.693/AS8</f>
        <v>1.6034243405830633E-3</v>
      </c>
      <c r="AU7" s="95" t="s">
        <v>52</v>
      </c>
      <c r="AV7" s="354">
        <f>0.693/AV8</f>
        <v>1.6034243405830633E-3</v>
      </c>
      <c r="AX7" s="95" t="s">
        <v>52</v>
      </c>
      <c r="AY7" s="354">
        <f>0.693/AY8</f>
        <v>1.6034243405830633E-3</v>
      </c>
      <c r="BA7" s="95" t="s">
        <v>52</v>
      </c>
      <c r="BB7" s="354">
        <f>0.693/BB8</f>
        <v>1.6034243405830633E-3</v>
      </c>
      <c r="BD7" s="95" t="s">
        <v>52</v>
      </c>
      <c r="BE7" s="354">
        <f>0.693/BE8</f>
        <v>1.6034243405830633E-3</v>
      </c>
      <c r="BG7" s="95" t="s">
        <v>52</v>
      </c>
      <c r="BH7" s="354">
        <f>0.693/BH8</f>
        <v>1.6034243405830633E-3</v>
      </c>
      <c r="BJ7" s="95" t="s">
        <v>52</v>
      </c>
      <c r="BK7" s="354">
        <f>0.693/BK8</f>
        <v>1.6034243405830633E-3</v>
      </c>
      <c r="BM7" s="95" t="s">
        <v>52</v>
      </c>
      <c r="BN7" s="354">
        <f>0.693/BN8</f>
        <v>1.6034243405830633E-3</v>
      </c>
      <c r="BP7" s="95" t="s">
        <v>52</v>
      </c>
      <c r="BQ7" s="354">
        <f>0.693/BQ8</f>
        <v>1.6034243405830633E-3</v>
      </c>
      <c r="BS7" s="95" t="s">
        <v>448</v>
      </c>
      <c r="BT7" s="354">
        <f>B29</f>
        <v>432.2</v>
      </c>
      <c r="BU7" s="95" t="s">
        <v>129</v>
      </c>
      <c r="BV7" s="95" t="s">
        <v>75</v>
      </c>
      <c r="BW7" s="354">
        <f>E10</f>
        <v>2.81E-8</v>
      </c>
      <c r="BX7" s="95" t="s">
        <v>64</v>
      </c>
      <c r="BY7" s="95" t="s">
        <v>75</v>
      </c>
      <c r="BZ7" s="354">
        <f>E10</f>
        <v>2.81E-8</v>
      </c>
      <c r="CA7" s="95" t="s">
        <v>64</v>
      </c>
      <c r="CB7" s="95" t="s">
        <v>52</v>
      </c>
      <c r="CC7" s="354">
        <f>0.693/CC8</f>
        <v>1.6034243405830633E-3</v>
      </c>
      <c r="CE7" s="95" t="s">
        <v>52</v>
      </c>
      <c r="CF7" s="354">
        <f>0.693/CF8</f>
        <v>1.6034243405830633E-3</v>
      </c>
      <c r="CH7" s="95" t="s">
        <v>52</v>
      </c>
      <c r="CI7" s="354">
        <f>0.693/CI8</f>
        <v>1.6034243405830633E-3</v>
      </c>
      <c r="CK7" s="95" t="s">
        <v>238</v>
      </c>
      <c r="CL7" s="95">
        <v>80</v>
      </c>
      <c r="CM7" s="95" t="s">
        <v>268</v>
      </c>
      <c r="CN7" s="95" t="s">
        <v>57</v>
      </c>
      <c r="CO7" s="95">
        <f>CO9</f>
        <v>0.25</v>
      </c>
      <c r="CR7" s="95">
        <v>1000</v>
      </c>
      <c r="CS7" s="95" t="s">
        <v>230</v>
      </c>
      <c r="CT7" s="95" t="s">
        <v>75</v>
      </c>
      <c r="CU7" s="354">
        <f>B17</f>
        <v>2.81E-8</v>
      </c>
      <c r="CV7" s="95" t="s">
        <v>64</v>
      </c>
      <c r="CW7" s="95" t="s">
        <v>448</v>
      </c>
      <c r="CX7" s="354">
        <f>B29</f>
        <v>432.2</v>
      </c>
      <c r="CY7" s="95" t="s">
        <v>129</v>
      </c>
      <c r="CZ7" s="95" t="s">
        <v>75</v>
      </c>
      <c r="DA7" s="354">
        <f>B17</f>
        <v>2.81E-8</v>
      </c>
      <c r="DB7" s="95" t="s">
        <v>64</v>
      </c>
      <c r="DC7" s="95" t="s">
        <v>142</v>
      </c>
      <c r="DD7" s="358">
        <f>(DD5)/(DD6*(DD8+DD11)*DD21)</f>
        <v>3.0837547798199083E-2</v>
      </c>
      <c r="DE7" s="95" t="s">
        <v>23</v>
      </c>
      <c r="DF7" s="95" t="s">
        <v>65</v>
      </c>
      <c r="DG7" s="95">
        <f>(DG8*DG9*DG15*DG21*((1-EXP(-DG16*DG17))))/(DG18*DG16)</f>
        <v>3.6421488784670224</v>
      </c>
      <c r="DH7" s="95" t="s">
        <v>48</v>
      </c>
      <c r="DI7" s="95" t="s">
        <v>66</v>
      </c>
      <c r="DJ7" s="95">
        <f>B40</f>
        <v>5.0000000000000002E-5</v>
      </c>
      <c r="DL7" s="95" t="s">
        <v>66</v>
      </c>
      <c r="DM7" s="95">
        <f>B40</f>
        <v>5.0000000000000002E-5</v>
      </c>
      <c r="DO7" s="95" t="s">
        <v>65</v>
      </c>
      <c r="DP7" s="95">
        <f>(DP8*DP9*DP15*DP21*((1-EXP(-DP16*DP17))))/(DP18*DP16)</f>
        <v>3.6424203206347228</v>
      </c>
      <c r="DQ7" s="95" t="s">
        <v>48</v>
      </c>
      <c r="DR7" s="95" t="s">
        <v>142</v>
      </c>
      <c r="DS7" s="358">
        <f>DS5/(DS6*DS8*DS17)</f>
        <v>1.3568521031207597E-2</v>
      </c>
      <c r="DT7" s="95" t="s">
        <v>23</v>
      </c>
      <c r="DX7" s="95" t="s">
        <v>67</v>
      </c>
      <c r="DY7" s="354">
        <f>B43</f>
        <v>5.0000000000000001E-3</v>
      </c>
      <c r="EA7" s="95" t="s">
        <v>67</v>
      </c>
      <c r="EB7" s="354">
        <f>B43</f>
        <v>5.0000000000000001E-3</v>
      </c>
      <c r="ED7" s="95" t="s">
        <v>67</v>
      </c>
      <c r="EE7" s="354">
        <f>B43</f>
        <v>5.0000000000000001E-3</v>
      </c>
      <c r="EG7" s="95" t="s">
        <v>142</v>
      </c>
      <c r="EH7" s="358">
        <f>EH5/(EH6*EH8*EH17)</f>
        <v>6.1675095596398166E-2</v>
      </c>
      <c r="EI7" s="95" t="s">
        <v>23</v>
      </c>
      <c r="EM7" s="95" t="s">
        <v>67</v>
      </c>
      <c r="EN7" s="354">
        <f>B43</f>
        <v>5.0000000000000001E-3</v>
      </c>
      <c r="EP7" s="95" t="s">
        <v>67</v>
      </c>
      <c r="EQ7" s="354">
        <f>B43</f>
        <v>5.0000000000000001E-3</v>
      </c>
      <c r="ES7" s="95" t="s">
        <v>67</v>
      </c>
      <c r="ET7" s="354">
        <f>B43</f>
        <v>5.0000000000000001E-3</v>
      </c>
      <c r="EV7" s="95" t="s">
        <v>142</v>
      </c>
      <c r="EW7" s="358">
        <f>EW5/(EW6*EW8*EW17)</f>
        <v>6.1675095596398166E-2</v>
      </c>
      <c r="EX7" s="95" t="s">
        <v>23</v>
      </c>
      <c r="EZ7" s="95">
        <v>1000</v>
      </c>
      <c r="FA7" s="95" t="s">
        <v>230</v>
      </c>
      <c r="FB7" s="95" t="s">
        <v>67</v>
      </c>
      <c r="FC7" s="354">
        <f>B43</f>
        <v>5.0000000000000001E-3</v>
      </c>
      <c r="FE7" s="95" t="s">
        <v>67</v>
      </c>
      <c r="FF7" s="354">
        <f>B43</f>
        <v>5.0000000000000001E-3</v>
      </c>
      <c r="FH7" s="95" t="s">
        <v>67</v>
      </c>
      <c r="FI7" s="354">
        <f>B43</f>
        <v>5.0000000000000001E-3</v>
      </c>
      <c r="FK7" s="95" t="s">
        <v>142</v>
      </c>
      <c r="FL7" s="358">
        <f>FL5/(FL6*FL8*FL17)</f>
        <v>6.1675095596398166E-2</v>
      </c>
      <c r="FM7" s="95" t="s">
        <v>23</v>
      </c>
      <c r="FO7" s="95">
        <v>1000</v>
      </c>
      <c r="FP7" s="95" t="s">
        <v>230</v>
      </c>
      <c r="FT7" s="95" t="s">
        <v>67</v>
      </c>
      <c r="FU7" s="354">
        <f>B43</f>
        <v>5.0000000000000001E-3</v>
      </c>
      <c r="FW7" s="95" t="s">
        <v>67</v>
      </c>
      <c r="FX7" s="354">
        <f>B43</f>
        <v>5.0000000000000001E-3</v>
      </c>
      <c r="FZ7" s="95" t="s">
        <v>142</v>
      </c>
      <c r="GA7" s="358">
        <f>GA5/(GA6*GA8*GA17)</f>
        <v>6.1675095596398166E-2</v>
      </c>
      <c r="GB7" s="95" t="s">
        <v>23</v>
      </c>
      <c r="GD7" s="95">
        <v>1000</v>
      </c>
      <c r="GE7" s="95" t="s">
        <v>230</v>
      </c>
      <c r="GF7" s="95" t="s">
        <v>67</v>
      </c>
      <c r="GG7" s="354">
        <f>B43</f>
        <v>5.0000000000000001E-3</v>
      </c>
      <c r="GI7" s="95" t="s">
        <v>67</v>
      </c>
      <c r="GJ7" s="354">
        <f>B43</f>
        <v>5.0000000000000001E-3</v>
      </c>
      <c r="GL7" s="95" t="s">
        <v>67</v>
      </c>
      <c r="GM7" s="354">
        <f>B43</f>
        <v>5.0000000000000001E-3</v>
      </c>
      <c r="GO7" s="95" t="s">
        <v>142</v>
      </c>
      <c r="GP7" s="358">
        <f>GP5/(GP6*GP8*GP16)</f>
        <v>6.1675095596398166E-2</v>
      </c>
      <c r="GQ7" s="95" t="s">
        <v>23</v>
      </c>
      <c r="GS7" s="95">
        <v>1000</v>
      </c>
      <c r="GT7" s="95" t="s">
        <v>230</v>
      </c>
      <c r="GU7" s="95" t="s">
        <v>67</v>
      </c>
      <c r="GV7" s="354">
        <f>B43</f>
        <v>5.0000000000000001E-3</v>
      </c>
      <c r="GX7" s="95" t="s">
        <v>67</v>
      </c>
      <c r="GY7" s="354">
        <f>B43</f>
        <v>5.0000000000000001E-3</v>
      </c>
      <c r="HA7" s="95" t="s">
        <v>67</v>
      </c>
      <c r="HB7" s="354">
        <f>B43</f>
        <v>5.0000000000000001E-3</v>
      </c>
      <c r="HD7" s="95" t="s">
        <v>52</v>
      </c>
      <c r="HE7" s="354">
        <f>0.693/HE8</f>
        <v>1.6034243405830633E-3</v>
      </c>
    </row>
    <row r="8" spans="1:214" s="95" customFormat="1" x14ac:dyDescent="0.2">
      <c r="A8" s="426" t="s">
        <v>467</v>
      </c>
      <c r="B8" s="427">
        <v>0.71099999999999997</v>
      </c>
      <c r="C8" s="428"/>
      <c r="D8" s="95" t="s">
        <v>54</v>
      </c>
      <c r="E8" s="95">
        <v>55</v>
      </c>
      <c r="F8" s="95" t="s">
        <v>63</v>
      </c>
      <c r="G8" s="95" t="s">
        <v>409</v>
      </c>
      <c r="H8" s="354">
        <f>B27</f>
        <v>1.3299999999999999E-13</v>
      </c>
      <c r="I8" s="95" t="s">
        <v>64</v>
      </c>
      <c r="J8" s="95" t="s">
        <v>131</v>
      </c>
      <c r="K8" s="354">
        <f>B21</f>
        <v>2.7599999999999999E-8</v>
      </c>
      <c r="L8" s="95" t="s">
        <v>163</v>
      </c>
      <c r="M8" s="95" t="s">
        <v>448</v>
      </c>
      <c r="N8" s="354">
        <f>B29</f>
        <v>432.2</v>
      </c>
      <c r="O8" s="95" t="s">
        <v>129</v>
      </c>
      <c r="P8" s="95" t="s">
        <v>448</v>
      </c>
      <c r="Q8" s="354">
        <f>B29</f>
        <v>432.2</v>
      </c>
      <c r="R8" s="95" t="s">
        <v>129</v>
      </c>
      <c r="S8" s="95" t="s">
        <v>448</v>
      </c>
      <c r="T8" s="354">
        <f>B29</f>
        <v>432.2</v>
      </c>
      <c r="U8" s="95" t="s">
        <v>129</v>
      </c>
      <c r="V8" s="95" t="s">
        <v>54</v>
      </c>
      <c r="W8" s="95">
        <v>130</v>
      </c>
      <c r="X8" s="95" t="s">
        <v>63</v>
      </c>
      <c r="Y8" s="95" t="s">
        <v>54</v>
      </c>
      <c r="Z8" s="95">
        <v>200</v>
      </c>
      <c r="AA8" s="95" t="s">
        <v>63</v>
      </c>
      <c r="AB8" s="95" t="s">
        <v>77</v>
      </c>
      <c r="AC8" s="354">
        <f>B20</f>
        <v>9.0999999999999996E-11</v>
      </c>
      <c r="AD8" s="354">
        <f>B20</f>
        <v>9.0999999999999996E-11</v>
      </c>
      <c r="AE8" s="354">
        <f>B20</f>
        <v>9.0999999999999996E-11</v>
      </c>
      <c r="AF8" s="354">
        <f>B20</f>
        <v>9.0999999999999996E-11</v>
      </c>
      <c r="AG8" s="354">
        <f>B20</f>
        <v>9.0999999999999996E-11</v>
      </c>
      <c r="AH8" s="95" t="s">
        <v>64</v>
      </c>
      <c r="AI8" s="95" t="s">
        <v>448</v>
      </c>
      <c r="AJ8" s="354">
        <f>B29</f>
        <v>432.2</v>
      </c>
      <c r="AK8" s="95" t="s">
        <v>129</v>
      </c>
      <c r="AL8" s="95" t="s">
        <v>448</v>
      </c>
      <c r="AM8" s="354">
        <f>B29</f>
        <v>432.2</v>
      </c>
      <c r="AN8" s="95" t="s">
        <v>129</v>
      </c>
      <c r="AO8" s="95" t="s">
        <v>448</v>
      </c>
      <c r="AP8" s="354">
        <f>B29</f>
        <v>432.2</v>
      </c>
      <c r="AQ8" s="95" t="s">
        <v>129</v>
      </c>
      <c r="AR8" s="95" t="s">
        <v>448</v>
      </c>
      <c r="AS8" s="354">
        <f>B29</f>
        <v>432.2</v>
      </c>
      <c r="AT8" s="95" t="s">
        <v>129</v>
      </c>
      <c r="AU8" s="95" t="s">
        <v>448</v>
      </c>
      <c r="AV8" s="354">
        <f>B29</f>
        <v>432.2</v>
      </c>
      <c r="AW8" s="95" t="s">
        <v>129</v>
      </c>
      <c r="AX8" s="95" t="s">
        <v>448</v>
      </c>
      <c r="AY8" s="354">
        <f>B29</f>
        <v>432.2</v>
      </c>
      <c r="AZ8" s="95" t="s">
        <v>129</v>
      </c>
      <c r="BA8" s="95" t="s">
        <v>448</v>
      </c>
      <c r="BB8" s="354">
        <f>B29</f>
        <v>432.2</v>
      </c>
      <c r="BC8" s="95" t="s">
        <v>129</v>
      </c>
      <c r="BD8" s="95" t="s">
        <v>448</v>
      </c>
      <c r="BE8" s="354">
        <f>B29</f>
        <v>432.2</v>
      </c>
      <c r="BF8" s="95" t="s">
        <v>129</v>
      </c>
      <c r="BG8" s="95" t="s">
        <v>448</v>
      </c>
      <c r="BH8" s="354">
        <f>B29</f>
        <v>432.2</v>
      </c>
      <c r="BI8" s="95" t="s">
        <v>129</v>
      </c>
      <c r="BJ8" s="95" t="s">
        <v>448</v>
      </c>
      <c r="BK8" s="354">
        <f>B29</f>
        <v>432.2</v>
      </c>
      <c r="BL8" s="95" t="s">
        <v>129</v>
      </c>
      <c r="BM8" s="95" t="s">
        <v>448</v>
      </c>
      <c r="BN8" s="354">
        <f>B29</f>
        <v>432.2</v>
      </c>
      <c r="BO8" s="95" t="s">
        <v>129</v>
      </c>
      <c r="BP8" s="95" t="s">
        <v>448</v>
      </c>
      <c r="BQ8" s="354">
        <f>B29</f>
        <v>432.2</v>
      </c>
      <c r="BR8" s="95" t="s">
        <v>129</v>
      </c>
      <c r="BS8" s="95" t="s">
        <v>54</v>
      </c>
      <c r="BT8" s="95">
        <v>75</v>
      </c>
      <c r="BU8" s="95" t="s">
        <v>63</v>
      </c>
      <c r="BV8" s="95" t="s">
        <v>409</v>
      </c>
      <c r="BW8" s="354">
        <f>H8</f>
        <v>1.3299999999999999E-13</v>
      </c>
      <c r="BX8" s="95" t="s">
        <v>64</v>
      </c>
      <c r="BY8" s="95" t="s">
        <v>131</v>
      </c>
      <c r="BZ8" s="354">
        <f>K8</f>
        <v>2.7599999999999999E-8</v>
      </c>
      <c r="CA8" s="95" t="s">
        <v>163</v>
      </c>
      <c r="CB8" s="95" t="s">
        <v>448</v>
      </c>
      <c r="CC8" s="354">
        <f>B29</f>
        <v>432.2</v>
      </c>
      <c r="CD8" s="95" t="s">
        <v>129</v>
      </c>
      <c r="CE8" s="95" t="s">
        <v>448</v>
      </c>
      <c r="CF8" s="354">
        <f>B29</f>
        <v>432.2</v>
      </c>
      <c r="CG8" s="95" t="s">
        <v>129</v>
      </c>
      <c r="CH8" s="95" t="s">
        <v>448</v>
      </c>
      <c r="CI8" s="354">
        <f>B29</f>
        <v>432.2</v>
      </c>
      <c r="CJ8" s="95" t="s">
        <v>129</v>
      </c>
      <c r="CK8" s="95" t="s">
        <v>107</v>
      </c>
      <c r="CL8" s="95">
        <v>26</v>
      </c>
      <c r="CM8" s="95" t="s">
        <v>276</v>
      </c>
      <c r="CN8" s="95" t="s">
        <v>67</v>
      </c>
      <c r="CO8" s="354">
        <f>B43</f>
        <v>5.0000000000000001E-3</v>
      </c>
      <c r="CT8" s="95" t="s">
        <v>131</v>
      </c>
      <c r="CU8" s="354">
        <f>B21</f>
        <v>2.7599999999999999E-8</v>
      </c>
      <c r="CV8" s="95" t="s">
        <v>163</v>
      </c>
      <c r="CW8" s="95" t="s">
        <v>54</v>
      </c>
      <c r="CX8" s="95">
        <v>250</v>
      </c>
      <c r="CY8" s="95" t="s">
        <v>63</v>
      </c>
      <c r="CZ8" s="95" t="s">
        <v>257</v>
      </c>
      <c r="DA8" s="359">
        <f>B27</f>
        <v>1.3299999999999999E-13</v>
      </c>
      <c r="DB8" s="95" t="s">
        <v>64</v>
      </c>
      <c r="DC8" s="95" t="s">
        <v>485</v>
      </c>
      <c r="DD8" s="360">
        <f>(DD9*DD15*DD16)+(DD10*DD14*DD17)</f>
        <v>121000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550000</v>
      </c>
      <c r="DT8" s="95" t="s">
        <v>230</v>
      </c>
      <c r="DX8" s="95" t="s">
        <v>73</v>
      </c>
      <c r="DY8" s="95">
        <v>0.25</v>
      </c>
      <c r="EA8" s="95" t="s">
        <v>73</v>
      </c>
      <c r="EB8" s="95">
        <v>0.25</v>
      </c>
      <c r="ED8" s="95" t="s">
        <v>73</v>
      </c>
      <c r="EE8" s="95">
        <v>0.25</v>
      </c>
      <c r="EG8" s="95" t="s">
        <v>284</v>
      </c>
      <c r="EH8" s="360">
        <f>(EH13*EH11*EH9)+(EH14*EH12*EH10)</f>
        <v>121000</v>
      </c>
      <c r="EI8" s="95" t="s">
        <v>230</v>
      </c>
      <c r="EM8" s="95" t="s">
        <v>73</v>
      </c>
      <c r="EN8" s="95">
        <v>0.25</v>
      </c>
      <c r="EP8" s="95" t="s">
        <v>73</v>
      </c>
      <c r="EQ8" s="95">
        <v>0.25</v>
      </c>
      <c r="ES8" s="95" t="s">
        <v>73</v>
      </c>
      <c r="ET8" s="95">
        <v>0.25</v>
      </c>
      <c r="EV8" s="95" t="s">
        <v>286</v>
      </c>
      <c r="EW8" s="360">
        <f>(EW11*EW13*EW9)+(EW12*EW14*EW10)</f>
        <v>121000</v>
      </c>
      <c r="EX8" s="95" t="s">
        <v>230</v>
      </c>
      <c r="FB8" s="95" t="s">
        <v>316</v>
      </c>
      <c r="FC8" s="95">
        <v>0.25</v>
      </c>
      <c r="FE8" s="95" t="s">
        <v>316</v>
      </c>
      <c r="FF8" s="95">
        <v>0.25</v>
      </c>
      <c r="FH8" s="95" t="s">
        <v>316</v>
      </c>
      <c r="FI8" s="95">
        <v>0.25</v>
      </c>
      <c r="FK8" s="95" t="s">
        <v>289</v>
      </c>
      <c r="FL8" s="361">
        <f>(FL13*FL9*FL11)+(FL14*FL10*FL12)</f>
        <v>121000</v>
      </c>
      <c r="FM8" s="95" t="s">
        <v>230</v>
      </c>
      <c r="FT8" s="95" t="s">
        <v>311</v>
      </c>
      <c r="FU8" s="95">
        <v>0.25</v>
      </c>
      <c r="FW8" s="95" t="s">
        <v>311</v>
      </c>
      <c r="FX8" s="95">
        <v>0.25</v>
      </c>
      <c r="FZ8" s="95" t="s">
        <v>292</v>
      </c>
      <c r="GA8" s="361">
        <f>(GA11*GA9*GA13)+(GA14*GA10*GA12)</f>
        <v>121000</v>
      </c>
      <c r="GB8" s="95" t="s">
        <v>230</v>
      </c>
      <c r="GF8" s="95" t="s">
        <v>305</v>
      </c>
      <c r="GG8" s="95">
        <v>0.25</v>
      </c>
      <c r="GI8" s="95" t="s">
        <v>305</v>
      </c>
      <c r="GJ8" s="95">
        <v>0.25</v>
      </c>
      <c r="GL8" s="95" t="s">
        <v>305</v>
      </c>
      <c r="GM8" s="95">
        <v>0.25</v>
      </c>
      <c r="GO8" s="95" t="s">
        <v>293</v>
      </c>
      <c r="GP8" s="360">
        <f>(GP13*GP9*GP11)+(GP14*GP10*GP12)</f>
        <v>121000</v>
      </c>
      <c r="GQ8" s="95" t="s">
        <v>230</v>
      </c>
      <c r="GU8" s="95" t="s">
        <v>310</v>
      </c>
      <c r="GV8" s="95">
        <v>0.25</v>
      </c>
      <c r="GX8" s="95" t="s">
        <v>310</v>
      </c>
      <c r="GY8" s="95">
        <v>0.25</v>
      </c>
      <c r="HA8" s="95" t="s">
        <v>310</v>
      </c>
      <c r="HB8" s="95">
        <v>0.25</v>
      </c>
      <c r="HD8" s="95" t="s">
        <v>448</v>
      </c>
      <c r="HE8" s="354">
        <f>B29</f>
        <v>432.2</v>
      </c>
      <c r="HF8" s="95" t="s">
        <v>129</v>
      </c>
    </row>
    <row r="9" spans="1:214" s="95" customFormat="1" x14ac:dyDescent="0.2">
      <c r="A9" s="426" t="s">
        <v>468</v>
      </c>
      <c r="B9" s="427">
        <v>2.2599999999999999E-4</v>
      </c>
      <c r="C9" s="428"/>
      <c r="D9" s="95" t="s">
        <v>68</v>
      </c>
      <c r="E9" s="95">
        <v>20</v>
      </c>
      <c r="F9" s="95" t="s">
        <v>62</v>
      </c>
      <c r="G9" s="95" t="s">
        <v>415</v>
      </c>
      <c r="H9" s="354">
        <f>B28</f>
        <v>1.34E-10</v>
      </c>
      <c r="I9" s="95" t="s">
        <v>64</v>
      </c>
      <c r="J9" s="95" t="s">
        <v>415</v>
      </c>
      <c r="K9" s="354">
        <f>B28</f>
        <v>1.34E-10</v>
      </c>
      <c r="L9" s="95" t="s">
        <v>64</v>
      </c>
      <c r="M9" s="95" t="s">
        <v>54</v>
      </c>
      <c r="N9" s="95">
        <v>55</v>
      </c>
      <c r="O9" s="95" t="s">
        <v>63</v>
      </c>
      <c r="P9" s="95" t="s">
        <v>54</v>
      </c>
      <c r="Q9" s="95">
        <v>55</v>
      </c>
      <c r="R9" s="95" t="s">
        <v>63</v>
      </c>
      <c r="S9" s="95" t="s">
        <v>54</v>
      </c>
      <c r="T9" s="95">
        <v>55</v>
      </c>
      <c r="U9" s="95" t="s">
        <v>63</v>
      </c>
      <c r="V9" s="95" t="s">
        <v>68</v>
      </c>
      <c r="W9" s="95">
        <v>25</v>
      </c>
      <c r="X9" s="95" t="s">
        <v>62</v>
      </c>
      <c r="Y9" s="95" t="s">
        <v>68</v>
      </c>
      <c r="Z9" s="95">
        <v>20</v>
      </c>
      <c r="AA9" s="95" t="s">
        <v>62</v>
      </c>
      <c r="AB9" s="95" t="s">
        <v>75</v>
      </c>
      <c r="AC9" s="354">
        <f>B17</f>
        <v>2.81E-8</v>
      </c>
      <c r="AD9" s="354">
        <f>B17</f>
        <v>2.81E-8</v>
      </c>
      <c r="AE9" s="354">
        <f>B17</f>
        <v>2.81E-8</v>
      </c>
      <c r="AF9" s="354">
        <f>B17</f>
        <v>2.81E-8</v>
      </c>
      <c r="AG9" s="354">
        <f>B17</f>
        <v>2.81E-8</v>
      </c>
      <c r="AH9" s="95" t="s">
        <v>64</v>
      </c>
      <c r="AI9" s="95" t="s">
        <v>54</v>
      </c>
      <c r="AJ9" s="95">
        <v>130</v>
      </c>
      <c r="AK9" s="95" t="s">
        <v>63</v>
      </c>
      <c r="AL9" s="95" t="s">
        <v>54</v>
      </c>
      <c r="AM9" s="95">
        <v>130</v>
      </c>
      <c r="AN9" s="95" t="s">
        <v>63</v>
      </c>
      <c r="AO9" s="95" t="s">
        <v>54</v>
      </c>
      <c r="AP9" s="95">
        <v>130</v>
      </c>
      <c r="AQ9" s="95" t="s">
        <v>63</v>
      </c>
      <c r="AR9" s="95" t="s">
        <v>54</v>
      </c>
      <c r="AS9" s="95">
        <v>200</v>
      </c>
      <c r="AT9" s="95" t="s">
        <v>63</v>
      </c>
      <c r="AU9" s="95" t="s">
        <v>54</v>
      </c>
      <c r="AV9" s="95">
        <v>200</v>
      </c>
      <c r="AW9" s="95" t="s">
        <v>63</v>
      </c>
      <c r="AX9" s="95" t="s">
        <v>54</v>
      </c>
      <c r="AY9" s="95">
        <v>200</v>
      </c>
      <c r="AZ9" s="95" t="s">
        <v>63</v>
      </c>
      <c r="BA9" s="95" t="s">
        <v>54</v>
      </c>
      <c r="BB9" s="95">
        <v>200</v>
      </c>
      <c r="BC9" s="95" t="s">
        <v>63</v>
      </c>
      <c r="BD9" s="95" t="s">
        <v>54</v>
      </c>
      <c r="BE9" s="95">
        <v>200</v>
      </c>
      <c r="BF9" s="95" t="s">
        <v>63</v>
      </c>
      <c r="BG9" s="95" t="s">
        <v>54</v>
      </c>
      <c r="BH9" s="95">
        <v>200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1.34E-10</v>
      </c>
      <c r="BX9" s="95" t="s">
        <v>64</v>
      </c>
      <c r="BY9" s="95" t="s">
        <v>164</v>
      </c>
      <c r="BZ9" s="354">
        <f>B30</f>
        <v>1359344473.5814338</v>
      </c>
      <c r="CA9" s="95" t="s">
        <v>165</v>
      </c>
      <c r="CB9" s="95" t="s">
        <v>54</v>
      </c>
      <c r="CC9" s="95">
        <v>80</v>
      </c>
      <c r="CD9" s="95" t="s">
        <v>63</v>
      </c>
      <c r="CE9" s="95" t="s">
        <v>54</v>
      </c>
      <c r="CF9" s="95">
        <v>80</v>
      </c>
      <c r="CG9" s="95" t="s">
        <v>63</v>
      </c>
      <c r="CH9" s="95" t="s">
        <v>54</v>
      </c>
      <c r="CI9" s="95">
        <v>80</v>
      </c>
      <c r="CJ9" s="95" t="s">
        <v>63</v>
      </c>
      <c r="CK9" s="95" t="s">
        <v>330</v>
      </c>
      <c r="CL9" s="357">
        <v>0.5</v>
      </c>
      <c r="CM9" s="95" t="s">
        <v>413</v>
      </c>
      <c r="CN9" s="95" t="s">
        <v>340</v>
      </c>
      <c r="CO9" s="357">
        <v>0.25</v>
      </c>
      <c r="CT9" s="95" t="s">
        <v>415</v>
      </c>
      <c r="CU9" s="354">
        <f>B28</f>
        <v>1.34E-10</v>
      </c>
      <c r="CV9" s="95" t="s">
        <v>64</v>
      </c>
      <c r="CW9" s="95" t="s">
        <v>68</v>
      </c>
      <c r="CX9" s="95">
        <v>40</v>
      </c>
      <c r="CY9" s="95" t="s">
        <v>62</v>
      </c>
      <c r="CZ9" s="95" t="s">
        <v>415</v>
      </c>
      <c r="DA9" s="354">
        <f>B28</f>
        <v>1.34E-10</v>
      </c>
      <c r="DB9" s="95" t="s">
        <v>64</v>
      </c>
      <c r="DC9" s="95" t="s">
        <v>97</v>
      </c>
      <c r="DD9" s="95">
        <v>55</v>
      </c>
      <c r="DE9" s="95" t="s">
        <v>413</v>
      </c>
      <c r="DF9" s="95" t="s">
        <v>79</v>
      </c>
      <c r="DG9" s="95">
        <v>0.25</v>
      </c>
      <c r="DH9" s="95" t="s">
        <v>80</v>
      </c>
      <c r="DO9" s="95" t="s">
        <v>79</v>
      </c>
      <c r="DP9" s="95">
        <v>0.25</v>
      </c>
      <c r="DQ9" s="95" t="s">
        <v>80</v>
      </c>
      <c r="DR9" s="95" t="s">
        <v>278</v>
      </c>
      <c r="DS9" s="95">
        <v>55</v>
      </c>
      <c r="DT9" s="95" t="s">
        <v>413</v>
      </c>
      <c r="DX9" s="95" t="s">
        <v>347</v>
      </c>
      <c r="DY9" s="354">
        <f>B35</f>
        <v>1.9999999999999999E-6</v>
      </c>
      <c r="EA9" s="95" t="s">
        <v>347</v>
      </c>
      <c r="EB9" s="354">
        <f>B35</f>
        <v>1.9999999999999999E-6</v>
      </c>
      <c r="ED9" s="95" t="s">
        <v>347</v>
      </c>
      <c r="EE9" s="354">
        <f>B35</f>
        <v>1.9999999999999999E-6</v>
      </c>
      <c r="EG9" s="95" t="s">
        <v>98</v>
      </c>
      <c r="EH9" s="95">
        <v>55</v>
      </c>
      <c r="EI9" s="95" t="s">
        <v>413</v>
      </c>
      <c r="EM9" s="95" t="s">
        <v>348</v>
      </c>
      <c r="EN9" s="354">
        <f>B36</f>
        <v>5.0000000000000002E-5</v>
      </c>
      <c r="EP9" s="95" t="s">
        <v>348</v>
      </c>
      <c r="EQ9" s="354">
        <f>B36</f>
        <v>5.0000000000000002E-5</v>
      </c>
      <c r="ES9" s="95" t="s">
        <v>348</v>
      </c>
      <c r="ET9" s="354">
        <f>B36</f>
        <v>5.0000000000000002E-5</v>
      </c>
      <c r="EV9" s="95" t="s">
        <v>287</v>
      </c>
      <c r="EW9" s="95">
        <v>55</v>
      </c>
      <c r="EX9" s="95" t="s">
        <v>413</v>
      </c>
      <c r="FB9" s="95" t="s">
        <v>349</v>
      </c>
      <c r="FC9" s="356">
        <f>B38</f>
        <v>4.0000000000000001E-3</v>
      </c>
      <c r="FE9" s="95" t="s">
        <v>349</v>
      </c>
      <c r="FF9" s="356">
        <f>B38</f>
        <v>4.0000000000000001E-3</v>
      </c>
      <c r="FH9" s="95" t="s">
        <v>349</v>
      </c>
      <c r="FI9" s="356">
        <f>B38</f>
        <v>4.0000000000000001E-3</v>
      </c>
      <c r="FK9" s="95" t="s">
        <v>254</v>
      </c>
      <c r="FL9" s="95">
        <v>55</v>
      </c>
      <c r="FM9" s="95" t="s">
        <v>413</v>
      </c>
      <c r="FT9" s="95" t="s">
        <v>350</v>
      </c>
      <c r="FU9" s="357">
        <v>1</v>
      </c>
      <c r="FW9" s="95" t="s">
        <v>350</v>
      </c>
      <c r="FX9" s="357">
        <v>1</v>
      </c>
      <c r="FZ9" s="95" t="s">
        <v>252</v>
      </c>
      <c r="GA9" s="362">
        <v>55</v>
      </c>
      <c r="GB9" s="95" t="s">
        <v>413</v>
      </c>
      <c r="GF9" s="95" t="s">
        <v>351</v>
      </c>
      <c r="GG9" s="356">
        <f>B37</f>
        <v>6.0000000000000001E-3</v>
      </c>
      <c r="GI9" s="95" t="s">
        <v>351</v>
      </c>
      <c r="GJ9" s="356">
        <f>B37</f>
        <v>6.0000000000000001E-3</v>
      </c>
      <c r="GL9" s="95" t="s">
        <v>351</v>
      </c>
      <c r="GM9" s="356">
        <f>B37</f>
        <v>6.0000000000000001E-3</v>
      </c>
      <c r="GO9" s="95" t="s">
        <v>295</v>
      </c>
      <c r="GP9" s="95">
        <v>55</v>
      </c>
      <c r="GQ9" s="95" t="s">
        <v>413</v>
      </c>
      <c r="GU9" s="95" t="s">
        <v>352</v>
      </c>
      <c r="GV9" s="356">
        <f>B39</f>
        <v>1.7000000000000001E-4</v>
      </c>
      <c r="GX9" s="95" t="s">
        <v>352</v>
      </c>
      <c r="GY9" s="356">
        <f>B39</f>
        <v>1.7000000000000001E-4</v>
      </c>
      <c r="HA9" s="95" t="s">
        <v>352</v>
      </c>
      <c r="HB9" s="356">
        <f>B39</f>
        <v>1.7000000000000001E-4</v>
      </c>
      <c r="HD9" s="95" t="s">
        <v>74</v>
      </c>
      <c r="HE9" s="95">
        <v>0.3</v>
      </c>
    </row>
    <row r="10" spans="1:214" s="95" customFormat="1" x14ac:dyDescent="0.2">
      <c r="A10" s="426" t="s">
        <v>469</v>
      </c>
      <c r="B10" s="427">
        <v>0.66200000000000003</v>
      </c>
      <c r="C10" s="428"/>
      <c r="D10" s="95" t="s">
        <v>75</v>
      </c>
      <c r="E10" s="354">
        <f>B17</f>
        <v>2.81E-8</v>
      </c>
      <c r="F10" s="95" t="s">
        <v>64</v>
      </c>
      <c r="G10" s="363" t="s">
        <v>142</v>
      </c>
      <c r="H10" s="364">
        <f>H5/(H6*H15)</f>
        <v>4.9950049950049946</v>
      </c>
      <c r="I10" s="365" t="s">
        <v>22</v>
      </c>
      <c r="J10" s="95" t="s">
        <v>164</v>
      </c>
      <c r="K10" s="354">
        <f>B30</f>
        <v>1359344473.5814338</v>
      </c>
      <c r="L10" s="95" t="s">
        <v>165</v>
      </c>
      <c r="M10" s="95" t="s">
        <v>68</v>
      </c>
      <c r="N10" s="95">
        <v>20</v>
      </c>
      <c r="O10" s="95" t="s">
        <v>62</v>
      </c>
      <c r="P10" s="95" t="s">
        <v>68</v>
      </c>
      <c r="Q10" s="95">
        <v>20</v>
      </c>
      <c r="R10" s="95" t="s">
        <v>62</v>
      </c>
      <c r="S10" s="95" t="s">
        <v>68</v>
      </c>
      <c r="T10" s="95">
        <v>20</v>
      </c>
      <c r="U10" s="95" t="s">
        <v>62</v>
      </c>
      <c r="V10" s="95" t="s">
        <v>75</v>
      </c>
      <c r="W10" s="354">
        <f>B17</f>
        <v>2.81E-8</v>
      </c>
      <c r="X10" s="95" t="s">
        <v>76</v>
      </c>
      <c r="Y10" s="95" t="s">
        <v>75</v>
      </c>
      <c r="Z10" s="354">
        <f>B17</f>
        <v>2.81E-8</v>
      </c>
      <c r="AA10" s="95" t="s">
        <v>76</v>
      </c>
      <c r="AB10" s="95" t="s">
        <v>472</v>
      </c>
      <c r="AC10" s="354">
        <f>B21</f>
        <v>2.7599999999999999E-8</v>
      </c>
      <c r="AD10" s="354">
        <f>B21</f>
        <v>2.7599999999999999E-8</v>
      </c>
      <c r="AE10" s="354">
        <f>B21</f>
        <v>2.7599999999999999E-8</v>
      </c>
      <c r="AF10" s="354">
        <f>B21</f>
        <v>2.7599999999999999E-8</v>
      </c>
      <c r="AG10" s="354">
        <f>B21</f>
        <v>2.7599999999999999E-8</v>
      </c>
      <c r="AH10" s="95" t="s">
        <v>163</v>
      </c>
      <c r="AI10" s="95" t="s">
        <v>68</v>
      </c>
      <c r="AJ10" s="95">
        <v>25</v>
      </c>
      <c r="AK10" s="95" t="s">
        <v>62</v>
      </c>
      <c r="AL10" s="95" t="s">
        <v>68</v>
      </c>
      <c r="AM10" s="95">
        <v>25</v>
      </c>
      <c r="AN10" s="95" t="s">
        <v>62</v>
      </c>
      <c r="AO10" s="95" t="s">
        <v>68</v>
      </c>
      <c r="AP10" s="95">
        <v>25</v>
      </c>
      <c r="AQ10" s="95" t="s">
        <v>62</v>
      </c>
      <c r="AR10" s="95" t="s">
        <v>68</v>
      </c>
      <c r="AS10" s="95">
        <v>20</v>
      </c>
      <c r="AT10" s="95" t="s">
        <v>62</v>
      </c>
      <c r="AU10" s="95" t="s">
        <v>68</v>
      </c>
      <c r="AV10" s="95">
        <v>20</v>
      </c>
      <c r="AW10" s="95" t="s">
        <v>62</v>
      </c>
      <c r="AX10" s="95" t="s">
        <v>68</v>
      </c>
      <c r="AY10" s="95">
        <v>20</v>
      </c>
      <c r="AZ10" s="95" t="s">
        <v>62</v>
      </c>
      <c r="BA10" s="95" t="s">
        <v>68</v>
      </c>
      <c r="BB10" s="95">
        <v>20</v>
      </c>
      <c r="BC10" s="95" t="s">
        <v>62</v>
      </c>
      <c r="BD10" s="95" t="s">
        <v>68</v>
      </c>
      <c r="BE10" s="95">
        <v>20</v>
      </c>
      <c r="BF10" s="95" t="s">
        <v>62</v>
      </c>
      <c r="BG10" s="95" t="s">
        <v>68</v>
      </c>
      <c r="BH10" s="95">
        <v>20</v>
      </c>
      <c r="BI10" s="95" t="s">
        <v>62</v>
      </c>
      <c r="BJ10" s="95" t="s">
        <v>411</v>
      </c>
      <c r="BK10" s="95">
        <v>50</v>
      </c>
      <c r="BL10" s="95" t="s">
        <v>426</v>
      </c>
      <c r="BM10" s="95" t="s">
        <v>411</v>
      </c>
      <c r="BN10" s="95">
        <v>50</v>
      </c>
      <c r="BO10" s="95" t="s">
        <v>426</v>
      </c>
      <c r="BP10" s="95" t="s">
        <v>411</v>
      </c>
      <c r="BQ10" s="95">
        <v>50</v>
      </c>
      <c r="BR10" s="95" t="s">
        <v>426</v>
      </c>
      <c r="BS10" s="95" t="s">
        <v>75</v>
      </c>
      <c r="BT10" s="354">
        <f>E10</f>
        <v>2.81E-8</v>
      </c>
      <c r="BU10" s="95" t="s">
        <v>64</v>
      </c>
      <c r="BV10" s="95" t="s">
        <v>142</v>
      </c>
      <c r="BW10" s="354">
        <f>BW5/(BW6*BW13)</f>
        <v>46.227810650887569</v>
      </c>
      <c r="BX10" s="95" t="s">
        <v>22</v>
      </c>
      <c r="BY10" s="95" t="s">
        <v>38</v>
      </c>
      <c r="BZ10" s="354">
        <f>(BZ33*BZ11)/(1-EXP(-BZ11*BZ33))</f>
        <v>1.0209893435208997</v>
      </c>
      <c r="CB10" s="95" t="s">
        <v>68</v>
      </c>
      <c r="CC10" s="95">
        <v>26</v>
      </c>
      <c r="CD10" s="95" t="s">
        <v>62</v>
      </c>
      <c r="CE10" s="95" t="s">
        <v>68</v>
      </c>
      <c r="CF10" s="95">
        <v>26</v>
      </c>
      <c r="CG10" s="95" t="s">
        <v>62</v>
      </c>
      <c r="CH10" s="95" t="s">
        <v>68</v>
      </c>
      <c r="CI10" s="95">
        <v>26</v>
      </c>
      <c r="CJ10" s="95" t="s">
        <v>62</v>
      </c>
      <c r="CN10" s="95" t="s">
        <v>338</v>
      </c>
      <c r="CO10" s="357">
        <v>0.5</v>
      </c>
      <c r="CP10" s="95" t="s">
        <v>479</v>
      </c>
      <c r="CT10" s="95" t="s">
        <v>164</v>
      </c>
      <c r="CU10" s="354">
        <f>B30</f>
        <v>1359344473.5814338</v>
      </c>
      <c r="CV10" s="95" t="s">
        <v>165</v>
      </c>
      <c r="CW10" s="95" t="s">
        <v>75</v>
      </c>
      <c r="CX10" s="354">
        <f>B17</f>
        <v>2.81E-8</v>
      </c>
      <c r="CY10" s="95" t="s">
        <v>64</v>
      </c>
      <c r="CZ10" s="95" t="s">
        <v>38</v>
      </c>
      <c r="DA10" s="354">
        <f>(DA35*DA11)/(1-EXP(-DA11*DA35))</f>
        <v>1.0324112592609469</v>
      </c>
      <c r="DC10" s="95" t="s">
        <v>118</v>
      </c>
      <c r="DD10" s="95">
        <v>55</v>
      </c>
      <c r="DE10" s="95" t="s">
        <v>413</v>
      </c>
      <c r="DF10" s="95" t="s">
        <v>66</v>
      </c>
      <c r="DG10" s="95">
        <f>B40</f>
        <v>5.0000000000000002E-5</v>
      </c>
      <c r="DO10" s="95" t="s">
        <v>66</v>
      </c>
      <c r="DP10" s="95">
        <f>B40</f>
        <v>5.0000000000000002E-5</v>
      </c>
      <c r="DR10" s="95" t="s">
        <v>279</v>
      </c>
      <c r="DS10" s="95">
        <v>55</v>
      </c>
      <c r="DT10" s="95" t="s">
        <v>413</v>
      </c>
      <c r="DX10" s="95" t="s">
        <v>89</v>
      </c>
      <c r="DY10" s="95">
        <v>16.899999999999999</v>
      </c>
      <c r="EA10" s="95" t="s">
        <v>89</v>
      </c>
      <c r="EB10" s="95">
        <v>16.899999999999999</v>
      </c>
      <c r="ED10" s="95" t="s">
        <v>89</v>
      </c>
      <c r="EE10" s="95">
        <v>16.899999999999999</v>
      </c>
      <c r="EG10" s="95" t="s">
        <v>119</v>
      </c>
      <c r="EH10" s="95">
        <v>55</v>
      </c>
      <c r="EI10" s="95" t="s">
        <v>413</v>
      </c>
      <c r="EM10" s="95" t="s">
        <v>90</v>
      </c>
      <c r="EN10" s="95">
        <v>11.77</v>
      </c>
      <c r="EP10" s="95" t="s">
        <v>90</v>
      </c>
      <c r="EQ10" s="95">
        <v>11.77</v>
      </c>
      <c r="ES10" s="95" t="s">
        <v>90</v>
      </c>
      <c r="ET10" s="95">
        <v>11.77</v>
      </c>
      <c r="EV10" s="95" t="s">
        <v>288</v>
      </c>
      <c r="EW10" s="95">
        <v>55</v>
      </c>
      <c r="EX10" s="95" t="s">
        <v>413</v>
      </c>
      <c r="FB10" s="95" t="s">
        <v>318</v>
      </c>
      <c r="FC10" s="95">
        <v>0.2</v>
      </c>
      <c r="FE10" s="95" t="s">
        <v>318</v>
      </c>
      <c r="FF10" s="95">
        <v>0.2</v>
      </c>
      <c r="FH10" s="95" t="s">
        <v>318</v>
      </c>
      <c r="FI10" s="95">
        <v>0.2</v>
      </c>
      <c r="FK10" s="95" t="s">
        <v>255</v>
      </c>
      <c r="FL10" s="95">
        <v>55</v>
      </c>
      <c r="FM10" s="95" t="s">
        <v>413</v>
      </c>
      <c r="FT10" s="95" t="s">
        <v>315</v>
      </c>
      <c r="FU10" s="357">
        <v>1</v>
      </c>
      <c r="FW10" s="95" t="s">
        <v>315</v>
      </c>
      <c r="FX10" s="357">
        <v>1</v>
      </c>
      <c r="FZ10" s="95" t="s">
        <v>253</v>
      </c>
      <c r="GA10" s="95">
        <v>55</v>
      </c>
      <c r="GB10" s="95" t="s">
        <v>413</v>
      </c>
      <c r="GF10" s="95" t="s">
        <v>301</v>
      </c>
      <c r="GG10" s="95">
        <v>0.2</v>
      </c>
      <c r="GI10" s="95" t="s">
        <v>301</v>
      </c>
      <c r="GJ10" s="95">
        <v>0.2</v>
      </c>
      <c r="GL10" s="95" t="s">
        <v>301</v>
      </c>
      <c r="GM10" s="95">
        <v>0.2</v>
      </c>
      <c r="GO10" s="95" t="s">
        <v>294</v>
      </c>
      <c r="GP10" s="95">
        <v>55</v>
      </c>
      <c r="GQ10" s="95" t="s">
        <v>413</v>
      </c>
      <c r="GU10" s="95" t="s">
        <v>306</v>
      </c>
      <c r="GV10" s="95">
        <v>4.7</v>
      </c>
      <c r="GX10" s="95" t="s">
        <v>306</v>
      </c>
      <c r="GY10" s="95">
        <v>4.7</v>
      </c>
      <c r="HA10" s="95" t="s">
        <v>306</v>
      </c>
      <c r="HB10" s="95">
        <v>4.7</v>
      </c>
      <c r="HD10" s="95" t="s">
        <v>81</v>
      </c>
      <c r="HE10" s="354">
        <v>1.5</v>
      </c>
    </row>
    <row r="11" spans="1:214" s="95" customFormat="1" x14ac:dyDescent="0.2">
      <c r="A11" s="426" t="s">
        <v>470</v>
      </c>
      <c r="B11" s="427">
        <v>1.5699999999999999E-5</v>
      </c>
      <c r="C11" s="428"/>
      <c r="D11" s="95" t="s">
        <v>82</v>
      </c>
      <c r="E11" s="360">
        <f>((E14/E15)*E24*E12*E16)+((E14/E15)*E25*E13*E17)</f>
        <v>60500</v>
      </c>
      <c r="F11" s="95" t="s">
        <v>444</v>
      </c>
      <c r="G11" s="366" t="s">
        <v>134</v>
      </c>
      <c r="H11" s="354">
        <f>H5/(H7*H16*H28)</f>
        <v>1.1764359871768476E-3</v>
      </c>
      <c r="I11" s="367" t="s">
        <v>22</v>
      </c>
      <c r="J11" s="95" t="s">
        <v>38</v>
      </c>
      <c r="K11" s="354">
        <f>(K45*K12)/(1-EXP(-K12*K45))</f>
        <v>1.0209893435208997</v>
      </c>
      <c r="M11" s="95" t="s">
        <v>91</v>
      </c>
      <c r="N11" s="95">
        <v>0.4</v>
      </c>
      <c r="P11" s="95" t="s">
        <v>91</v>
      </c>
      <c r="Q11" s="95">
        <v>0.4</v>
      </c>
      <c r="S11" s="95" t="s">
        <v>91</v>
      </c>
      <c r="T11" s="95">
        <v>0.4</v>
      </c>
      <c r="V11" s="95" t="s">
        <v>84</v>
      </c>
      <c r="W11" s="95">
        <v>8</v>
      </c>
      <c r="X11" s="95" t="s">
        <v>85</v>
      </c>
      <c r="Y11" s="95" t="s">
        <v>84</v>
      </c>
      <c r="Z11" s="95">
        <v>5</v>
      </c>
      <c r="AA11" s="95" t="s">
        <v>85</v>
      </c>
      <c r="AB11" s="95" t="s">
        <v>68</v>
      </c>
      <c r="AC11" s="95">
        <v>25</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1437.5</v>
      </c>
      <c r="BU11" s="95" t="s">
        <v>444</v>
      </c>
      <c r="BV11" s="95" t="s">
        <v>134</v>
      </c>
      <c r="BW11" s="354"/>
      <c r="BX11" s="95" t="s">
        <v>22</v>
      </c>
      <c r="BY11" s="95" t="s">
        <v>52</v>
      </c>
      <c r="BZ11" s="354">
        <f>0.693/BZ12</f>
        <v>1.6034243405830633E-3</v>
      </c>
      <c r="CB11" s="95" t="s">
        <v>102</v>
      </c>
      <c r="CC11" s="354">
        <f>B2</f>
        <v>2.41E-4</v>
      </c>
      <c r="CE11" s="95" t="s">
        <v>102</v>
      </c>
      <c r="CF11" s="354">
        <f>B5</f>
        <v>1.17E-4</v>
      </c>
      <c r="CH11" s="95" t="s">
        <v>102</v>
      </c>
      <c r="CI11" s="354">
        <f>B9</f>
        <v>2.2599999999999999E-4</v>
      </c>
      <c r="CN11" s="95" t="s">
        <v>335</v>
      </c>
      <c r="CO11" s="357">
        <v>0.5</v>
      </c>
      <c r="CP11" s="95" t="s">
        <v>479</v>
      </c>
      <c r="CT11" s="95" t="s">
        <v>38</v>
      </c>
      <c r="CU11" s="354">
        <f>(CU45*CU12)/(1-EXP(-CU12*CU45))</f>
        <v>1.0324112592609469</v>
      </c>
      <c r="CW11" s="95" t="s">
        <v>82</v>
      </c>
      <c r="CX11" s="360">
        <f>((CX15/24)*CX24*CX12*CX16)+((CX14/24)*CX25*CX13*CX17)</f>
        <v>77083.333333333343</v>
      </c>
      <c r="CY11" s="95" t="s">
        <v>444</v>
      </c>
      <c r="CZ11" s="95" t="s">
        <v>52</v>
      </c>
      <c r="DA11" s="354">
        <f>0.693/DA12</f>
        <v>1.6034243405830633E-3</v>
      </c>
      <c r="DC11" s="95" t="s">
        <v>486</v>
      </c>
      <c r="DD11" s="360">
        <f>(DD12*DD15*DD16)+(DD13*DD14*DD17)</f>
        <v>121000</v>
      </c>
      <c r="DE11" s="95" t="s">
        <v>230</v>
      </c>
      <c r="DF11" s="95" t="s">
        <v>99</v>
      </c>
      <c r="DG11" s="95">
        <f>DG19+DG20</f>
        <v>3.1394977168949772E-5</v>
      </c>
      <c r="DO11" s="95" t="s">
        <v>99</v>
      </c>
      <c r="DP11" s="95">
        <f>DP19+DP20</f>
        <v>2.6999999999999999E-5</v>
      </c>
      <c r="DR11" s="95" t="s">
        <v>70</v>
      </c>
      <c r="DS11" s="95">
        <v>250</v>
      </c>
      <c r="DT11" s="95" t="s">
        <v>55</v>
      </c>
      <c r="DX11" s="95" t="s">
        <v>100</v>
      </c>
      <c r="DY11" s="95">
        <v>0.41</v>
      </c>
      <c r="EA11" s="95" t="s">
        <v>100</v>
      </c>
      <c r="EB11" s="95">
        <v>0.41</v>
      </c>
      <c r="ED11" s="95" t="s">
        <v>100</v>
      </c>
      <c r="EE11" s="95">
        <v>0.41</v>
      </c>
      <c r="EG11" s="95" t="s">
        <v>70</v>
      </c>
      <c r="EH11" s="95">
        <v>55</v>
      </c>
      <c r="EI11" s="95" t="s">
        <v>55</v>
      </c>
      <c r="EM11" s="95" t="s">
        <v>101</v>
      </c>
      <c r="EN11" s="95">
        <v>0.39</v>
      </c>
      <c r="EP11" s="95" t="s">
        <v>101</v>
      </c>
      <c r="EQ11" s="95">
        <v>0.39</v>
      </c>
      <c r="ES11" s="95" t="s">
        <v>101</v>
      </c>
      <c r="ET11" s="95">
        <v>0.39</v>
      </c>
      <c r="EV11" s="95" t="s">
        <v>422</v>
      </c>
      <c r="EW11" s="95">
        <v>55</v>
      </c>
      <c r="EX11" s="95" t="s">
        <v>55</v>
      </c>
      <c r="FB11" s="95" t="s">
        <v>317</v>
      </c>
      <c r="FC11" s="95">
        <v>2.1999999999999999E-2</v>
      </c>
      <c r="FE11" s="95" t="s">
        <v>317</v>
      </c>
      <c r="FF11" s="95">
        <v>2.1999999999999999E-2</v>
      </c>
      <c r="FH11" s="95" t="s">
        <v>317</v>
      </c>
      <c r="FI11" s="95">
        <v>2.1999999999999999E-2</v>
      </c>
      <c r="FK11" s="95" t="s">
        <v>422</v>
      </c>
      <c r="FL11" s="95">
        <v>55</v>
      </c>
      <c r="FM11" s="95" t="s">
        <v>55</v>
      </c>
      <c r="FT11" s="95" t="s">
        <v>314</v>
      </c>
      <c r="FU11" s="357">
        <v>1</v>
      </c>
      <c r="FW11" s="95" t="s">
        <v>314</v>
      </c>
      <c r="FX11" s="357">
        <v>1</v>
      </c>
      <c r="FZ11" s="95" t="s">
        <v>422</v>
      </c>
      <c r="GA11" s="95">
        <v>55</v>
      </c>
      <c r="GB11" s="95" t="s">
        <v>55</v>
      </c>
      <c r="GF11" s="95" t="s">
        <v>302</v>
      </c>
      <c r="GG11" s="95">
        <v>2.1999999999999999E-2</v>
      </c>
      <c r="GI11" s="95" t="s">
        <v>302</v>
      </c>
      <c r="GJ11" s="95">
        <v>2.1999999999999999E-2</v>
      </c>
      <c r="GL11" s="95" t="s">
        <v>302</v>
      </c>
      <c r="GM11" s="95">
        <v>2.1999999999999999E-2</v>
      </c>
      <c r="GO11" s="95" t="s">
        <v>422</v>
      </c>
      <c r="GP11" s="95">
        <v>55</v>
      </c>
      <c r="GQ11" s="95" t="s">
        <v>55</v>
      </c>
      <c r="GU11" s="95" t="s">
        <v>307</v>
      </c>
      <c r="GV11" s="95">
        <v>0.37</v>
      </c>
      <c r="GX11" s="95" t="s">
        <v>307</v>
      </c>
      <c r="GY11" s="95">
        <v>0.37</v>
      </c>
      <c r="HA11" s="95" t="s">
        <v>307</v>
      </c>
      <c r="HB11" s="95">
        <v>0.37</v>
      </c>
      <c r="HD11" s="95" t="s">
        <v>92</v>
      </c>
      <c r="HE11" s="95">
        <v>26</v>
      </c>
    </row>
    <row r="12" spans="1:214" s="95" customFormat="1" ht="13.5" thickBot="1" x14ac:dyDescent="0.25">
      <c r="A12" s="430" t="s">
        <v>471</v>
      </c>
      <c r="B12" s="431">
        <v>0.80900000000000005</v>
      </c>
      <c r="C12" s="432"/>
      <c r="D12" s="95" t="s">
        <v>93</v>
      </c>
      <c r="E12" s="95">
        <v>55</v>
      </c>
      <c r="F12" s="95" t="s">
        <v>83</v>
      </c>
      <c r="G12" s="366" t="s">
        <v>256</v>
      </c>
      <c r="H12" s="354">
        <f>H5/(H8*(1/H45)*H21)</f>
        <v>2395078.6056049215</v>
      </c>
      <c r="I12" s="367" t="s">
        <v>22</v>
      </c>
      <c r="J12" s="95" t="s">
        <v>52</v>
      </c>
      <c r="K12" s="354">
        <f>0.693/K13</f>
        <v>1.6034243405830633E-3</v>
      </c>
      <c r="M12" s="95" t="s">
        <v>102</v>
      </c>
      <c r="N12" s="354">
        <f>B2</f>
        <v>2.41E-4</v>
      </c>
      <c r="P12" s="95" t="s">
        <v>102</v>
      </c>
      <c r="Q12" s="354">
        <f>B5</f>
        <v>1.17E-4</v>
      </c>
      <c r="S12" s="95" t="s">
        <v>102</v>
      </c>
      <c r="T12" s="354">
        <f>B9</f>
        <v>2.2599999999999999E-4</v>
      </c>
      <c r="W12" s="95">
        <v>24</v>
      </c>
      <c r="X12" s="95" t="s">
        <v>85</v>
      </c>
      <c r="Z12" s="95">
        <v>24</v>
      </c>
      <c r="AA12" s="95" t="s">
        <v>85</v>
      </c>
      <c r="AB12" s="95" t="s">
        <v>410</v>
      </c>
      <c r="AF12" s="95">
        <v>5</v>
      </c>
      <c r="AG12" s="95">
        <v>5</v>
      </c>
      <c r="AH12" s="95" t="s">
        <v>210</v>
      </c>
      <c r="AI12" s="95" t="s">
        <v>102</v>
      </c>
      <c r="AJ12" s="354">
        <f>B2</f>
        <v>2.41E-4</v>
      </c>
      <c r="AL12" s="95" t="s">
        <v>102</v>
      </c>
      <c r="AM12" s="354">
        <f>B5</f>
        <v>1.17E-4</v>
      </c>
      <c r="AO12" s="95" t="s">
        <v>102</v>
      </c>
      <c r="AP12" s="354">
        <f>B9</f>
        <v>2.2599999999999999E-4</v>
      </c>
      <c r="AR12" s="95" t="s">
        <v>102</v>
      </c>
      <c r="AS12" s="354">
        <f>B2</f>
        <v>2.41E-4</v>
      </c>
      <c r="AU12" s="95" t="s">
        <v>102</v>
      </c>
      <c r="AV12" s="354">
        <f>B5</f>
        <v>1.17E-4</v>
      </c>
      <c r="AX12" s="95" t="s">
        <v>102</v>
      </c>
      <c r="AY12" s="354">
        <f>B9</f>
        <v>2.2599999999999999E-4</v>
      </c>
      <c r="BA12" s="95" t="s">
        <v>102</v>
      </c>
      <c r="BB12" s="354">
        <f>B2</f>
        <v>2.41E-4</v>
      </c>
      <c r="BD12" s="95" t="s">
        <v>102</v>
      </c>
      <c r="BE12" s="354">
        <f>B5</f>
        <v>1.17E-4</v>
      </c>
      <c r="BG12" s="95" t="s">
        <v>102</v>
      </c>
      <c r="BH12" s="354">
        <f>B9</f>
        <v>2.2599999999999999E-4</v>
      </c>
      <c r="BJ12" s="95" t="s">
        <v>68</v>
      </c>
      <c r="BK12" s="95">
        <v>1</v>
      </c>
      <c r="BL12" s="95" t="s">
        <v>62</v>
      </c>
      <c r="BM12" s="95" t="s">
        <v>68</v>
      </c>
      <c r="BN12" s="95">
        <v>1</v>
      </c>
      <c r="BO12" s="95" t="s">
        <v>62</v>
      </c>
      <c r="BP12" s="95" t="s">
        <v>68</v>
      </c>
      <c r="BQ12" s="95">
        <v>1</v>
      </c>
      <c r="BR12" s="95" t="s">
        <v>62</v>
      </c>
      <c r="BS12" s="95" t="s">
        <v>93</v>
      </c>
      <c r="BT12" s="95">
        <f>B44</f>
        <v>10</v>
      </c>
      <c r="BU12" s="95" t="s">
        <v>83</v>
      </c>
      <c r="BV12" s="95" t="s">
        <v>256</v>
      </c>
      <c r="BW12" s="354">
        <f>BW5/(BW8*(1/BW32)*BW16)</f>
        <v>15832851.359167149</v>
      </c>
      <c r="BX12" s="95" t="s">
        <v>22</v>
      </c>
      <c r="BY12" s="95" t="s">
        <v>448</v>
      </c>
      <c r="BZ12" s="354">
        <f>B29</f>
        <v>432.2</v>
      </c>
      <c r="CA12" s="95" t="s">
        <v>129</v>
      </c>
      <c r="CB12" s="95" t="s">
        <v>113</v>
      </c>
      <c r="CC12" s="354">
        <f>B3</f>
        <v>0.753</v>
      </c>
      <c r="CE12" s="95" t="s">
        <v>113</v>
      </c>
      <c r="CF12" s="354">
        <f>B6</f>
        <v>0.74299999999999999</v>
      </c>
      <c r="CH12" s="95" t="s">
        <v>113</v>
      </c>
      <c r="CI12" s="354">
        <f>B10</f>
        <v>0.66200000000000003</v>
      </c>
      <c r="CN12" s="95" t="s">
        <v>336</v>
      </c>
      <c r="CO12" s="357">
        <v>1</v>
      </c>
      <c r="CP12" s="95" t="s">
        <v>80</v>
      </c>
      <c r="CT12" s="95" t="s">
        <v>52</v>
      </c>
      <c r="CU12" s="354">
        <f>0.693/CU13</f>
        <v>1.6034243405830633E-3</v>
      </c>
      <c r="CW12" s="95" t="s">
        <v>93</v>
      </c>
      <c r="CX12" s="95">
        <v>10</v>
      </c>
      <c r="CY12" s="95" t="s">
        <v>83</v>
      </c>
      <c r="CZ12" s="95" t="s">
        <v>448</v>
      </c>
      <c r="DA12" s="354">
        <f>B29</f>
        <v>432.2</v>
      </c>
      <c r="DB12" s="95" t="s">
        <v>129</v>
      </c>
      <c r="DC12" s="95" t="s">
        <v>147</v>
      </c>
      <c r="DD12" s="95">
        <v>55</v>
      </c>
      <c r="DE12" s="95" t="s">
        <v>413</v>
      </c>
      <c r="DF12" s="95" t="s">
        <v>109</v>
      </c>
      <c r="DG12" s="95">
        <v>10950</v>
      </c>
      <c r="DH12" s="95" t="s">
        <v>110</v>
      </c>
      <c r="DO12" s="95" t="s">
        <v>109</v>
      </c>
      <c r="DP12" s="95">
        <v>10950</v>
      </c>
      <c r="DQ12" s="95" t="s">
        <v>110</v>
      </c>
      <c r="DR12" s="95" t="s">
        <v>78</v>
      </c>
      <c r="DS12" s="95">
        <v>250</v>
      </c>
      <c r="DT12" s="95" t="s">
        <v>55</v>
      </c>
      <c r="DX12" s="95" t="s">
        <v>111</v>
      </c>
      <c r="DY12" s="95">
        <v>1</v>
      </c>
      <c r="EA12" s="95" t="s">
        <v>111</v>
      </c>
      <c r="EB12" s="95">
        <v>1</v>
      </c>
      <c r="ED12" s="95" t="s">
        <v>111</v>
      </c>
      <c r="EE12" s="95">
        <v>1</v>
      </c>
      <c r="EG12" s="95" t="s">
        <v>78</v>
      </c>
      <c r="EH12" s="95">
        <v>55</v>
      </c>
      <c r="EI12" s="95" t="s">
        <v>55</v>
      </c>
      <c r="EM12" s="95" t="s">
        <v>112</v>
      </c>
      <c r="EN12" s="95">
        <v>1</v>
      </c>
      <c r="EP12" s="95" t="s">
        <v>112</v>
      </c>
      <c r="EQ12" s="95">
        <v>1</v>
      </c>
      <c r="ES12" s="95" t="s">
        <v>112</v>
      </c>
      <c r="ET12" s="95">
        <v>1</v>
      </c>
      <c r="EV12" s="95" t="s">
        <v>423</v>
      </c>
      <c r="EW12" s="95">
        <v>55</v>
      </c>
      <c r="EX12" s="95" t="s">
        <v>55</v>
      </c>
      <c r="FB12" s="95" t="s">
        <v>319</v>
      </c>
      <c r="FC12" s="357">
        <v>1</v>
      </c>
      <c r="FE12" s="95" t="s">
        <v>319</v>
      </c>
      <c r="FF12" s="357">
        <v>1</v>
      </c>
      <c r="FH12" s="95" t="s">
        <v>319</v>
      </c>
      <c r="FI12" s="357">
        <v>1</v>
      </c>
      <c r="FK12" s="95" t="s">
        <v>423</v>
      </c>
      <c r="FL12" s="95">
        <v>55</v>
      </c>
      <c r="FM12" s="95" t="s">
        <v>55</v>
      </c>
      <c r="FT12" s="95" t="s">
        <v>313</v>
      </c>
      <c r="FU12" s="357">
        <v>1</v>
      </c>
      <c r="FW12" s="95" t="s">
        <v>313</v>
      </c>
      <c r="FX12" s="357">
        <v>1</v>
      </c>
      <c r="FZ12" s="95" t="s">
        <v>423</v>
      </c>
      <c r="GA12" s="95">
        <v>55</v>
      </c>
      <c r="GB12" s="95" t="s">
        <v>55</v>
      </c>
      <c r="GF12" s="95" t="s">
        <v>303</v>
      </c>
      <c r="GG12" s="95">
        <v>1</v>
      </c>
      <c r="GI12" s="95" t="s">
        <v>303</v>
      </c>
      <c r="GJ12" s="95">
        <v>1</v>
      </c>
      <c r="GL12" s="95" t="s">
        <v>303</v>
      </c>
      <c r="GM12" s="95">
        <v>1</v>
      </c>
      <c r="GO12" s="95" t="s">
        <v>423</v>
      </c>
      <c r="GP12" s="95">
        <v>55</v>
      </c>
      <c r="GQ12" s="95" t="s">
        <v>55</v>
      </c>
      <c r="GU12" s="95" t="s">
        <v>308</v>
      </c>
      <c r="GV12" s="95">
        <v>1</v>
      </c>
      <c r="GX12" s="95" t="s">
        <v>308</v>
      </c>
      <c r="GY12" s="95">
        <v>1</v>
      </c>
      <c r="HA12" s="95" t="s">
        <v>308</v>
      </c>
      <c r="HB12" s="95">
        <v>1</v>
      </c>
      <c r="HE12" s="354"/>
    </row>
    <row r="13" spans="1:214" s="95" customFormat="1" ht="13.5" thickTop="1" x14ac:dyDescent="0.2">
      <c r="A13" s="496" t="s">
        <v>450</v>
      </c>
      <c r="B13" s="497"/>
      <c r="C13" s="498"/>
      <c r="D13" s="95" t="s">
        <v>103</v>
      </c>
      <c r="E13" s="95">
        <v>55</v>
      </c>
      <c r="F13" s="95" t="s">
        <v>83</v>
      </c>
      <c r="G13" s="368" t="s">
        <v>407</v>
      </c>
      <c r="H13" s="369">
        <f>H14/((1/H42)*(H50+H51+H52))</f>
        <v>19.33114589724347</v>
      </c>
      <c r="I13" s="370" t="s">
        <v>22</v>
      </c>
      <c r="J13" s="95" t="s">
        <v>448</v>
      </c>
      <c r="K13" s="354">
        <f>B29</f>
        <v>432.2</v>
      </c>
      <c r="L13" s="95" t="s">
        <v>129</v>
      </c>
      <c r="M13" s="95" t="s">
        <v>113</v>
      </c>
      <c r="N13" s="354">
        <f>B3</f>
        <v>0.753</v>
      </c>
      <c r="P13" s="95" t="s">
        <v>113</v>
      </c>
      <c r="Q13" s="354">
        <f>B6</f>
        <v>0.74299999999999999</v>
      </c>
      <c r="S13" s="95" t="s">
        <v>113</v>
      </c>
      <c r="T13" s="354">
        <f>B10</f>
        <v>0.66200000000000003</v>
      </c>
      <c r="V13" s="95" t="s">
        <v>104</v>
      </c>
      <c r="W13" s="95">
        <v>60</v>
      </c>
      <c r="X13" s="95" t="s">
        <v>83</v>
      </c>
      <c r="Y13" s="95" t="s">
        <v>104</v>
      </c>
      <c r="Z13" s="95">
        <v>55</v>
      </c>
      <c r="AA13" s="95" t="s">
        <v>83</v>
      </c>
      <c r="AB13" s="95" t="s">
        <v>411</v>
      </c>
      <c r="AF13" s="95">
        <v>26</v>
      </c>
      <c r="AG13" s="95">
        <v>26</v>
      </c>
      <c r="AH13" s="95" t="s">
        <v>412</v>
      </c>
      <c r="AI13" s="95" t="s">
        <v>113</v>
      </c>
      <c r="AJ13" s="354">
        <f>B3</f>
        <v>0.753</v>
      </c>
      <c r="AL13" s="95" t="s">
        <v>113</v>
      </c>
      <c r="AM13" s="354">
        <f>B6</f>
        <v>0.74299999999999999</v>
      </c>
      <c r="AO13" s="95" t="s">
        <v>113</v>
      </c>
      <c r="AP13" s="354">
        <f>B10</f>
        <v>0.66200000000000003</v>
      </c>
      <c r="AR13" s="95" t="s">
        <v>113</v>
      </c>
      <c r="AS13" s="354">
        <f>B3</f>
        <v>0.753</v>
      </c>
      <c r="AU13" s="95" t="s">
        <v>113</v>
      </c>
      <c r="AV13" s="354">
        <f>B6</f>
        <v>0.74299999999999999</v>
      </c>
      <c r="AX13" s="95" t="s">
        <v>113</v>
      </c>
      <c r="AY13" s="354">
        <f>B10</f>
        <v>0.66200000000000003</v>
      </c>
      <c r="BA13" s="95" t="s">
        <v>113</v>
      </c>
      <c r="BB13" s="354">
        <f>B3</f>
        <v>0.753</v>
      </c>
      <c r="BD13" s="95" t="s">
        <v>113</v>
      </c>
      <c r="BE13" s="354">
        <f>B6</f>
        <v>0.74299999999999999</v>
      </c>
      <c r="BG13" s="95" t="s">
        <v>113</v>
      </c>
      <c r="BH13" s="354">
        <f>B10</f>
        <v>0.66200000000000003</v>
      </c>
      <c r="BJ13" s="95" t="s">
        <v>102</v>
      </c>
      <c r="BK13" s="354">
        <f>B2</f>
        <v>2.41E-4</v>
      </c>
      <c r="BM13" s="95" t="s">
        <v>102</v>
      </c>
      <c r="BN13" s="354">
        <f>B5</f>
        <v>1.17E-4</v>
      </c>
      <c r="BP13" s="95" t="s">
        <v>102</v>
      </c>
      <c r="BQ13" s="354">
        <f>B9</f>
        <v>2.2599999999999999E-4</v>
      </c>
      <c r="BS13" s="95" t="s">
        <v>103</v>
      </c>
      <c r="BT13" s="95">
        <f>B45</f>
        <v>20</v>
      </c>
      <c r="BU13" s="95" t="s">
        <v>83</v>
      </c>
      <c r="BV13" s="95" t="s">
        <v>86</v>
      </c>
      <c r="BW13" s="371">
        <f>((BW18*BW21*BW23*BW26*BW14)+(BW19*BW22*BW24*BW27*BW15))</f>
        <v>208</v>
      </c>
      <c r="BX13" s="95" t="s">
        <v>196</v>
      </c>
      <c r="BY13" s="95" t="s">
        <v>142</v>
      </c>
      <c r="BZ13" s="354">
        <f>(BZ5/(BZ6*BZ16*(1/BZ36)))*BZ10</f>
        <v>18.37898443838025</v>
      </c>
      <c r="CA13" s="95" t="s">
        <v>23</v>
      </c>
      <c r="CB13" s="95" t="s">
        <v>182</v>
      </c>
      <c r="CC13" s="95">
        <v>2</v>
      </c>
      <c r="CD13" s="95" t="s">
        <v>127</v>
      </c>
      <c r="CE13" s="95" t="s">
        <v>182</v>
      </c>
      <c r="CF13" s="95">
        <v>2</v>
      </c>
      <c r="CG13" s="95" t="s">
        <v>127</v>
      </c>
      <c r="CH13" s="95" t="s">
        <v>182</v>
      </c>
      <c r="CI13" s="95">
        <v>2</v>
      </c>
      <c r="CJ13" s="95" t="s">
        <v>127</v>
      </c>
      <c r="CN13" s="95" t="s">
        <v>337</v>
      </c>
      <c r="CO13" s="357">
        <v>1</v>
      </c>
      <c r="CP13" s="95" t="s">
        <v>80</v>
      </c>
      <c r="CT13" s="95" t="s">
        <v>448</v>
      </c>
      <c r="CU13" s="354">
        <f>B29</f>
        <v>432.2</v>
      </c>
      <c r="CV13" s="95" t="s">
        <v>129</v>
      </c>
      <c r="CW13" s="95" t="s">
        <v>103</v>
      </c>
      <c r="CX13" s="95">
        <v>20</v>
      </c>
      <c r="CY13" s="95" t="s">
        <v>83</v>
      </c>
      <c r="CZ13" s="95" t="s">
        <v>142</v>
      </c>
      <c r="DA13" s="354">
        <f>DA5/(DA6*DA24)</f>
        <v>0.42887531736773482</v>
      </c>
      <c r="DB13" s="95" t="s">
        <v>25</v>
      </c>
      <c r="DC13" s="95" t="s">
        <v>152</v>
      </c>
      <c r="DD13" s="95">
        <v>55</v>
      </c>
      <c r="DE13" s="95" t="s">
        <v>413</v>
      </c>
      <c r="DF13" s="95" t="s">
        <v>120</v>
      </c>
      <c r="DG13" s="95">
        <v>240</v>
      </c>
      <c r="DH13" s="95" t="s">
        <v>121</v>
      </c>
      <c r="DO13" s="95" t="s">
        <v>120</v>
      </c>
      <c r="DP13" s="95">
        <v>240</v>
      </c>
      <c r="DQ13" s="95" t="s">
        <v>121</v>
      </c>
      <c r="DR13" s="95" t="s">
        <v>246</v>
      </c>
      <c r="DS13" s="95">
        <v>6</v>
      </c>
      <c r="DT13" s="95" t="s">
        <v>129</v>
      </c>
      <c r="DX13" s="95" t="s">
        <v>122</v>
      </c>
      <c r="DY13" s="95">
        <v>1</v>
      </c>
      <c r="EA13" s="95" t="s">
        <v>122</v>
      </c>
      <c r="EB13" s="95">
        <v>1</v>
      </c>
      <c r="ED13" s="95" t="s">
        <v>122</v>
      </c>
      <c r="EE13" s="95">
        <v>1</v>
      </c>
      <c r="EG13" s="95" t="s">
        <v>246</v>
      </c>
      <c r="EH13" s="95">
        <v>5</v>
      </c>
      <c r="EI13" s="95" t="s">
        <v>129</v>
      </c>
      <c r="EM13" s="95" t="s">
        <v>123</v>
      </c>
      <c r="EN13" s="95">
        <v>1</v>
      </c>
      <c r="EP13" s="95" t="s">
        <v>123</v>
      </c>
      <c r="EQ13" s="95">
        <v>1</v>
      </c>
      <c r="ES13" s="95" t="s">
        <v>123</v>
      </c>
      <c r="ET13" s="95">
        <v>1</v>
      </c>
      <c r="EV13" s="95" t="s">
        <v>246</v>
      </c>
      <c r="EW13" s="95">
        <v>5</v>
      </c>
      <c r="EX13" s="95" t="s">
        <v>129</v>
      </c>
      <c r="FB13" s="95" t="s">
        <v>320</v>
      </c>
      <c r="FC13" s="357">
        <v>1</v>
      </c>
      <c r="FE13" s="95" t="s">
        <v>320</v>
      </c>
      <c r="FF13" s="357">
        <v>1</v>
      </c>
      <c r="FH13" s="95" t="s">
        <v>320</v>
      </c>
      <c r="FI13" s="357">
        <v>1</v>
      </c>
      <c r="FK13" s="95" t="s">
        <v>246</v>
      </c>
      <c r="FL13" s="95">
        <v>5</v>
      </c>
      <c r="FM13" s="95" t="s">
        <v>129</v>
      </c>
      <c r="FT13" s="95" t="s">
        <v>312</v>
      </c>
      <c r="FU13" s="357">
        <v>1</v>
      </c>
      <c r="FW13" s="95" t="s">
        <v>312</v>
      </c>
      <c r="FX13" s="357">
        <v>1</v>
      </c>
      <c r="FZ13" s="95" t="s">
        <v>246</v>
      </c>
      <c r="GA13" s="95">
        <v>5</v>
      </c>
      <c r="GB13" s="95" t="s">
        <v>129</v>
      </c>
      <c r="GF13" s="95" t="s">
        <v>304</v>
      </c>
      <c r="GG13" s="95">
        <v>1</v>
      </c>
      <c r="GI13" s="95" t="s">
        <v>304</v>
      </c>
      <c r="GJ13" s="95">
        <v>1</v>
      </c>
      <c r="GL13" s="95" t="s">
        <v>304</v>
      </c>
      <c r="GM13" s="95">
        <v>1</v>
      </c>
      <c r="GO13" s="95" t="s">
        <v>246</v>
      </c>
      <c r="GP13" s="95">
        <v>5</v>
      </c>
      <c r="GQ13" s="95" t="s">
        <v>129</v>
      </c>
      <c r="GU13" s="95" t="s">
        <v>309</v>
      </c>
      <c r="GV13" s="95">
        <v>1</v>
      </c>
      <c r="GX13" s="95" t="s">
        <v>309</v>
      </c>
      <c r="GY13" s="95">
        <v>1</v>
      </c>
      <c r="HA13" s="95" t="s">
        <v>309</v>
      </c>
      <c r="HB13" s="95">
        <v>1</v>
      </c>
      <c r="HD13" s="95" t="s">
        <v>428</v>
      </c>
      <c r="HE13" s="354">
        <v>10</v>
      </c>
    </row>
    <row r="14" spans="1:214" s="95" customFormat="1" ht="13.9" customHeight="1" x14ac:dyDescent="0.2">
      <c r="A14" s="499"/>
      <c r="B14" s="500"/>
      <c r="C14" s="501"/>
      <c r="D14" s="95" t="s">
        <v>114</v>
      </c>
      <c r="E14" s="95">
        <v>5</v>
      </c>
      <c r="F14" s="95" t="s">
        <v>85</v>
      </c>
      <c r="G14" s="95" t="s">
        <v>406</v>
      </c>
      <c r="H14" s="354">
        <f>H5/(H9*(H22+H25)*H43)</f>
        <v>0.24670038238559266</v>
      </c>
      <c r="I14" s="95" t="s">
        <v>23</v>
      </c>
      <c r="J14" s="363" t="s">
        <v>142</v>
      </c>
      <c r="K14" s="364">
        <f>(K5/(K6*K19*(1/K48)))*K11</f>
        <v>4.2009107287726284</v>
      </c>
      <c r="L14" s="365" t="s">
        <v>23</v>
      </c>
      <c r="M14" s="95" t="s">
        <v>124</v>
      </c>
      <c r="N14" s="95">
        <v>1.752</v>
      </c>
      <c r="O14" s="95" t="s">
        <v>127</v>
      </c>
      <c r="P14" s="95" t="s">
        <v>124</v>
      </c>
      <c r="Q14" s="95">
        <v>1.752</v>
      </c>
      <c r="R14" s="95" t="s">
        <v>127</v>
      </c>
      <c r="S14" s="95" t="s">
        <v>124</v>
      </c>
      <c r="T14" s="95">
        <v>1.752</v>
      </c>
      <c r="U14" s="95" t="s">
        <v>127</v>
      </c>
      <c r="V14" s="95" t="s">
        <v>115</v>
      </c>
      <c r="W14" s="354">
        <f>B26</f>
        <v>5.84E-11</v>
      </c>
      <c r="X14" s="95" t="s">
        <v>116</v>
      </c>
      <c r="Y14" s="95" t="s">
        <v>115</v>
      </c>
      <c r="Z14" s="354">
        <f>B26</f>
        <v>5.84E-11</v>
      </c>
      <c r="AA14" s="95" t="s">
        <v>116</v>
      </c>
      <c r="AB14" s="95" t="s">
        <v>126</v>
      </c>
      <c r="AF14" s="95">
        <v>8</v>
      </c>
      <c r="AG14" s="95">
        <v>8</v>
      </c>
      <c r="AH14" s="95" t="s">
        <v>85</v>
      </c>
      <c r="AI14" s="95" t="s">
        <v>124</v>
      </c>
      <c r="AJ14" s="95">
        <v>0</v>
      </c>
      <c r="AK14" s="95" t="s">
        <v>127</v>
      </c>
      <c r="AL14" s="95" t="s">
        <v>124</v>
      </c>
      <c r="AM14" s="95">
        <v>0</v>
      </c>
      <c r="AN14" s="95" t="s">
        <v>127</v>
      </c>
      <c r="AO14" s="95" t="s">
        <v>124</v>
      </c>
      <c r="AP14" s="95">
        <v>0</v>
      </c>
      <c r="AQ14" s="95" t="s">
        <v>127</v>
      </c>
      <c r="AR14" s="95" t="s">
        <v>124</v>
      </c>
      <c r="AS14" s="95">
        <v>5</v>
      </c>
      <c r="AT14" s="95" t="s">
        <v>127</v>
      </c>
      <c r="AU14" s="95" t="s">
        <v>124</v>
      </c>
      <c r="AV14" s="95">
        <v>5</v>
      </c>
      <c r="AW14" s="95" t="s">
        <v>127</v>
      </c>
      <c r="AX14" s="95" t="s">
        <v>126</v>
      </c>
      <c r="AY14" s="95">
        <v>5</v>
      </c>
      <c r="AZ14" s="95" t="s">
        <v>127</v>
      </c>
      <c r="BA14" s="95" t="s">
        <v>124</v>
      </c>
      <c r="BB14" s="95">
        <v>5</v>
      </c>
      <c r="BC14" s="95" t="s">
        <v>127</v>
      </c>
      <c r="BD14" s="95" t="s">
        <v>124</v>
      </c>
      <c r="BE14" s="95">
        <v>5</v>
      </c>
      <c r="BF14" s="95" t="s">
        <v>127</v>
      </c>
      <c r="BG14" s="95" t="s">
        <v>126</v>
      </c>
      <c r="BH14" s="95">
        <v>5</v>
      </c>
      <c r="BI14" s="95" t="s">
        <v>127</v>
      </c>
      <c r="BJ14" s="95" t="s">
        <v>113</v>
      </c>
      <c r="BK14" s="354">
        <f>B3</f>
        <v>0.753</v>
      </c>
      <c r="BM14" s="95" t="s">
        <v>113</v>
      </c>
      <c r="BN14" s="354">
        <f>B6</f>
        <v>0.74299999999999999</v>
      </c>
      <c r="BP14" s="95" t="s">
        <v>113</v>
      </c>
      <c r="BQ14" s="354">
        <f>B10</f>
        <v>0.66200000000000003</v>
      </c>
      <c r="BS14" s="95" t="s">
        <v>436</v>
      </c>
      <c r="BT14" s="95">
        <v>1</v>
      </c>
      <c r="BU14" s="95" t="s">
        <v>85</v>
      </c>
      <c r="BV14" s="95" t="s">
        <v>105</v>
      </c>
      <c r="BW14" s="95">
        <v>0.05</v>
      </c>
      <c r="BX14" s="95" t="s">
        <v>95</v>
      </c>
      <c r="BY14" s="95" t="s">
        <v>134</v>
      </c>
      <c r="BZ14" s="354">
        <f>(BZ5/(BZ7*BZ17*(1/BZ9)*BZ35))*BZ10</f>
        <v>16105.634632144565</v>
      </c>
      <c r="CA14" s="95" t="s">
        <v>23</v>
      </c>
      <c r="CB14" s="95" t="s">
        <v>131</v>
      </c>
      <c r="CC14" s="354">
        <f>B21</f>
        <v>2.7599999999999999E-8</v>
      </c>
      <c r="CD14" s="95" t="s">
        <v>132</v>
      </c>
      <c r="CE14" s="95" t="s">
        <v>131</v>
      </c>
      <c r="CF14" s="354">
        <f>B23</f>
        <v>8.6300000000000002E-12</v>
      </c>
      <c r="CG14" s="95" t="s">
        <v>132</v>
      </c>
      <c r="CH14" s="95" t="s">
        <v>131</v>
      </c>
      <c r="CI14" s="354">
        <f>B25</f>
        <v>2.7599999999999999E-8</v>
      </c>
      <c r="CJ14" s="95" t="s">
        <v>132</v>
      </c>
      <c r="CT14" s="95" t="s">
        <v>142</v>
      </c>
      <c r="CU14" s="354">
        <f>(CU5/(CU6*CU25*(1/CU48)))*CU11</f>
        <v>4.1370918022879053</v>
      </c>
      <c r="CV14" s="95" t="s">
        <v>23</v>
      </c>
      <c r="CW14" s="95" t="s">
        <v>181</v>
      </c>
      <c r="CX14" s="95">
        <v>10</v>
      </c>
      <c r="CY14" s="95" t="s">
        <v>85</v>
      </c>
      <c r="CZ14" s="95" t="s">
        <v>134</v>
      </c>
      <c r="DA14" s="354">
        <f>DA5/(DA7*DA25*DA43)</f>
        <v>9.2334327209772041E-4</v>
      </c>
      <c r="DB14" s="95" t="s">
        <v>25</v>
      </c>
      <c r="DC14" s="95" t="s">
        <v>270</v>
      </c>
      <c r="DD14" s="95">
        <v>55</v>
      </c>
      <c r="DE14" s="95" t="s">
        <v>55</v>
      </c>
      <c r="DF14" s="95" t="s">
        <v>130</v>
      </c>
      <c r="DG14" s="95">
        <v>0.26</v>
      </c>
      <c r="DO14" s="95" t="s">
        <v>130</v>
      </c>
      <c r="DP14" s="95">
        <v>0.26</v>
      </c>
      <c r="DR14" s="95" t="s">
        <v>247</v>
      </c>
      <c r="DS14" s="95">
        <v>34</v>
      </c>
      <c r="DT14" s="95" t="s">
        <v>129</v>
      </c>
      <c r="ED14" s="95" t="s">
        <v>130</v>
      </c>
      <c r="EE14" s="95">
        <v>0.25</v>
      </c>
      <c r="EG14" s="95" t="s">
        <v>247</v>
      </c>
      <c r="EH14" s="95">
        <v>35</v>
      </c>
      <c r="EI14" s="95" t="s">
        <v>129</v>
      </c>
      <c r="ES14" s="95" t="s">
        <v>130</v>
      </c>
      <c r="ET14" s="95">
        <v>0.25</v>
      </c>
      <c r="EV14" s="95" t="s">
        <v>247</v>
      </c>
      <c r="EW14" s="95">
        <v>35</v>
      </c>
      <c r="EX14" s="95" t="s">
        <v>129</v>
      </c>
      <c r="FH14" s="95" t="s">
        <v>130</v>
      </c>
      <c r="FI14" s="95">
        <v>0.25</v>
      </c>
      <c r="FK14" s="95" t="s">
        <v>247</v>
      </c>
      <c r="FL14" s="95">
        <v>35</v>
      </c>
      <c r="FM14" s="95" t="s">
        <v>129</v>
      </c>
      <c r="FT14" s="95" t="s">
        <v>203</v>
      </c>
      <c r="FU14" s="354">
        <f>B34</f>
        <v>30</v>
      </c>
      <c r="FW14" s="95" t="s">
        <v>130</v>
      </c>
      <c r="FX14" s="95">
        <v>0.25</v>
      </c>
      <c r="FZ14" s="95" t="s">
        <v>247</v>
      </c>
      <c r="GA14" s="95">
        <v>35</v>
      </c>
      <c r="GB14" s="95" t="s">
        <v>129</v>
      </c>
      <c r="GL14" s="95" t="s">
        <v>305</v>
      </c>
      <c r="GM14" s="95">
        <v>0.25</v>
      </c>
      <c r="GO14" s="95" t="s">
        <v>247</v>
      </c>
      <c r="GP14" s="95">
        <v>35</v>
      </c>
      <c r="GQ14" s="95" t="s">
        <v>129</v>
      </c>
      <c r="HA14" s="95" t="s">
        <v>130</v>
      </c>
      <c r="HB14" s="95">
        <v>0.25</v>
      </c>
      <c r="HD14" s="95" t="s">
        <v>128</v>
      </c>
      <c r="HE14" s="95">
        <v>8.1999999999999993</v>
      </c>
    </row>
    <row r="15" spans="1:214" s="95" customFormat="1" ht="13.5" thickBot="1" x14ac:dyDescent="0.25">
      <c r="A15" s="499"/>
      <c r="B15" s="500"/>
      <c r="C15" s="501"/>
      <c r="E15" s="95">
        <v>5</v>
      </c>
      <c r="F15" s="95" t="s">
        <v>85</v>
      </c>
      <c r="G15" s="95" t="s">
        <v>86</v>
      </c>
      <c r="H15" s="372">
        <f>H32*H29*H17+H33*H30*H18</f>
        <v>1925</v>
      </c>
      <c r="I15" s="95" t="s">
        <v>196</v>
      </c>
      <c r="J15" s="366" t="s">
        <v>134</v>
      </c>
      <c r="K15" s="354">
        <f>(K5/(K7*K20*(1/K10)*K47))*K11</f>
        <v>306.77399299322985</v>
      </c>
      <c r="L15" s="367" t="s">
        <v>23</v>
      </c>
      <c r="M15" s="95" t="s">
        <v>131</v>
      </c>
      <c r="N15" s="354">
        <f>B21</f>
        <v>2.7599999999999999E-8</v>
      </c>
      <c r="O15" s="95" t="s">
        <v>132</v>
      </c>
      <c r="P15" s="95" t="s">
        <v>131</v>
      </c>
      <c r="Q15" s="354">
        <f>B23</f>
        <v>8.6300000000000002E-12</v>
      </c>
      <c r="R15" s="95" t="s">
        <v>132</v>
      </c>
      <c r="S15" s="95" t="s">
        <v>131</v>
      </c>
      <c r="T15" s="354">
        <f>B25</f>
        <v>2.7599999999999999E-8</v>
      </c>
      <c r="U15" s="95" t="s">
        <v>132</v>
      </c>
      <c r="V15" s="95" t="s">
        <v>414</v>
      </c>
      <c r="W15" s="354">
        <v>1</v>
      </c>
      <c r="Y15" s="95" t="s">
        <v>414</v>
      </c>
      <c r="Z15" s="354">
        <v>1</v>
      </c>
      <c r="AB15" s="95" t="s">
        <v>136</v>
      </c>
      <c r="AF15" s="95">
        <v>1</v>
      </c>
      <c r="AG15" s="95">
        <v>1</v>
      </c>
      <c r="AI15" s="95" t="s">
        <v>131</v>
      </c>
      <c r="AJ15" s="354">
        <f>B21</f>
        <v>2.7599999999999999E-8</v>
      </c>
      <c r="AK15" s="95" t="s">
        <v>132</v>
      </c>
      <c r="AL15" s="95" t="s">
        <v>131</v>
      </c>
      <c r="AM15" s="354">
        <f>B23</f>
        <v>8.6300000000000002E-12</v>
      </c>
      <c r="AN15" s="95" t="s">
        <v>132</v>
      </c>
      <c r="AO15" s="95" t="s">
        <v>131</v>
      </c>
      <c r="AP15" s="354">
        <f>B25</f>
        <v>2.7599999999999999E-8</v>
      </c>
      <c r="AQ15" s="95" t="s">
        <v>132</v>
      </c>
      <c r="AR15" s="95" t="s">
        <v>131</v>
      </c>
      <c r="AS15" s="354">
        <f>B21</f>
        <v>2.7599999999999999E-8</v>
      </c>
      <c r="AT15" s="95" t="s">
        <v>132</v>
      </c>
      <c r="AU15" s="95" t="s">
        <v>131</v>
      </c>
      <c r="AV15" s="354">
        <f>B23</f>
        <v>8.6300000000000002E-12</v>
      </c>
      <c r="AW15" s="95" t="s">
        <v>132</v>
      </c>
      <c r="AX15" s="95" t="s">
        <v>131</v>
      </c>
      <c r="AY15" s="354">
        <f>B25</f>
        <v>2.7599999999999999E-8</v>
      </c>
      <c r="AZ15" s="95" t="s">
        <v>132</v>
      </c>
      <c r="BA15" s="95" t="s">
        <v>131</v>
      </c>
      <c r="BB15" s="354">
        <f>B21</f>
        <v>2.7599999999999999E-8</v>
      </c>
      <c r="BC15" s="95" t="s">
        <v>132</v>
      </c>
      <c r="BD15" s="95" t="s">
        <v>131</v>
      </c>
      <c r="BE15" s="354">
        <f>B23</f>
        <v>8.6300000000000002E-12</v>
      </c>
      <c r="BF15" s="95" t="s">
        <v>132</v>
      </c>
      <c r="BG15" s="95" t="s">
        <v>131</v>
      </c>
      <c r="BH15" s="354">
        <f>B25</f>
        <v>2.7599999999999999E-8</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429250.57333350001</v>
      </c>
      <c r="CA15" s="95" t="s">
        <v>23</v>
      </c>
      <c r="CT15" s="95" t="s">
        <v>134</v>
      </c>
      <c r="CU15" s="354">
        <f>(CU5/(CU7*CU26*(1/CU10)*CU47))*CU11</f>
        <v>647.91114655671447</v>
      </c>
      <c r="CV15" s="95" t="s">
        <v>23</v>
      </c>
      <c r="CW15" s="95" t="s">
        <v>179</v>
      </c>
      <c r="CX15" s="95">
        <v>10</v>
      </c>
      <c r="CY15" s="95" t="s">
        <v>85</v>
      </c>
      <c r="CZ15" s="95" t="s">
        <v>256</v>
      </c>
      <c r="DA15" s="354">
        <f>DA5/(DA8*DA26*(DA44/DA45))</f>
        <v>9622302.6521746293</v>
      </c>
      <c r="DB15" s="95" t="s">
        <v>25</v>
      </c>
      <c r="DC15" s="95" t="s">
        <v>269</v>
      </c>
      <c r="DD15" s="95">
        <v>55</v>
      </c>
      <c r="DE15" s="95" t="s">
        <v>55</v>
      </c>
      <c r="DF15" s="95" t="s">
        <v>137</v>
      </c>
      <c r="DG15" s="95">
        <v>0.42</v>
      </c>
      <c r="DH15" s="95" t="s">
        <v>80</v>
      </c>
      <c r="DO15" s="95" t="s">
        <v>137</v>
      </c>
      <c r="DP15" s="95">
        <v>0.42</v>
      </c>
      <c r="DQ15" s="95" t="s">
        <v>80</v>
      </c>
      <c r="ED15" s="95" t="s">
        <v>58</v>
      </c>
      <c r="EE15" s="95">
        <v>92</v>
      </c>
      <c r="EF15" s="95" t="s">
        <v>59</v>
      </c>
      <c r="ES15" s="95" t="s">
        <v>60</v>
      </c>
      <c r="ET15" s="95">
        <v>53</v>
      </c>
      <c r="EU15" s="95" t="s">
        <v>59</v>
      </c>
      <c r="FH15" s="95" t="s">
        <v>297</v>
      </c>
      <c r="FI15" s="95">
        <v>0.4</v>
      </c>
      <c r="FJ15" s="95" t="s">
        <v>59</v>
      </c>
      <c r="FT15" s="95" t="s">
        <v>322</v>
      </c>
      <c r="FU15" s="354">
        <v>8.1999999999999993</v>
      </c>
      <c r="FW15" s="95" t="s">
        <v>300</v>
      </c>
      <c r="FX15" s="357">
        <v>1</v>
      </c>
      <c r="FY15" s="95" t="s">
        <v>59</v>
      </c>
      <c r="GL15" s="95" t="s">
        <v>298</v>
      </c>
      <c r="GM15" s="95">
        <v>0.4</v>
      </c>
      <c r="GN15" s="95" t="s">
        <v>59</v>
      </c>
      <c r="HA15" s="95" t="s">
        <v>299</v>
      </c>
      <c r="HB15" s="95">
        <v>11.4</v>
      </c>
      <c r="HC15" s="95" t="s">
        <v>59</v>
      </c>
    </row>
    <row r="16" spans="1:214" s="95" customFormat="1" ht="14.25" thickTop="1" thickBot="1" x14ac:dyDescent="0.25">
      <c r="A16" s="502"/>
      <c r="B16" s="503"/>
      <c r="C16" s="504"/>
      <c r="D16" s="95" t="s">
        <v>133</v>
      </c>
      <c r="E16" s="95">
        <v>5</v>
      </c>
      <c r="F16" s="95" t="s">
        <v>62</v>
      </c>
      <c r="G16" s="95" t="s">
        <v>82</v>
      </c>
      <c r="H16" s="373">
        <f>H29*H19*H32+H30*H20*H33</f>
        <v>60500</v>
      </c>
      <c r="I16" s="95" t="s">
        <v>444</v>
      </c>
      <c r="J16" s="366" t="s">
        <v>197</v>
      </c>
      <c r="K16" s="354">
        <f>(K5/(K8*K44*((K39*K43*(1/K37))+(K40*K42*(1/K37)))*K32*(1/K46)*K33))*K11</f>
        <v>0.3000636330664852</v>
      </c>
      <c r="L16" s="367" t="s">
        <v>23</v>
      </c>
      <c r="M16" s="95" t="s">
        <v>151</v>
      </c>
      <c r="N16" s="95">
        <v>16.416</v>
      </c>
      <c r="O16" s="95" t="s">
        <v>127</v>
      </c>
      <c r="P16" s="95" t="s">
        <v>151</v>
      </c>
      <c r="Q16" s="95">
        <v>16.416</v>
      </c>
      <c r="R16" s="95" t="s">
        <v>127</v>
      </c>
      <c r="S16" s="95" t="s">
        <v>151</v>
      </c>
      <c r="T16" s="95">
        <v>16.416</v>
      </c>
      <c r="U16" s="95" t="s">
        <v>127</v>
      </c>
      <c r="V16" s="374" t="s">
        <v>134</v>
      </c>
      <c r="W16" s="375">
        <f>(W5)/((W11/W12)*W8*W9*W10*W13)</f>
        <v>5.4749520941691767E-4</v>
      </c>
      <c r="X16" s="376" t="s">
        <v>37</v>
      </c>
      <c r="Y16" s="376" t="s">
        <v>134</v>
      </c>
      <c r="Z16" s="375">
        <f>(Z5)/((Z11/Z12)*Z8*Z9*Z10*Z13)</f>
        <v>7.7644775153671924E-4</v>
      </c>
      <c r="AA16" s="377" t="s">
        <v>37</v>
      </c>
      <c r="AB16" s="95" t="s">
        <v>141</v>
      </c>
      <c r="AC16" s="95">
        <v>100</v>
      </c>
      <c r="AD16" s="95">
        <v>50</v>
      </c>
      <c r="AE16" s="95">
        <v>100</v>
      </c>
      <c r="AF16" s="95">
        <v>330</v>
      </c>
      <c r="AG16" s="95">
        <v>330</v>
      </c>
      <c r="AI16" s="95" t="s">
        <v>151</v>
      </c>
      <c r="AJ16" s="95">
        <v>8</v>
      </c>
      <c r="AK16" s="95" t="s">
        <v>127</v>
      </c>
      <c r="AL16" s="95" t="s">
        <v>151</v>
      </c>
      <c r="AM16" s="95">
        <v>8</v>
      </c>
      <c r="AN16" s="95" t="s">
        <v>127</v>
      </c>
      <c r="AO16" s="95" t="s">
        <v>151</v>
      </c>
      <c r="AP16" s="95">
        <v>8</v>
      </c>
      <c r="AQ16" s="95" t="s">
        <v>127</v>
      </c>
      <c r="AR16" s="95" t="s">
        <v>151</v>
      </c>
      <c r="AS16" s="95">
        <v>0</v>
      </c>
      <c r="AT16" s="95" t="s">
        <v>127</v>
      </c>
      <c r="AU16" s="95" t="s">
        <v>151</v>
      </c>
      <c r="AV16" s="95">
        <v>0</v>
      </c>
      <c r="AW16" s="95" t="s">
        <v>127</v>
      </c>
      <c r="AX16" s="95" t="s">
        <v>151</v>
      </c>
      <c r="AY16" s="95">
        <v>0</v>
      </c>
      <c r="AZ16" s="95" t="s">
        <v>127</v>
      </c>
      <c r="BA16" s="95" t="s">
        <v>151</v>
      </c>
      <c r="BB16" s="95">
        <v>0</v>
      </c>
      <c r="BC16" s="95" t="s">
        <v>127</v>
      </c>
      <c r="BD16" s="95" t="s">
        <v>151</v>
      </c>
      <c r="BE16" s="95">
        <v>0</v>
      </c>
      <c r="BF16" s="95" t="s">
        <v>127</v>
      </c>
      <c r="BG16" s="95" t="s">
        <v>151</v>
      </c>
      <c r="BH16" s="95">
        <v>0</v>
      </c>
      <c r="BI16" s="95" t="s">
        <v>127</v>
      </c>
      <c r="BJ16" s="95" t="s">
        <v>131</v>
      </c>
      <c r="BK16" s="354">
        <f>B21</f>
        <v>2.7599999999999999E-8</v>
      </c>
      <c r="BL16" s="95" t="s">
        <v>132</v>
      </c>
      <c r="BM16" s="95" t="s">
        <v>131</v>
      </c>
      <c r="BN16" s="354">
        <f>B23</f>
        <v>8.6300000000000002E-12</v>
      </c>
      <c r="BO16" s="95" t="s">
        <v>132</v>
      </c>
      <c r="BP16" s="95" t="s">
        <v>131</v>
      </c>
      <c r="BQ16" s="354">
        <f>B25</f>
        <v>2.7599999999999999E-8</v>
      </c>
      <c r="BR16" s="95" t="s">
        <v>132</v>
      </c>
      <c r="BS16" s="95" t="s">
        <v>182</v>
      </c>
      <c r="BT16" s="95">
        <v>1</v>
      </c>
      <c r="BU16" s="95" t="s">
        <v>85</v>
      </c>
      <c r="BV16" s="95" t="s">
        <v>263</v>
      </c>
      <c r="BW16" s="360">
        <f>((BW18*BW21*BW23*BW26)+(BW19*BW22*BW24*BW27))</f>
        <v>4160</v>
      </c>
      <c r="BX16" s="95" t="s">
        <v>445</v>
      </c>
      <c r="BY16" s="95" t="s">
        <v>87</v>
      </c>
      <c r="BZ16" s="360">
        <f>(BZ18*BZ22*BZ27+BZ19*BZ23*BZ26)</f>
        <v>256000</v>
      </c>
      <c r="CA16" s="95" t="s">
        <v>443</v>
      </c>
      <c r="CB16" s="378" t="s">
        <v>8</v>
      </c>
      <c r="CC16" s="42" t="s">
        <v>431</v>
      </c>
      <c r="CD16" s="43" t="s">
        <v>0</v>
      </c>
      <c r="CE16" s="41" t="s">
        <v>8</v>
      </c>
      <c r="CF16" s="42" t="s">
        <v>200</v>
      </c>
      <c r="CG16" s="43" t="s">
        <v>0</v>
      </c>
      <c r="CK16" s="378" t="s">
        <v>8</v>
      </c>
      <c r="CL16" s="42" t="s">
        <v>332</v>
      </c>
      <c r="CM16" s="43" t="s">
        <v>0</v>
      </c>
      <c r="CN16" s="42" t="s">
        <v>8</v>
      </c>
      <c r="CO16" s="42" t="s">
        <v>332</v>
      </c>
      <c r="CP16" s="43" t="s">
        <v>0</v>
      </c>
      <c r="CQ16" s="41" t="s">
        <v>8</v>
      </c>
      <c r="CR16" s="42" t="s">
        <v>332</v>
      </c>
      <c r="CS16" s="43" t="s">
        <v>0</v>
      </c>
      <c r="CT16" s="95" t="s">
        <v>197</v>
      </c>
      <c r="CU16" s="354">
        <f>(CU5/(CU8*CU44*((CU39*CU43*(1/CU37))+(CU40*CU42*(1/CU37)))*CU32*(1/CU46)*CU33))*CU11</f>
        <v>5.6627837412203679</v>
      </c>
      <c r="CV16" s="95" t="s">
        <v>23</v>
      </c>
      <c r="CW16" s="95" t="s">
        <v>133</v>
      </c>
      <c r="CX16" s="95">
        <v>6</v>
      </c>
      <c r="CY16" s="95" t="s">
        <v>62</v>
      </c>
      <c r="CZ16" s="95" t="s">
        <v>277</v>
      </c>
      <c r="DA16" s="354">
        <f>DG3</f>
        <v>2.4226947991176417</v>
      </c>
      <c r="DB16" s="95" t="s">
        <v>25</v>
      </c>
      <c r="DC16" s="95" t="s">
        <v>246</v>
      </c>
      <c r="DD16" s="95">
        <v>5</v>
      </c>
      <c r="DE16" s="95" t="s">
        <v>129</v>
      </c>
      <c r="DF16" s="95" t="s">
        <v>143</v>
      </c>
      <c r="DG16" s="95">
        <f>DG20+(0.693/DG22)</f>
        <v>4.9504394977168943E-2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4.25" thickTop="1" thickBot="1" x14ac:dyDescent="0.25">
      <c r="A17" s="95" t="s">
        <v>75</v>
      </c>
      <c r="B17" s="353">
        <v>2.81E-8</v>
      </c>
      <c r="C17" s="95" t="s">
        <v>64</v>
      </c>
      <c r="D17" s="95" t="s">
        <v>138</v>
      </c>
      <c r="E17" s="95">
        <v>15</v>
      </c>
      <c r="F17" s="95" t="s">
        <v>62</v>
      </c>
      <c r="G17" s="95" t="s">
        <v>105</v>
      </c>
      <c r="H17" s="95">
        <v>1</v>
      </c>
      <c r="J17" s="368" t="s">
        <v>407</v>
      </c>
      <c r="K17" s="369">
        <f>K18/(K49+K50)</f>
        <v>0.11425641893989807</v>
      </c>
      <c r="L17" s="370" t="s">
        <v>23</v>
      </c>
      <c r="V17" s="383" t="s">
        <v>139</v>
      </c>
      <c r="W17" s="384">
        <f>(W5)/((W11/W12)*W8*W9*W14*(1/365))</f>
        <v>5769.2307692307695</v>
      </c>
      <c r="X17" s="385" t="s">
        <v>37</v>
      </c>
      <c r="Y17" s="385" t="s">
        <v>139</v>
      </c>
      <c r="Z17" s="384">
        <f>(Z5)/((Z11/Z12)*Z8*Z9*Z14*(1/365))</f>
        <v>7499.9999999999991</v>
      </c>
      <c r="AA17" s="386" t="s">
        <v>37</v>
      </c>
      <c r="BS17" s="95" t="s">
        <v>133</v>
      </c>
      <c r="BT17" s="95">
        <v>6</v>
      </c>
      <c r="BU17" s="95" t="s">
        <v>62</v>
      </c>
      <c r="BV17" s="95" t="s">
        <v>145</v>
      </c>
      <c r="BW17" s="95">
        <v>0.5</v>
      </c>
      <c r="BX17" s="95" t="s">
        <v>146</v>
      </c>
      <c r="BY17" s="95" t="s">
        <v>82</v>
      </c>
      <c r="BZ17" s="360">
        <f>(BZ27*BZ24*BZ20*(BZ29/24))+(BZ26*BZ23*BZ21*(BZ30/24))</f>
        <v>3066.6666666666665</v>
      </c>
      <c r="CA17" s="95" t="s">
        <v>444</v>
      </c>
      <c r="CB17" s="387" t="s">
        <v>33</v>
      </c>
      <c r="CC17" s="127" t="s">
        <v>13</v>
      </c>
      <c r="CD17" s="129" t="s">
        <v>23</v>
      </c>
      <c r="CE17" s="126" t="s">
        <v>33</v>
      </c>
      <c r="CF17" s="127" t="s">
        <v>13</v>
      </c>
      <c r="CG17" s="129" t="s">
        <v>23</v>
      </c>
      <c r="CK17" s="387" t="s">
        <v>333</v>
      </c>
      <c r="CL17" s="127"/>
      <c r="CM17" s="129" t="s">
        <v>23</v>
      </c>
      <c r="CN17" s="127" t="s">
        <v>11</v>
      </c>
      <c r="CO17" s="127"/>
      <c r="CP17" s="129" t="s">
        <v>23</v>
      </c>
      <c r="CQ17" s="126" t="s">
        <v>10</v>
      </c>
      <c r="CR17" s="127"/>
      <c r="CS17" s="129" t="s">
        <v>23</v>
      </c>
      <c r="CT17" s="95" t="s">
        <v>407</v>
      </c>
      <c r="CU17" s="354">
        <f>DJ3</f>
        <v>0.1185831486183391</v>
      </c>
      <c r="CV17" s="95" t="s">
        <v>23</v>
      </c>
      <c r="CW17" s="95" t="s">
        <v>138</v>
      </c>
      <c r="CX17" s="95">
        <v>34</v>
      </c>
      <c r="CY17" s="95" t="s">
        <v>62</v>
      </c>
      <c r="CZ17" s="95" t="s">
        <v>262</v>
      </c>
      <c r="DA17" s="354">
        <f>DD3</f>
        <v>3.0837547798199083E-2</v>
      </c>
      <c r="DB17" s="95" t="s">
        <v>23</v>
      </c>
      <c r="DC17" s="95" t="s">
        <v>247</v>
      </c>
      <c r="DD17" s="95">
        <v>35</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261</v>
      </c>
      <c r="B18" s="353">
        <v>1.04E-10</v>
      </c>
      <c r="C18" s="95" t="s">
        <v>64</v>
      </c>
      <c r="D18" s="95" t="s">
        <v>115</v>
      </c>
      <c r="E18" s="354">
        <f>B26</f>
        <v>5.84E-11</v>
      </c>
      <c r="F18" s="95" t="s">
        <v>116</v>
      </c>
      <c r="G18" s="95" t="s">
        <v>135</v>
      </c>
      <c r="H18" s="95">
        <v>2</v>
      </c>
      <c r="J18" s="95" t="s">
        <v>406</v>
      </c>
      <c r="K18" s="354">
        <f>K5/(K9*(K25+K28)*K38)</f>
        <v>2.98209253433134E-2</v>
      </c>
      <c r="L18" s="95" t="s">
        <v>23</v>
      </c>
      <c r="M18" s="21" t="s">
        <v>13</v>
      </c>
      <c r="N18" s="22" t="s">
        <v>158</v>
      </c>
      <c r="O18" s="22" t="s">
        <v>0</v>
      </c>
      <c r="P18" s="23" t="s">
        <v>13</v>
      </c>
      <c r="Q18" s="22" t="s">
        <v>200</v>
      </c>
      <c r="R18" s="24" t="s">
        <v>0</v>
      </c>
      <c r="V18" s="374" t="s">
        <v>134</v>
      </c>
      <c r="W18" s="375">
        <f>(W5*W6*W9)/((W11/W12)*(1-EXP(-W6*W9))*W10*W13*W8*W9)</f>
        <v>5.5854185893174416E-4</v>
      </c>
      <c r="X18" s="376" t="s">
        <v>38</v>
      </c>
      <c r="Y18" s="376" t="s">
        <v>134</v>
      </c>
      <c r="Z18" s="375">
        <f>(Z5*Z6*Z9)/((Z11/Z12)*(1-EXP(-Z6*Z9))*Z10*Z13*Z8*Z9)</f>
        <v>7.8896404342222129E-4</v>
      </c>
      <c r="AA18" s="377" t="s">
        <v>38</v>
      </c>
      <c r="AI18" s="33" t="s">
        <v>13</v>
      </c>
      <c r="AJ18" s="34" t="s">
        <v>158</v>
      </c>
      <c r="AK18" s="34" t="s">
        <v>0</v>
      </c>
      <c r="AL18" s="35" t="s">
        <v>13</v>
      </c>
      <c r="AM18" s="34" t="s">
        <v>200</v>
      </c>
      <c r="AN18" s="36" t="s">
        <v>0</v>
      </c>
      <c r="AR18" s="37" t="s">
        <v>13</v>
      </c>
      <c r="AS18" s="38" t="s">
        <v>158</v>
      </c>
      <c r="AT18" s="38" t="s">
        <v>0</v>
      </c>
      <c r="AU18" s="39" t="s">
        <v>13</v>
      </c>
      <c r="AV18" s="38" t="s">
        <v>200</v>
      </c>
      <c r="AW18" s="40" t="s">
        <v>0</v>
      </c>
      <c r="BA18" s="37" t="s">
        <v>13</v>
      </c>
      <c r="BB18" s="38" t="s">
        <v>158</v>
      </c>
      <c r="BC18" s="38" t="s">
        <v>0</v>
      </c>
      <c r="BD18" s="39" t="s">
        <v>13</v>
      </c>
      <c r="BE18" s="38" t="s">
        <v>200</v>
      </c>
      <c r="BF18" s="40" t="s">
        <v>0</v>
      </c>
      <c r="BJ18" s="37" t="s">
        <v>13</v>
      </c>
      <c r="BK18" s="38" t="s">
        <v>158</v>
      </c>
      <c r="BL18" s="38" t="s">
        <v>0</v>
      </c>
      <c r="BM18" s="39" t="s">
        <v>13</v>
      </c>
      <c r="BN18" s="38" t="s">
        <v>200</v>
      </c>
      <c r="BO18" s="40" t="s">
        <v>0</v>
      </c>
      <c r="BS18" s="95" t="s">
        <v>138</v>
      </c>
      <c r="BT18" s="95">
        <v>20</v>
      </c>
      <c r="BU18" s="95" t="s">
        <v>62</v>
      </c>
      <c r="BV18" s="95" t="s">
        <v>440</v>
      </c>
      <c r="BW18" s="95">
        <v>80</v>
      </c>
      <c r="BX18" s="95" t="s">
        <v>55</v>
      </c>
      <c r="BY18" s="95" t="s">
        <v>117</v>
      </c>
      <c r="BZ18" s="95">
        <f>B47</f>
        <v>200</v>
      </c>
      <c r="CA18" s="95" t="s">
        <v>96</v>
      </c>
      <c r="CB18" s="387" t="s">
        <v>39</v>
      </c>
      <c r="CC18" s="195">
        <f>(CC20*CC21*CC22)/((1-EXP(-CC22*CC21))*CC25*CC29*(CC24/365)*CC27*(CC28/24)*CC26)</f>
        <v>8636300.3840422686</v>
      </c>
      <c r="CD18" s="129"/>
      <c r="CE18" s="126" t="s">
        <v>39</v>
      </c>
      <c r="CF18" s="195">
        <f>(CF20*CF21*CF22)/((1-EXP(-CF22*CF21))*CF25*CF29*(CF24/365)*CF27*(CF28/24)*CF26)</f>
        <v>868178.26611699536</v>
      </c>
      <c r="CG18" s="129"/>
      <c r="CK18" s="387" t="s">
        <v>17</v>
      </c>
      <c r="CL18" s="195">
        <f>CL20/(CL21*CL22*CL23*CL24)</f>
        <v>7.175660160734787</v>
      </c>
      <c r="CM18" s="129"/>
      <c r="CN18" s="127" t="s">
        <v>17</v>
      </c>
      <c r="CO18" s="195">
        <f>CL18/(CO20*((CO25*CO27*CO28*(CO21+CO22))+(CO26*CO27)))</f>
        <v>228706.29994373824</v>
      </c>
      <c r="CP18" s="129"/>
      <c r="CQ18" s="126" t="s">
        <v>17</v>
      </c>
      <c r="CR18" s="195">
        <f>CL18/(CR20*CR21*(1/CR22))</f>
        <v>287026406.42939144</v>
      </c>
      <c r="CS18" s="129"/>
      <c r="CT18" s="95" t="s">
        <v>406</v>
      </c>
      <c r="CU18" s="354">
        <f>DD3</f>
        <v>3.0837547798199083E-2</v>
      </c>
      <c r="CV18" s="95" t="s">
        <v>23</v>
      </c>
      <c r="CW18" s="95" t="s">
        <v>115</v>
      </c>
      <c r="CX18" s="354">
        <f>B26</f>
        <v>5.84E-11</v>
      </c>
      <c r="CY18" s="95" t="s">
        <v>116</v>
      </c>
      <c r="CZ18" s="95" t="s">
        <v>323</v>
      </c>
      <c r="DA18" s="354">
        <f>EZ3</f>
        <v>38546.934747748848</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77</v>
      </c>
      <c r="B19" s="353">
        <v>2.17E-10</v>
      </c>
      <c r="C19" s="95" t="s">
        <v>64</v>
      </c>
      <c r="D19" s="95" t="s">
        <v>414</v>
      </c>
      <c r="E19" s="354">
        <f>B2</f>
        <v>2.41E-4</v>
      </c>
      <c r="G19" s="95" t="s">
        <v>240</v>
      </c>
      <c r="H19" s="95">
        <v>55</v>
      </c>
      <c r="J19" s="95" t="s">
        <v>87</v>
      </c>
      <c r="K19" s="390">
        <f>K21*K31*K35+K22*K32*K34</f>
        <v>1120000</v>
      </c>
      <c r="L19" s="95" t="s">
        <v>443</v>
      </c>
      <c r="M19" s="103" t="s">
        <v>33</v>
      </c>
      <c r="N19" s="104" t="s">
        <v>34</v>
      </c>
      <c r="O19" s="105" t="s">
        <v>162</v>
      </c>
      <c r="P19" s="106" t="s">
        <v>33</v>
      </c>
      <c r="Q19" s="104" t="s">
        <v>34</v>
      </c>
      <c r="R19" s="107" t="s">
        <v>23</v>
      </c>
      <c r="V19" s="383" t="s">
        <v>139</v>
      </c>
      <c r="W19" s="384">
        <f>(W5*W6*W9)/((W11/W12)*(1-EXP(-W6*W9))*W14*W8*W9*(1/365))</f>
        <v>5885.6348384932544</v>
      </c>
      <c r="X19" s="385" t="s">
        <v>38</v>
      </c>
      <c r="Y19" s="385" t="s">
        <v>139</v>
      </c>
      <c r="Z19" s="384">
        <f>(Z5*Z6*Z9)/((Z11/Z12)*(1-EXP(-Z6*Z9))*Z14*Z8*Z9*(1/365))</f>
        <v>7620.8995569315184</v>
      </c>
      <c r="AA19" s="386" t="s">
        <v>38</v>
      </c>
      <c r="AB19" s="95" t="s">
        <v>102</v>
      </c>
      <c r="AC19" s="354">
        <f>B2</f>
        <v>2.41E-4</v>
      </c>
      <c r="AD19" s="354">
        <f>B2</f>
        <v>2.41E-4</v>
      </c>
      <c r="AE19" s="354">
        <f>B2</f>
        <v>2.41E-4</v>
      </c>
      <c r="AF19" s="354">
        <f>B2</f>
        <v>2.41E-4</v>
      </c>
      <c r="AG19" s="354">
        <f>B2</f>
        <v>2.41E-4</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5.84E-11</v>
      </c>
      <c r="BU19" s="95" t="s">
        <v>116</v>
      </c>
      <c r="BV19" s="95" t="s">
        <v>441</v>
      </c>
      <c r="BW19" s="95">
        <v>80</v>
      </c>
      <c r="BX19" s="95" t="s">
        <v>55</v>
      </c>
      <c r="BY19" s="95" t="s">
        <v>140</v>
      </c>
      <c r="BZ19" s="95">
        <f>B48</f>
        <v>100</v>
      </c>
      <c r="CA19" s="95" t="s">
        <v>96</v>
      </c>
      <c r="CB19" s="391"/>
      <c r="CC19" s="285"/>
      <c r="CD19" s="287"/>
      <c r="CE19" s="284"/>
      <c r="CF19" s="285"/>
      <c r="CG19" s="287"/>
      <c r="CK19" s="391"/>
      <c r="CL19" s="285"/>
      <c r="CM19" s="287"/>
      <c r="CN19" s="395"/>
      <c r="CO19" s="285"/>
      <c r="CP19" s="287"/>
      <c r="CQ19" s="284"/>
      <c r="CR19" s="285"/>
      <c r="CS19" s="287"/>
      <c r="CT19" s="95" t="s">
        <v>323</v>
      </c>
      <c r="CU19" s="354">
        <f>FC3</f>
        <v>211.21608080958273</v>
      </c>
      <c r="CV19" s="95" t="s">
        <v>23</v>
      </c>
      <c r="CW19" s="95" t="s">
        <v>414</v>
      </c>
      <c r="CX19" s="354">
        <f>B2</f>
        <v>2.41E-4</v>
      </c>
      <c r="CZ19" s="95" t="s">
        <v>417</v>
      </c>
      <c r="DA19" s="354">
        <f>GS3</f>
        <v>31824.09473498357</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480</v>
      </c>
      <c r="B20" s="353">
        <v>9.0999999999999996E-11</v>
      </c>
      <c r="C20" s="95" t="s">
        <v>64</v>
      </c>
      <c r="D20" s="363" t="s">
        <v>134</v>
      </c>
      <c r="E20" s="364">
        <f>(E5)/((E14/E15)*E10*E11)</f>
        <v>5.8821799358842381E-4</v>
      </c>
      <c r="F20" s="365" t="s">
        <v>37</v>
      </c>
      <c r="G20" s="95" t="s">
        <v>241</v>
      </c>
      <c r="H20" s="95">
        <v>55</v>
      </c>
      <c r="J20" s="95" t="s">
        <v>82</v>
      </c>
      <c r="K20" s="390">
        <f>(K35*K31*K23)+(K34*K32*K24)</f>
        <v>161000</v>
      </c>
      <c r="L20" s="95" t="s">
        <v>444</v>
      </c>
      <c r="M20" s="103" t="s">
        <v>39</v>
      </c>
      <c r="N20" s="185">
        <f>(N22*N23*N24)/((1-EXP(-N24*N23))*N27*N32*(N26/365)*N30*(((N31/24)*N29)+((N33/24)*N28)))</f>
        <v>77.718184755267828</v>
      </c>
      <c r="O20" s="105"/>
      <c r="P20" s="106" t="s">
        <v>39</v>
      </c>
      <c r="Q20" s="185">
        <f>(Q22*Q23*Q24)/((1-EXP(-Q24*Q23))*Q27*Q32*(Q26/365)*Q30*(((Q31/24)*Q29)+((Q33/24)*Q28)))</f>
        <v>67.177542282821875</v>
      </c>
      <c r="R20" s="107"/>
      <c r="AB20" s="95" t="s">
        <v>449</v>
      </c>
      <c r="AC20" s="95">
        <v>60</v>
      </c>
      <c r="AD20" s="95">
        <v>55</v>
      </c>
      <c r="AE20" s="95">
        <v>60</v>
      </c>
      <c r="AF20" s="95">
        <f>B46</f>
        <v>60</v>
      </c>
      <c r="AG20" s="95">
        <f>B46</f>
        <v>60</v>
      </c>
      <c r="AH20" s="95" t="s">
        <v>83</v>
      </c>
      <c r="AI20" s="116" t="s">
        <v>39</v>
      </c>
      <c r="AJ20" s="193">
        <f>(AJ22*AJ23*AJ24)/((1-EXP(-AJ24*AJ23))*AJ27*AJ32*(AJ26/365)*AJ30*((AJ31*AJ29)+((AJ33/24)*AJ28)))</f>
        <v>54.192798265685468</v>
      </c>
      <c r="AK20" s="118"/>
      <c r="AL20" s="119" t="s">
        <v>39</v>
      </c>
      <c r="AM20" s="193">
        <f>(AM22*AM23*AM24)/((1-EXP(-AM24*AM23))*AM27*AM32*(AM26/365)*AM30*((AM31*AM29)+((AM33/24)*AM28)))</f>
        <v>46.844311779457641</v>
      </c>
      <c r="AN20" s="120"/>
      <c r="AR20" s="121" t="s">
        <v>39</v>
      </c>
      <c r="AS20" s="194">
        <f>(AS22*AS23*AS24)/((1-EXP(-AS24*AS23))*AS27*AS32*(AS26/365)*AS30*(((AS31/24)*AS29)+(AS33*AS28)))</f>
        <v>1787783.1488436775</v>
      </c>
      <c r="AT20" s="123"/>
      <c r="AU20" s="124" t="s">
        <v>39</v>
      </c>
      <c r="AV20" s="194">
        <f>(AV22*AV23*AV24)/((1-EXP(-AV24*AV23))*AV27*AV32*(AV26/365)*AV30*(((AV31/24)*AV29)+(AV33*AV28)))</f>
        <v>179719.83434297945</v>
      </c>
      <c r="AW20" s="125"/>
      <c r="BA20" s="121" t="s">
        <v>39</v>
      </c>
      <c r="BB20" s="194">
        <f>(BB22*BB23*BB24)/((1-EXP(-BB24*BB23))*BB27*BB32*(BB26/365)*BB30*(((BB31/24)*BB29)+(BB33*BB28)))</f>
        <v>1787783.1488436775</v>
      </c>
      <c r="BC20" s="123"/>
      <c r="BD20" s="124" t="s">
        <v>39</v>
      </c>
      <c r="BE20" s="194">
        <f>(BE22*BE23*BE24)/((1-EXP(-BE24*BE23))*BE27*BE32*(BE26/365)*BE30*(((BE31/24)*BE29)+(BE33*BE28)))</f>
        <v>179719.83434297945</v>
      </c>
      <c r="BF20" s="125"/>
      <c r="BJ20" s="121" t="s">
        <v>39</v>
      </c>
      <c r="BK20" s="194">
        <f>(BK22*BK23*BK24)/((1-EXP(-BK24*BK23))*BK29*BK34*(BK26/365)*BK32*BK33*BK31)</f>
        <v>17608323.066198256</v>
      </c>
      <c r="BL20" s="123"/>
      <c r="BM20" s="124" t="s">
        <v>39</v>
      </c>
      <c r="BN20" s="194">
        <f>(BN22*BN23*BN24)/((1-EXP(-BN24*BN23))*BN29*BN34*(BN26/365)*BN32*BN33*BN31)</f>
        <v>1770105.5670882834</v>
      </c>
      <c r="BO20" s="125"/>
      <c r="BS20" s="95" t="s">
        <v>414</v>
      </c>
      <c r="BT20" s="354">
        <f>B2</f>
        <v>2.41E-4</v>
      </c>
      <c r="BV20" s="95" t="s">
        <v>108</v>
      </c>
      <c r="BW20" s="95">
        <v>26</v>
      </c>
      <c r="BX20" s="95" t="s">
        <v>129</v>
      </c>
      <c r="BY20" s="95" t="s">
        <v>240</v>
      </c>
      <c r="BZ20" s="95">
        <f>B44</f>
        <v>10</v>
      </c>
      <c r="CA20" s="95" t="s">
        <v>83</v>
      </c>
      <c r="CB20" s="95" t="s">
        <v>46</v>
      </c>
      <c r="CC20" s="354">
        <v>9.9999999999999995E-7</v>
      </c>
      <c r="CE20" s="95" t="s">
        <v>46</v>
      </c>
      <c r="CF20" s="354">
        <v>9.9999999999999995E-7</v>
      </c>
      <c r="CK20" s="95" t="s">
        <v>46</v>
      </c>
      <c r="CL20" s="354">
        <v>9.9999999999999995E-7</v>
      </c>
      <c r="CM20" s="355"/>
      <c r="CN20" s="95" t="s">
        <v>433</v>
      </c>
      <c r="CO20" s="354">
        <f>B40</f>
        <v>5.0000000000000002E-5</v>
      </c>
      <c r="CQ20" s="95" t="s">
        <v>433</v>
      </c>
      <c r="CR20" s="354">
        <f>B40</f>
        <v>5.0000000000000002E-5</v>
      </c>
      <c r="CT20" s="95" t="s">
        <v>417</v>
      </c>
      <c r="CU20" s="354">
        <f>GV3</f>
        <v>231.30040164412668</v>
      </c>
      <c r="CV20" s="95" t="s">
        <v>23</v>
      </c>
      <c r="CW20" s="95" t="s">
        <v>134</v>
      </c>
      <c r="CX20" s="354">
        <f>(CX5)/((CX14/CX15)*CX10*CX11)</f>
        <v>4.6167163604886021E-4</v>
      </c>
      <c r="CY20" s="95" t="s">
        <v>37</v>
      </c>
      <c r="CZ20" s="95" t="s">
        <v>326</v>
      </c>
      <c r="DA20" s="354">
        <f>EK3</f>
        <v>23.273620979772893</v>
      </c>
      <c r="DD20" s="354">
        <v>1000</v>
      </c>
      <c r="DE20" s="95" t="s">
        <v>195</v>
      </c>
      <c r="DF20" s="95" t="s">
        <v>154</v>
      </c>
      <c r="DG20" s="354">
        <f>0.693/DG23</f>
        <v>4.3949771689497717E-6</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472</v>
      </c>
      <c r="B21" s="353">
        <v>2.7599999999999999E-8</v>
      </c>
      <c r="C21" s="95" t="s">
        <v>163</v>
      </c>
      <c r="D21" s="368" t="s">
        <v>139</v>
      </c>
      <c r="E21" s="369">
        <f>(E5)/((E14/E15)*E8*E9*E18*(1/365)*E19)</f>
        <v>23576009.053187475</v>
      </c>
      <c r="F21" s="370" t="s">
        <v>37</v>
      </c>
      <c r="G21" s="95" t="s">
        <v>263</v>
      </c>
      <c r="H21" s="396">
        <f>(H29*H32*H38*H34)+(H30*H33*H39*H35)</f>
        <v>27500</v>
      </c>
      <c r="I21" s="95" t="s">
        <v>445</v>
      </c>
      <c r="J21" s="95" t="s">
        <v>117</v>
      </c>
      <c r="K21" s="95">
        <v>200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2.4756305121460619E-2</v>
      </c>
      <c r="BU21" s="95" t="s">
        <v>37</v>
      </c>
      <c r="BV21" s="95" t="s">
        <v>439</v>
      </c>
      <c r="BW21" s="95">
        <v>6</v>
      </c>
      <c r="BY21" s="95" t="s">
        <v>241</v>
      </c>
      <c r="BZ21" s="95">
        <f>B45</f>
        <v>20</v>
      </c>
      <c r="CA21" s="95" t="s">
        <v>83</v>
      </c>
      <c r="CB21" s="95" t="s">
        <v>61</v>
      </c>
      <c r="CC21" s="95">
        <v>26</v>
      </c>
      <c r="CD21" s="95" t="s">
        <v>62</v>
      </c>
      <c r="CE21" s="95" t="s">
        <v>61</v>
      </c>
      <c r="CF21" s="95">
        <v>26</v>
      </c>
      <c r="CG21" s="95" t="s">
        <v>62</v>
      </c>
      <c r="CK21" s="95" t="s">
        <v>415</v>
      </c>
      <c r="CL21" s="354">
        <f>E33</f>
        <v>1.34E-10</v>
      </c>
      <c r="CM21" s="95" t="s">
        <v>23</v>
      </c>
      <c r="CN21" s="95" t="s">
        <v>50</v>
      </c>
      <c r="CO21" s="95">
        <f>CO23</f>
        <v>5.0000000000000001E-3</v>
      </c>
      <c r="CQ21" s="95" t="s">
        <v>346</v>
      </c>
      <c r="CR21" s="357">
        <v>0.5</v>
      </c>
      <c r="CS21" s="95" t="s">
        <v>59</v>
      </c>
      <c r="CT21" s="95" t="s">
        <v>326</v>
      </c>
      <c r="CU21" s="354">
        <f>EN3</f>
        <v>363.72002651686296</v>
      </c>
      <c r="CV21" s="95" t="s">
        <v>23</v>
      </c>
      <c r="CW21" s="95" t="s">
        <v>139</v>
      </c>
      <c r="CX21" s="354">
        <f>(CX5)/((CX14/CX15)*CX8*CX9*CX18*(1/365)*CX19)</f>
        <v>2593360.9958506222</v>
      </c>
      <c r="CY21" s="95" t="s">
        <v>37</v>
      </c>
      <c r="CZ21" s="95" t="s">
        <v>418</v>
      </c>
      <c r="DA21" s="354">
        <f>DV3</f>
        <v>73.741962126128243</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0</v>
      </c>
      <c r="HF21" s="94" t="s">
        <v>159</v>
      </c>
    </row>
    <row r="22" spans="1:214" s="95" customFormat="1" ht="13.5" thickTop="1" x14ac:dyDescent="0.2">
      <c r="A22" s="95" t="s">
        <v>473</v>
      </c>
      <c r="B22" s="353">
        <f>0.0000000196</f>
        <v>1.96E-8</v>
      </c>
      <c r="C22" s="95" t="s">
        <v>477</v>
      </c>
      <c r="D22" s="363" t="s">
        <v>134</v>
      </c>
      <c r="E22" s="364">
        <f>(E5*E9*E6)/((E14/E15)*(1-EXP(-E6*E9))*E10*E11)</f>
        <v>5.9770003289562215E-4</v>
      </c>
      <c r="F22" s="365" t="s">
        <v>38</v>
      </c>
      <c r="G22" s="95" t="s">
        <v>403</v>
      </c>
      <c r="H22" s="360">
        <f>(H29*H32*H23)+(H30*H33*H24)</f>
        <v>60500</v>
      </c>
      <c r="I22" s="95" t="s">
        <v>230</v>
      </c>
      <c r="J22" s="95" t="s">
        <v>140</v>
      </c>
      <c r="K22" s="95">
        <v>100</v>
      </c>
      <c r="L22" s="95" t="s">
        <v>96</v>
      </c>
      <c r="M22" s="95" t="s">
        <v>46</v>
      </c>
      <c r="N22" s="354">
        <v>9.9999999999999995E-7</v>
      </c>
      <c r="P22" s="95" t="s">
        <v>46</v>
      </c>
      <c r="Q22" s="354">
        <v>9.9999999999999995E-7</v>
      </c>
      <c r="V22" s="25" t="s">
        <v>1</v>
      </c>
      <c r="W22" s="26" t="s">
        <v>5</v>
      </c>
      <c r="X22" s="26" t="s">
        <v>0</v>
      </c>
      <c r="Y22" s="27" t="s">
        <v>1</v>
      </c>
      <c r="Z22" s="26" t="s">
        <v>239</v>
      </c>
      <c r="AA22" s="28" t="s">
        <v>0</v>
      </c>
      <c r="AB22" s="95" t="s">
        <v>113</v>
      </c>
      <c r="AC22" s="354">
        <f>B3</f>
        <v>0.753</v>
      </c>
      <c r="AD22" s="354">
        <f>B3</f>
        <v>0.753</v>
      </c>
      <c r="AE22" s="354">
        <f>B3</f>
        <v>0.753</v>
      </c>
      <c r="AF22" s="354">
        <f>B3</f>
        <v>0.753</v>
      </c>
      <c r="AG22" s="354">
        <f>B3</f>
        <v>0.753</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319182891.79699969</v>
      </c>
      <c r="BU22" s="95" t="s">
        <v>37</v>
      </c>
      <c r="BV22" s="95" t="s">
        <v>438</v>
      </c>
      <c r="BW22" s="95">
        <f>BW20-BW21</f>
        <v>20</v>
      </c>
      <c r="BY22" s="95" t="s">
        <v>238</v>
      </c>
      <c r="BZ22" s="95">
        <v>80</v>
      </c>
      <c r="CA22" s="95" t="s">
        <v>55</v>
      </c>
      <c r="CB22" s="95" t="s">
        <v>52</v>
      </c>
      <c r="CC22" s="354">
        <f>0.693/CC23</f>
        <v>1.6034243405830633E-3</v>
      </c>
      <c r="CE22" s="95" t="s">
        <v>52</v>
      </c>
      <c r="CF22" s="354">
        <f>0.693/CF23</f>
        <v>1.6034243405830633E-3</v>
      </c>
      <c r="CK22" s="95" t="s">
        <v>238</v>
      </c>
      <c r="CL22" s="95">
        <v>80</v>
      </c>
      <c r="CM22" s="95" t="s">
        <v>268</v>
      </c>
      <c r="CN22" s="95" t="s">
        <v>57</v>
      </c>
      <c r="CO22" s="95">
        <f>CO24</f>
        <v>0.25</v>
      </c>
      <c r="CR22" s="95">
        <v>1000</v>
      </c>
      <c r="CS22" s="95" t="s">
        <v>230</v>
      </c>
      <c r="CT22" s="95" t="s">
        <v>418</v>
      </c>
      <c r="CU22" s="354">
        <f>DY3</f>
        <v>1437.4956066540522</v>
      </c>
      <c r="CV22" s="95" t="s">
        <v>23</v>
      </c>
      <c r="CW22" s="95" t="s">
        <v>134</v>
      </c>
      <c r="CX22" s="354">
        <f>(CX5*CX9*CX6)/((CX14/CX15)*(1-EXP(-CX6*CX9))*CX10*CX11)</f>
        <v>4.7663499513826528E-4</v>
      </c>
      <c r="CY22" s="95" t="s">
        <v>38</v>
      </c>
      <c r="CZ22" s="95" t="s">
        <v>324</v>
      </c>
      <c r="DA22" s="354">
        <f>GD3</f>
        <v>25697.956498499232</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476</v>
      </c>
      <c r="B23" s="353">
        <v>8.6300000000000002E-12</v>
      </c>
      <c r="C23" s="95" t="s">
        <v>163</v>
      </c>
      <c r="D23" s="368" t="s">
        <v>139</v>
      </c>
      <c r="E23" s="369">
        <f>(E5*E9*E6)/((E14/E15)*E8*E9*(1-EXP(-E6*E9))*E18*(1/365)*E19)</f>
        <v>23956052.92635332</v>
      </c>
      <c r="F23" s="370" t="s">
        <v>38</v>
      </c>
      <c r="G23" s="95" t="s">
        <v>404</v>
      </c>
      <c r="H23" s="354">
        <v>55</v>
      </c>
      <c r="I23" s="95" t="s">
        <v>413</v>
      </c>
      <c r="J23" s="95" t="s">
        <v>240</v>
      </c>
      <c r="K23" s="95">
        <v>10</v>
      </c>
      <c r="L23" s="95" t="s">
        <v>83</v>
      </c>
      <c r="M23" s="95" t="s">
        <v>61</v>
      </c>
      <c r="N23" s="95">
        <v>20</v>
      </c>
      <c r="O23" s="95" t="s">
        <v>62</v>
      </c>
      <c r="P23" s="95" t="s">
        <v>61</v>
      </c>
      <c r="Q23" s="95">
        <v>20</v>
      </c>
      <c r="R23" s="95" t="s">
        <v>62</v>
      </c>
      <c r="V23" s="108" t="s">
        <v>19</v>
      </c>
      <c r="W23" s="109" t="s">
        <v>17</v>
      </c>
      <c r="X23" s="109" t="s">
        <v>20</v>
      </c>
      <c r="Y23" s="110" t="s">
        <v>19</v>
      </c>
      <c r="Z23" s="109" t="s">
        <v>17</v>
      </c>
      <c r="AA23" s="111" t="s">
        <v>20</v>
      </c>
      <c r="AB23" s="95" t="s">
        <v>131</v>
      </c>
      <c r="AC23" s="354">
        <f>B21</f>
        <v>2.7599999999999999E-8</v>
      </c>
      <c r="AD23" s="354">
        <f>B21</f>
        <v>2.7599999999999999E-8</v>
      </c>
      <c r="AE23" s="354">
        <f>B21</f>
        <v>2.7599999999999999E-8</v>
      </c>
      <c r="AF23" s="354">
        <f>B21</f>
        <v>2.7599999999999999E-8</v>
      </c>
      <c r="AG23" s="354">
        <f>B21</f>
        <v>2.7599999999999999E-8</v>
      </c>
      <c r="AH23" s="95" t="s">
        <v>163</v>
      </c>
      <c r="AI23" s="95" t="s">
        <v>61</v>
      </c>
      <c r="AJ23" s="95">
        <v>25</v>
      </c>
      <c r="AK23" s="95" t="s">
        <v>62</v>
      </c>
      <c r="AL23" s="95" t="s">
        <v>61</v>
      </c>
      <c r="AM23" s="95">
        <v>25</v>
      </c>
      <c r="AN23" s="95" t="s">
        <v>62</v>
      </c>
      <c r="AR23" s="95" t="s">
        <v>61</v>
      </c>
      <c r="AS23" s="95">
        <v>20</v>
      </c>
      <c r="AT23" s="95" t="s">
        <v>62</v>
      </c>
      <c r="AU23" s="95" t="s">
        <v>61</v>
      </c>
      <c r="AV23" s="95">
        <v>20</v>
      </c>
      <c r="AW23" s="95" t="s">
        <v>62</v>
      </c>
      <c r="BA23" s="95" t="s">
        <v>61</v>
      </c>
      <c r="BB23" s="95">
        <v>20</v>
      </c>
      <c r="BC23" s="95" t="s">
        <v>62</v>
      </c>
      <c r="BD23" s="95" t="s">
        <v>61</v>
      </c>
      <c r="BE23" s="95">
        <v>20</v>
      </c>
      <c r="BF23" s="95" t="s">
        <v>62</v>
      </c>
      <c r="BJ23" s="95" t="s">
        <v>61</v>
      </c>
      <c r="BK23" s="95">
        <v>1</v>
      </c>
      <c r="BL23" s="95" t="s">
        <v>62</v>
      </c>
      <c r="BM23" s="95" t="s">
        <v>61</v>
      </c>
      <c r="BN23" s="95">
        <v>1</v>
      </c>
      <c r="BO23" s="95" t="s">
        <v>62</v>
      </c>
      <c r="BS23" s="95" t="s">
        <v>134</v>
      </c>
      <c r="BT23" s="354">
        <f>(BT5*BT28*BT6)/((1-EXP(-BT6*BT9))*BT10*BT11)</f>
        <v>2.5275923713963162E-2</v>
      </c>
      <c r="BU23" s="95" t="s">
        <v>38</v>
      </c>
      <c r="BV23" s="95" t="s">
        <v>436</v>
      </c>
      <c r="BW23" s="95">
        <v>2</v>
      </c>
      <c r="BX23" s="95" t="s">
        <v>180</v>
      </c>
      <c r="BY23" s="95" t="s">
        <v>78</v>
      </c>
      <c r="BZ23" s="95">
        <v>80</v>
      </c>
      <c r="CA23" s="95" t="s">
        <v>55</v>
      </c>
      <c r="CB23" s="95" t="s">
        <v>448</v>
      </c>
      <c r="CC23" s="354">
        <f>B29</f>
        <v>432.2</v>
      </c>
      <c r="CD23" s="95" t="s">
        <v>129</v>
      </c>
      <c r="CE23" s="95" t="s">
        <v>448</v>
      </c>
      <c r="CF23" s="354">
        <f>B29</f>
        <v>432.2</v>
      </c>
      <c r="CG23" s="95" t="s">
        <v>129</v>
      </c>
      <c r="CK23" s="95" t="s">
        <v>107</v>
      </c>
      <c r="CL23" s="95">
        <v>26</v>
      </c>
      <c r="CM23" s="95" t="s">
        <v>276</v>
      </c>
      <c r="CN23" s="95" t="s">
        <v>67</v>
      </c>
      <c r="CO23" s="354">
        <f>B43</f>
        <v>5.0000000000000001E-3</v>
      </c>
      <c r="CT23" s="95" t="s">
        <v>324</v>
      </c>
      <c r="CU23" s="354">
        <f>GG3</f>
        <v>140.81072053972181</v>
      </c>
      <c r="CV23" s="95" t="s">
        <v>23</v>
      </c>
      <c r="CW23" s="95" t="s">
        <v>139</v>
      </c>
      <c r="CX23" s="354">
        <f>(CX5*CX9*CX6)/((CX14/CX15)*CX8*CX9*(1-EXP(-CX6*CX9))*CX18*(1/365)*CX19)</f>
        <v>2677415.0914443638</v>
      </c>
      <c r="CY23" s="95" t="s">
        <v>38</v>
      </c>
      <c r="CZ23" s="95" t="s">
        <v>325</v>
      </c>
      <c r="DA23" s="354">
        <f>FO3</f>
        <v>2.0558365198799389</v>
      </c>
      <c r="DF23" s="95" t="s">
        <v>46</v>
      </c>
      <c r="DG23" s="354">
        <f>B33</f>
        <v>157680</v>
      </c>
      <c r="DH23" s="95" t="s">
        <v>416</v>
      </c>
      <c r="DO23" s="95" t="s">
        <v>49</v>
      </c>
      <c r="DP23" s="95">
        <f>DP25</f>
        <v>5.0000000000000002E-5</v>
      </c>
      <c r="ED23" s="95" t="s">
        <v>49</v>
      </c>
      <c r="EE23" s="95">
        <f>EE25</f>
        <v>5.0000000000000001E-3</v>
      </c>
      <c r="ES23" s="95" t="s">
        <v>49</v>
      </c>
      <c r="ET23" s="95">
        <f>ET25</f>
        <v>5.0000000000000001E-3</v>
      </c>
      <c r="FH23" s="95" t="s">
        <v>49</v>
      </c>
      <c r="FI23" s="95">
        <v>0.2</v>
      </c>
      <c r="FW23" s="95" t="s">
        <v>49</v>
      </c>
      <c r="FX23" s="95">
        <f>FX25</f>
        <v>5.0000000000000001E-3</v>
      </c>
      <c r="GL23" s="95" t="s">
        <v>49</v>
      </c>
      <c r="GM23" s="95">
        <f>GM25</f>
        <v>5.0000000000000001E-3</v>
      </c>
      <c r="HA23" s="95" t="s">
        <v>49</v>
      </c>
      <c r="HB23" s="95">
        <f>HB25</f>
        <v>5.0000000000000001E-3</v>
      </c>
      <c r="HD23" s="247">
        <f>(HE25*HE33*HE38*HE32*10^-3*HE31*HE27)/(HE30*HE41*(1-EXP(-HE27*HE31)))</f>
        <v>0.42864511621485496</v>
      </c>
      <c r="HE23" s="248"/>
      <c r="HF23" s="180" t="s">
        <v>40</v>
      </c>
    </row>
    <row r="24" spans="1:214" s="95" customFormat="1" ht="13.5" thickBot="1" x14ac:dyDescent="0.25">
      <c r="A24" s="95" t="s">
        <v>474</v>
      </c>
      <c r="B24" s="353">
        <v>2.5799999999999999E-8</v>
      </c>
      <c r="C24" s="95" t="s">
        <v>163</v>
      </c>
      <c r="D24" s="95" t="s">
        <v>244</v>
      </c>
      <c r="E24" s="95">
        <v>55</v>
      </c>
      <c r="F24" s="95" t="s">
        <v>55</v>
      </c>
      <c r="G24" s="95" t="s">
        <v>405</v>
      </c>
      <c r="H24" s="354">
        <v>55</v>
      </c>
      <c r="I24" s="95" t="s">
        <v>413</v>
      </c>
      <c r="J24" s="95" t="s">
        <v>241</v>
      </c>
      <c r="K24" s="95">
        <v>20</v>
      </c>
      <c r="L24" s="95" t="s">
        <v>83</v>
      </c>
      <c r="M24" s="95" t="s">
        <v>52</v>
      </c>
      <c r="N24" s="354">
        <f>0.693/N25</f>
        <v>1.6034243405830633E-3</v>
      </c>
      <c r="P24" s="95" t="s">
        <v>52</v>
      </c>
      <c r="Q24" s="354">
        <f>0.693/Q25</f>
        <v>1.6034243405830633E-3</v>
      </c>
      <c r="V24" s="108" t="s">
        <v>38</v>
      </c>
      <c r="W24" s="186">
        <f>1/((1/W39)+(1/W40))</f>
        <v>6.0931832848138995E-4</v>
      </c>
      <c r="X24" s="187"/>
      <c r="Y24" s="188" t="s">
        <v>38</v>
      </c>
      <c r="Z24" s="186">
        <f>1/((1/Z37)+(1/Z38))</f>
        <v>1.3698355207261145E-2</v>
      </c>
      <c r="AA24" s="189"/>
      <c r="AB24" s="95" t="s">
        <v>75</v>
      </c>
      <c r="AC24" s="354">
        <f>B17</f>
        <v>2.81E-8</v>
      </c>
      <c r="AD24" s="354">
        <f>B17</f>
        <v>2.81E-8</v>
      </c>
      <c r="AE24" s="354">
        <f>B17</f>
        <v>2.81E-8</v>
      </c>
      <c r="AF24" s="354">
        <f>B17</f>
        <v>2.81E-8</v>
      </c>
      <c r="AG24" s="354">
        <f>B17</f>
        <v>2.81E-8</v>
      </c>
      <c r="AH24" s="95" t="s">
        <v>64</v>
      </c>
      <c r="AI24" s="95" t="s">
        <v>52</v>
      </c>
      <c r="AJ24" s="354">
        <f>0.693/AJ25</f>
        <v>1.6034243405830633E-3</v>
      </c>
      <c r="AL24" s="95" t="s">
        <v>52</v>
      </c>
      <c r="AM24" s="354">
        <f>0.693/AM25</f>
        <v>1.6034243405830633E-3</v>
      </c>
      <c r="AR24" s="95" t="s">
        <v>52</v>
      </c>
      <c r="AS24" s="354">
        <f>0.693/AS25</f>
        <v>1.6034243405830633E-3</v>
      </c>
      <c r="AU24" s="95" t="s">
        <v>52</v>
      </c>
      <c r="AV24" s="354">
        <f>0.693/AV25</f>
        <v>1.6034243405830633E-3</v>
      </c>
      <c r="BA24" s="95" t="s">
        <v>52</v>
      </c>
      <c r="BB24" s="354">
        <f>0.693/BB25</f>
        <v>1.6034243405830633E-3</v>
      </c>
      <c r="BD24" s="95" t="s">
        <v>52</v>
      </c>
      <c r="BE24" s="354">
        <f>0.693/BE25</f>
        <v>1.6034243405830633E-3</v>
      </c>
      <c r="BJ24" s="95" t="s">
        <v>52</v>
      </c>
      <c r="BK24" s="354">
        <f>0.693/BK25</f>
        <v>1.6034243405830633E-3</v>
      </c>
      <c r="BM24" s="95" t="s">
        <v>52</v>
      </c>
      <c r="BN24" s="354">
        <f>0.693/BN25</f>
        <v>1.6034243405830633E-3</v>
      </c>
      <c r="BS24" s="95" t="s">
        <v>139</v>
      </c>
      <c r="BT24" s="354">
        <f>(BT5*BT9*BT6)/((BT14/24)*BT8*BT9*(1-EXP(-BT6*BT9))*BT19*(1/365)*BT20)</f>
        <v>325882331.158921</v>
      </c>
      <c r="BU24" s="95" t="s">
        <v>38</v>
      </c>
      <c r="BV24" s="95" t="s">
        <v>435</v>
      </c>
      <c r="BW24" s="95">
        <v>2</v>
      </c>
      <c r="BX24" s="95" t="s">
        <v>180</v>
      </c>
      <c r="BY24" s="95" t="s">
        <v>70</v>
      </c>
      <c r="BZ24" s="95">
        <v>80</v>
      </c>
      <c r="CA24" s="95" t="s">
        <v>55</v>
      </c>
      <c r="CB24" s="95" t="s">
        <v>54</v>
      </c>
      <c r="CC24" s="95">
        <v>80</v>
      </c>
      <c r="CD24" s="95" t="s">
        <v>63</v>
      </c>
      <c r="CE24" s="95" t="s">
        <v>54</v>
      </c>
      <c r="CF24" s="95">
        <v>80</v>
      </c>
      <c r="CG24" s="95" t="s">
        <v>63</v>
      </c>
      <c r="CK24" s="95" t="s">
        <v>334</v>
      </c>
      <c r="CL24" s="357">
        <v>0.5</v>
      </c>
      <c r="CM24" s="95" t="s">
        <v>413</v>
      </c>
      <c r="CN24" s="95" t="s">
        <v>341</v>
      </c>
      <c r="CO24" s="357">
        <v>0.25</v>
      </c>
      <c r="CT24" s="95" t="s">
        <v>325</v>
      </c>
      <c r="CU24" s="354">
        <f>FR3</f>
        <v>1.6857859463015497E-2</v>
      </c>
      <c r="CV24" s="95" t="s">
        <v>23</v>
      </c>
      <c r="CW24" s="95" t="s">
        <v>244</v>
      </c>
      <c r="CX24" s="95">
        <v>250</v>
      </c>
      <c r="CY24" s="95" t="s">
        <v>55</v>
      </c>
      <c r="CZ24" s="95" t="s">
        <v>86</v>
      </c>
      <c r="DA24" s="360">
        <f>(DA31*DA33*DA27)+(DA32*DA34*DA28)</f>
        <v>22420</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0.11342950328154099</v>
      </c>
      <c r="HE24" s="351"/>
      <c r="HF24" s="352" t="s">
        <v>45</v>
      </c>
    </row>
    <row r="25" spans="1:214" s="95" customFormat="1" ht="14.25" thickTop="1" thickBot="1" x14ac:dyDescent="0.25">
      <c r="A25" s="95" t="s">
        <v>475</v>
      </c>
      <c r="B25" s="353">
        <v>2.7599999999999999E-8</v>
      </c>
      <c r="C25" s="95" t="s">
        <v>163</v>
      </c>
      <c r="D25" s="95" t="s">
        <v>245</v>
      </c>
      <c r="E25" s="95">
        <v>55</v>
      </c>
      <c r="F25" s="95" t="s">
        <v>55</v>
      </c>
      <c r="G25" s="95" t="s">
        <v>402</v>
      </c>
      <c r="H25" s="360">
        <f>(H29*H32*H26)+(H30*H33*H27)</f>
        <v>60500</v>
      </c>
      <c r="I25" s="95" t="s">
        <v>230</v>
      </c>
      <c r="J25" s="95" t="s">
        <v>403</v>
      </c>
      <c r="K25" s="360">
        <f>(K31*K35*K26)+(K32*K34*K27)</f>
        <v>500500</v>
      </c>
      <c r="L25" s="95" t="s">
        <v>230</v>
      </c>
      <c r="M25" s="95" t="s">
        <v>448</v>
      </c>
      <c r="N25" s="354">
        <f>B29</f>
        <v>432.2</v>
      </c>
      <c r="O25" s="95" t="s">
        <v>129</v>
      </c>
      <c r="P25" s="95" t="s">
        <v>448</v>
      </c>
      <c r="Q25" s="354">
        <f>B29</f>
        <v>432.2</v>
      </c>
      <c r="R25" s="95" t="s">
        <v>129</v>
      </c>
      <c r="V25" s="263" t="s">
        <v>37</v>
      </c>
      <c r="W25" s="264">
        <f>1/((1/W37)+(1/W38))</f>
        <v>5.9726743934916389E-4</v>
      </c>
      <c r="X25" s="265"/>
      <c r="Y25" s="266" t="s">
        <v>37</v>
      </c>
      <c r="Z25" s="398">
        <f>1/((1/Z39)+(1/Z40))</f>
        <v>1.3687378936502043E-2</v>
      </c>
      <c r="AA25" s="267"/>
      <c r="AC25" s="354"/>
      <c r="AD25" s="354"/>
      <c r="AE25" s="354"/>
      <c r="AI25" s="95" t="s">
        <v>448</v>
      </c>
      <c r="AJ25" s="354">
        <f>B29</f>
        <v>432.2</v>
      </c>
      <c r="AK25" s="95" t="s">
        <v>129</v>
      </c>
      <c r="AL25" s="95" t="s">
        <v>448</v>
      </c>
      <c r="AM25" s="354">
        <f>B29</f>
        <v>432.2</v>
      </c>
      <c r="AN25" s="95" t="s">
        <v>129</v>
      </c>
      <c r="AR25" s="95" t="s">
        <v>448</v>
      </c>
      <c r="AS25" s="354">
        <f>B29</f>
        <v>432.2</v>
      </c>
      <c r="AT25" s="95" t="s">
        <v>129</v>
      </c>
      <c r="AU25" s="95" t="s">
        <v>448</v>
      </c>
      <c r="AV25" s="354">
        <f>B29</f>
        <v>432.2</v>
      </c>
      <c r="AW25" s="95" t="s">
        <v>129</v>
      </c>
      <c r="BA25" s="95" t="s">
        <v>448</v>
      </c>
      <c r="BB25" s="354">
        <f>B29</f>
        <v>432.2</v>
      </c>
      <c r="BC25" s="95" t="s">
        <v>129</v>
      </c>
      <c r="BD25" s="95" t="s">
        <v>448</v>
      </c>
      <c r="BE25" s="354">
        <f>B29</f>
        <v>432.2</v>
      </c>
      <c r="BF25" s="95" t="s">
        <v>129</v>
      </c>
      <c r="BJ25" s="95" t="s">
        <v>448</v>
      </c>
      <c r="BK25" s="354">
        <f>B29</f>
        <v>432.2</v>
      </c>
      <c r="BL25" s="95" t="s">
        <v>129</v>
      </c>
      <c r="BM25" s="95" t="s">
        <v>448</v>
      </c>
      <c r="BN25" s="354">
        <f>B29</f>
        <v>432.2</v>
      </c>
      <c r="BO25" s="95" t="s">
        <v>129</v>
      </c>
      <c r="BS25" s="95" t="s">
        <v>244</v>
      </c>
      <c r="BT25" s="95">
        <v>75</v>
      </c>
      <c r="BU25" s="95" t="s">
        <v>55</v>
      </c>
      <c r="BV25" s="95" t="s">
        <v>437</v>
      </c>
      <c r="BW25" s="95">
        <v>2</v>
      </c>
      <c r="BX25" s="95" t="s">
        <v>85</v>
      </c>
      <c r="BY25" s="95" t="s">
        <v>107</v>
      </c>
      <c r="BZ25" s="95">
        <v>26</v>
      </c>
      <c r="CA25" s="95" t="s">
        <v>129</v>
      </c>
      <c r="CB25" s="95" t="s">
        <v>68</v>
      </c>
      <c r="CC25" s="95">
        <v>26</v>
      </c>
      <c r="CD25" s="95" t="s">
        <v>62</v>
      </c>
      <c r="CE25" s="95" t="s">
        <v>68</v>
      </c>
      <c r="CF25" s="95">
        <v>26</v>
      </c>
      <c r="CG25" s="95" t="s">
        <v>62</v>
      </c>
      <c r="CN25" s="95" t="s">
        <v>339</v>
      </c>
      <c r="CO25" s="357">
        <v>0.5</v>
      </c>
      <c r="CP25" s="95" t="s">
        <v>479</v>
      </c>
      <c r="CT25" s="95" t="s">
        <v>87</v>
      </c>
      <c r="CU25" s="399">
        <f>(CU27*CU31*CU35+CU28*CU32*CU34)</f>
        <v>1150000</v>
      </c>
      <c r="CV25" s="95" t="s">
        <v>443</v>
      </c>
      <c r="CW25" s="95" t="s">
        <v>245</v>
      </c>
      <c r="CX25" s="95">
        <v>250</v>
      </c>
      <c r="CY25" s="95" t="s">
        <v>55</v>
      </c>
      <c r="CZ25" s="95" t="s">
        <v>82</v>
      </c>
      <c r="DA25" s="360">
        <f>(DA31*DA33*DA29*(DA36/24))+(DA32*DA34*DA30*(DA37/24))</f>
        <v>77083.333333333343</v>
      </c>
      <c r="DB25" s="95" t="s">
        <v>444</v>
      </c>
      <c r="DO25" s="95" t="s">
        <v>66</v>
      </c>
      <c r="DP25" s="95">
        <f>B40</f>
        <v>5.0000000000000002E-5</v>
      </c>
      <c r="ED25" s="95" t="s">
        <v>67</v>
      </c>
      <c r="EE25" s="354">
        <f>B43</f>
        <v>5.0000000000000001E-3</v>
      </c>
      <c r="ES25" s="95" t="s">
        <v>67</v>
      </c>
      <c r="ET25" s="354">
        <f>B43</f>
        <v>5.0000000000000001E-3</v>
      </c>
      <c r="FH25" s="95" t="s">
        <v>67</v>
      </c>
      <c r="FI25" s="354">
        <f>B43</f>
        <v>5.0000000000000001E-3</v>
      </c>
      <c r="FW25" s="95" t="s">
        <v>67</v>
      </c>
      <c r="FX25" s="354">
        <f>B43</f>
        <v>5.0000000000000001E-3</v>
      </c>
      <c r="GL25" s="95" t="s">
        <v>67</v>
      </c>
      <c r="GM25" s="354">
        <f>B43</f>
        <v>5.0000000000000001E-3</v>
      </c>
      <c r="HA25" s="95" t="s">
        <v>67</v>
      </c>
      <c r="HB25" s="354">
        <f>B43</f>
        <v>5.0000000000000001E-3</v>
      </c>
      <c r="HD25" s="355" t="s">
        <v>51</v>
      </c>
      <c r="HE25" s="354">
        <v>15</v>
      </c>
      <c r="HF25" s="95" t="s">
        <v>25</v>
      </c>
    </row>
    <row r="26" spans="1:214" s="95" customFormat="1" ht="14.25" thickTop="1" thickBot="1" x14ac:dyDescent="0.25">
      <c r="A26" s="95" t="s">
        <v>115</v>
      </c>
      <c r="B26" s="353">
        <v>5.84E-11</v>
      </c>
      <c r="C26" s="95" t="s">
        <v>163</v>
      </c>
      <c r="G26" s="95" t="s">
        <v>400</v>
      </c>
      <c r="H26" s="354">
        <v>55</v>
      </c>
      <c r="I26" s="95" t="s">
        <v>413</v>
      </c>
      <c r="J26" s="95" t="s">
        <v>404</v>
      </c>
      <c r="K26" s="354">
        <v>55</v>
      </c>
      <c r="L26" s="95" t="s">
        <v>413</v>
      </c>
      <c r="M26" s="95" t="s">
        <v>54</v>
      </c>
      <c r="N26" s="95">
        <v>55</v>
      </c>
      <c r="O26" s="95" t="s">
        <v>63</v>
      </c>
      <c r="P26" s="95" t="s">
        <v>54</v>
      </c>
      <c r="Q26" s="95">
        <v>55</v>
      </c>
      <c r="R26" s="95" t="s">
        <v>63</v>
      </c>
      <c r="V26" s="95" t="s">
        <v>46</v>
      </c>
      <c r="W26" s="354">
        <v>9.9999999999999995E-7</v>
      </c>
      <c r="Y26" s="95" t="s">
        <v>46</v>
      </c>
      <c r="Z26" s="354">
        <v>9.9999999999999995E-7</v>
      </c>
      <c r="AC26" s="354"/>
      <c r="AD26" s="354"/>
      <c r="AE26" s="354"/>
      <c r="AI26" s="95" t="s">
        <v>54</v>
      </c>
      <c r="AJ26" s="95">
        <v>130</v>
      </c>
      <c r="AK26" s="95" t="s">
        <v>63</v>
      </c>
      <c r="AL26" s="95" t="s">
        <v>54</v>
      </c>
      <c r="AM26" s="95">
        <v>130</v>
      </c>
      <c r="AN26" s="95" t="s">
        <v>63</v>
      </c>
      <c r="AR26" s="95" t="s">
        <v>54</v>
      </c>
      <c r="AS26" s="95">
        <v>200</v>
      </c>
      <c r="AT26" s="95" t="s">
        <v>63</v>
      </c>
      <c r="AU26" s="95" t="s">
        <v>54</v>
      </c>
      <c r="AV26" s="95">
        <v>200</v>
      </c>
      <c r="AW26" s="95" t="s">
        <v>63</v>
      </c>
      <c r="BA26" s="95" t="s">
        <v>54</v>
      </c>
      <c r="BB26" s="95">
        <v>200</v>
      </c>
      <c r="BC26" s="95" t="s">
        <v>63</v>
      </c>
      <c r="BD26" s="95" t="s">
        <v>54</v>
      </c>
      <c r="BE26" s="95">
        <v>200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354">
        <f>B11</f>
        <v>1.5699999999999999E-5</v>
      </c>
      <c r="CE26" s="95" t="s">
        <v>102</v>
      </c>
      <c r="CF26" s="354">
        <f>B7</f>
        <v>1.35E-4</v>
      </c>
      <c r="CN26" s="95" t="s">
        <v>342</v>
      </c>
      <c r="CO26" s="357">
        <v>0.5</v>
      </c>
      <c r="CP26" s="95" t="s">
        <v>479</v>
      </c>
      <c r="CT26" s="95" t="s">
        <v>82</v>
      </c>
      <c r="CU26" s="399">
        <f>((CU35*CU31*CU29*CU36/24))+(CU34*CU32*CU30*(CU37/24))</f>
        <v>77083.333333333343</v>
      </c>
      <c r="CV26" s="95" t="s">
        <v>444</v>
      </c>
      <c r="CZ26" s="95" t="s">
        <v>263</v>
      </c>
      <c r="DA26" s="360">
        <f>(DA31*DA33*DA38*DA40)+(DA32*DA34*DA39*DA41)</f>
        <v>6845</v>
      </c>
      <c r="DB26" s="95" t="s">
        <v>445</v>
      </c>
      <c r="DF26" s="95" t="s">
        <v>67</v>
      </c>
      <c r="DG26" s="354">
        <f>B43</f>
        <v>5.0000000000000001E-3</v>
      </c>
      <c r="DO26" s="95" t="s">
        <v>73</v>
      </c>
      <c r="DP26" s="95">
        <v>0.26</v>
      </c>
      <c r="ED26" s="95" t="s">
        <v>73</v>
      </c>
      <c r="EE26" s="95">
        <v>0.25</v>
      </c>
      <c r="EJ26" s="95" t="s">
        <v>67</v>
      </c>
      <c r="EK26" s="354">
        <f>B43</f>
        <v>5.0000000000000001E-3</v>
      </c>
      <c r="ES26" s="95" t="s">
        <v>73</v>
      </c>
      <c r="ET26" s="95">
        <v>0.25</v>
      </c>
      <c r="FH26" s="95" t="s">
        <v>316</v>
      </c>
      <c r="FI26" s="95">
        <v>0.25</v>
      </c>
      <c r="FW26" s="95" t="s">
        <v>311</v>
      </c>
      <c r="FX26" s="95">
        <v>0.25</v>
      </c>
      <c r="GL26" s="95" t="s">
        <v>305</v>
      </c>
      <c r="GM26" s="95">
        <v>0.25</v>
      </c>
      <c r="HA26" s="95" t="s">
        <v>310</v>
      </c>
      <c r="HB26" s="95">
        <v>0.25</v>
      </c>
      <c r="HD26" s="95" t="s">
        <v>17</v>
      </c>
      <c r="HE26" s="354">
        <f>H3</f>
        <v>3.9693501333869849</v>
      </c>
      <c r="HF26" s="95" t="s">
        <v>25</v>
      </c>
    </row>
    <row r="27" spans="1:214" s="95" customFormat="1" ht="12.75" customHeight="1" thickTop="1" x14ac:dyDescent="0.2">
      <c r="A27" s="95" t="s">
        <v>409</v>
      </c>
      <c r="B27" s="353">
        <v>1.3299999999999999E-13</v>
      </c>
      <c r="C27" s="95" t="s">
        <v>64</v>
      </c>
      <c r="D27" s="401" t="s">
        <v>3</v>
      </c>
      <c r="E27" s="19"/>
      <c r="F27" s="20" t="s">
        <v>0</v>
      </c>
      <c r="G27" s="95" t="s">
        <v>401</v>
      </c>
      <c r="H27" s="354">
        <v>55</v>
      </c>
      <c r="I27" s="95" t="s">
        <v>413</v>
      </c>
      <c r="J27" s="95" t="s">
        <v>405</v>
      </c>
      <c r="K27" s="354">
        <v>55</v>
      </c>
      <c r="L27" s="95" t="s">
        <v>413</v>
      </c>
      <c r="M27" s="95" t="s">
        <v>68</v>
      </c>
      <c r="N27" s="95">
        <v>20</v>
      </c>
      <c r="O27" s="95" t="s">
        <v>62</v>
      </c>
      <c r="P27" s="95" t="s">
        <v>68</v>
      </c>
      <c r="Q27" s="95">
        <v>20</v>
      </c>
      <c r="R27" s="95" t="s">
        <v>62</v>
      </c>
      <c r="V27" s="95" t="s">
        <v>52</v>
      </c>
      <c r="W27" s="354">
        <f>0.693/W28</f>
        <v>1.6034243405830633E-3</v>
      </c>
      <c r="Y27" s="95" t="s">
        <v>52</v>
      </c>
      <c r="Z27" s="354">
        <f>0.693/Z28</f>
        <v>1.6034243405830633E-3</v>
      </c>
      <c r="AB27" s="95" t="s">
        <v>68</v>
      </c>
      <c r="AF27" s="95">
        <v>1</v>
      </c>
      <c r="AG27" s="95">
        <v>1</v>
      </c>
      <c r="AH27" s="95" t="s">
        <v>129</v>
      </c>
      <c r="AI27" s="95" t="s">
        <v>68</v>
      </c>
      <c r="AJ27" s="95">
        <v>25</v>
      </c>
      <c r="AK27" s="95" t="s">
        <v>62</v>
      </c>
      <c r="AL27" s="95" t="s">
        <v>68</v>
      </c>
      <c r="AM27" s="95">
        <v>25</v>
      </c>
      <c r="AN27" s="95" t="s">
        <v>62</v>
      </c>
      <c r="AR27" s="95" t="s">
        <v>68</v>
      </c>
      <c r="AS27" s="95">
        <v>20</v>
      </c>
      <c r="AT27" s="95" t="s">
        <v>62</v>
      </c>
      <c r="AU27" s="95" t="s">
        <v>68</v>
      </c>
      <c r="AV27" s="95">
        <v>20</v>
      </c>
      <c r="AW27" s="95" t="s">
        <v>62</v>
      </c>
      <c r="BA27" s="95" t="s">
        <v>68</v>
      </c>
      <c r="BB27" s="95">
        <v>20</v>
      </c>
      <c r="BC27" s="95" t="s">
        <v>62</v>
      </c>
      <c r="BD27" s="95" t="s">
        <v>68</v>
      </c>
      <c r="BE27" s="95">
        <v>20</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354">
        <f>B12</f>
        <v>0.80900000000000005</v>
      </c>
      <c r="CE27" s="95" t="s">
        <v>113</v>
      </c>
      <c r="CF27" s="354">
        <f>B8</f>
        <v>0.71099999999999997</v>
      </c>
      <c r="CN27" s="95" t="s">
        <v>343</v>
      </c>
      <c r="CO27" s="357">
        <v>1</v>
      </c>
      <c r="CP27" s="95" t="s">
        <v>80</v>
      </c>
      <c r="CT27" s="95" t="s">
        <v>117</v>
      </c>
      <c r="CU27" s="95">
        <v>200</v>
      </c>
      <c r="CV27" s="95" t="s">
        <v>96</v>
      </c>
      <c r="CZ27" s="95" t="s">
        <v>105</v>
      </c>
      <c r="DA27" s="95">
        <v>0.78</v>
      </c>
      <c r="DB27" s="95" t="s">
        <v>59</v>
      </c>
      <c r="EB27" s="354"/>
      <c r="ED27" s="95" t="s">
        <v>347</v>
      </c>
      <c r="EE27" s="354">
        <f>B35</f>
        <v>1.9999999999999999E-6</v>
      </c>
      <c r="EQ27" s="354"/>
      <c r="ES27" s="95" t="s">
        <v>348</v>
      </c>
      <c r="ET27" s="354">
        <f>B36</f>
        <v>5.0000000000000002E-5</v>
      </c>
      <c r="FH27" s="95" t="s">
        <v>349</v>
      </c>
      <c r="FI27" s="356">
        <f>B38</f>
        <v>4.0000000000000001E-3</v>
      </c>
      <c r="FW27" s="95" t="s">
        <v>350</v>
      </c>
      <c r="FX27" s="357">
        <v>1</v>
      </c>
      <c r="GL27" s="95" t="s">
        <v>351</v>
      </c>
      <c r="GM27" s="356">
        <f>B37</f>
        <v>6.0000000000000001E-3</v>
      </c>
      <c r="HA27" s="95" t="s">
        <v>352</v>
      </c>
      <c r="HB27" s="356">
        <f>B39</f>
        <v>1.7000000000000001E-4</v>
      </c>
      <c r="HD27" s="95" t="s">
        <v>52</v>
      </c>
      <c r="HE27" s="354">
        <f>0.693/HE28</f>
        <v>1.6034243405830633E-3</v>
      </c>
    </row>
    <row r="28" spans="1:214" s="95" customFormat="1" ht="14.25" x14ac:dyDescent="0.2">
      <c r="A28" s="95" t="s">
        <v>415</v>
      </c>
      <c r="B28" s="353">
        <v>1.34E-10</v>
      </c>
      <c r="C28" s="95" t="s">
        <v>64</v>
      </c>
      <c r="D28" s="402" t="s">
        <v>166</v>
      </c>
      <c r="E28" s="101" t="s">
        <v>17</v>
      </c>
      <c r="F28" s="102" t="s">
        <v>23</v>
      </c>
      <c r="G28" s="95" t="s">
        <v>145</v>
      </c>
      <c r="H28" s="95">
        <v>0.5</v>
      </c>
      <c r="I28" s="95" t="s">
        <v>146</v>
      </c>
      <c r="J28" s="95" t="s">
        <v>402</v>
      </c>
      <c r="K28" s="360">
        <f>(K31*K35*K29)+(K32*K34*K30)</f>
        <v>500500</v>
      </c>
      <c r="L28" s="95" t="s">
        <v>230</v>
      </c>
      <c r="M28" s="95" t="s">
        <v>91</v>
      </c>
      <c r="N28" s="95">
        <v>0.4</v>
      </c>
      <c r="P28" s="95" t="s">
        <v>91</v>
      </c>
      <c r="Q28" s="95">
        <v>0.4</v>
      </c>
      <c r="V28" s="95" t="s">
        <v>448</v>
      </c>
      <c r="W28" s="354">
        <f>B29</f>
        <v>432.2</v>
      </c>
      <c r="X28" s="95" t="s">
        <v>129</v>
      </c>
      <c r="Y28" s="95" t="s">
        <v>448</v>
      </c>
      <c r="Z28" s="354">
        <f>B29</f>
        <v>432.2</v>
      </c>
      <c r="AA28" s="95" t="s">
        <v>129</v>
      </c>
      <c r="AB28" s="95" t="s">
        <v>171</v>
      </c>
      <c r="AC28" s="354">
        <v>8</v>
      </c>
      <c r="AD28" s="354">
        <v>8</v>
      </c>
      <c r="AE28" s="354">
        <v>8</v>
      </c>
      <c r="AF28" s="354">
        <f t="shared" ref="AF28:AF29" si="0">8/24</f>
        <v>0.33333333333333331</v>
      </c>
      <c r="AG28" s="354">
        <f>8/24</f>
        <v>0.33333333333333331</v>
      </c>
      <c r="AH28" s="95" t="s">
        <v>127</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2</v>
      </c>
      <c r="CA28" s="95" t="s">
        <v>85</v>
      </c>
      <c r="CB28" s="95" t="s">
        <v>182</v>
      </c>
      <c r="CC28" s="95">
        <v>2</v>
      </c>
      <c r="CD28" s="95" t="s">
        <v>127</v>
      </c>
      <c r="CE28" s="95" t="s">
        <v>182</v>
      </c>
      <c r="CF28" s="95">
        <v>2</v>
      </c>
      <c r="CG28" s="95" t="s">
        <v>127</v>
      </c>
      <c r="CN28" s="95" t="s">
        <v>344</v>
      </c>
      <c r="CO28" s="357">
        <v>1</v>
      </c>
      <c r="CP28" s="95" t="s">
        <v>80</v>
      </c>
      <c r="CT28" s="95" t="s">
        <v>140</v>
      </c>
      <c r="CU28" s="95">
        <v>100</v>
      </c>
      <c r="CV28" s="95" t="s">
        <v>96</v>
      </c>
      <c r="CZ28" s="95" t="s">
        <v>135</v>
      </c>
      <c r="DA28" s="95">
        <v>2.5</v>
      </c>
      <c r="DB28" s="95" t="s">
        <v>59</v>
      </c>
      <c r="FW28" s="95" t="s">
        <v>203</v>
      </c>
      <c r="FX28" s="354">
        <v>30</v>
      </c>
      <c r="HD28" s="95" t="s">
        <v>448</v>
      </c>
      <c r="HE28" s="354">
        <f>B29</f>
        <v>432.2</v>
      </c>
      <c r="HF28" s="95" t="s">
        <v>129</v>
      </c>
    </row>
    <row r="29" spans="1:214" s="95" customFormat="1" ht="15" x14ac:dyDescent="0.2">
      <c r="A29" s="95" t="s">
        <v>448</v>
      </c>
      <c r="B29" s="353">
        <v>432.2</v>
      </c>
      <c r="C29" s="95" t="s">
        <v>454</v>
      </c>
      <c r="D29" s="402" t="s">
        <v>166</v>
      </c>
      <c r="E29" s="403">
        <f>E36</f>
        <v>0.12563445399266293</v>
      </c>
      <c r="F29" s="184"/>
      <c r="G29" s="95" t="s">
        <v>70</v>
      </c>
      <c r="H29" s="95">
        <v>55</v>
      </c>
      <c r="I29" s="95" t="s">
        <v>55</v>
      </c>
      <c r="J29" s="95" t="s">
        <v>400</v>
      </c>
      <c r="K29" s="354">
        <v>55</v>
      </c>
      <c r="L29" s="95" t="s">
        <v>413</v>
      </c>
      <c r="M29" s="95" t="s">
        <v>102</v>
      </c>
      <c r="N29" s="354">
        <f>B11</f>
        <v>1.5699999999999999E-5</v>
      </c>
      <c r="P29" s="95" t="s">
        <v>102</v>
      </c>
      <c r="Q29" s="354">
        <f>B7</f>
        <v>1.35E-4</v>
      </c>
      <c r="V29" s="95" t="s">
        <v>54</v>
      </c>
      <c r="W29" s="95">
        <v>130</v>
      </c>
      <c r="X29" s="95" t="s">
        <v>63</v>
      </c>
      <c r="Y29" s="95" t="s">
        <v>54</v>
      </c>
      <c r="Z29" s="95">
        <f>Z41*Z42</f>
        <v>130</v>
      </c>
      <c r="AA29" s="95" t="s">
        <v>63</v>
      </c>
      <c r="AB29" s="95" t="s">
        <v>174</v>
      </c>
      <c r="AC29" s="354">
        <v>8</v>
      </c>
      <c r="AD29" s="354">
        <v>8</v>
      </c>
      <c r="AE29" s="354">
        <v>8</v>
      </c>
      <c r="AF29" s="354">
        <f t="shared" si="0"/>
        <v>0.33333333333333331</v>
      </c>
      <c r="AG29" s="354">
        <f>8/24</f>
        <v>0.33333333333333331</v>
      </c>
      <c r="AH29" s="95" t="s">
        <v>127</v>
      </c>
      <c r="AI29" s="95" t="s">
        <v>102</v>
      </c>
      <c r="AJ29" s="354">
        <f>B11</f>
        <v>1.5699999999999999E-5</v>
      </c>
      <c r="AL29" s="95" t="s">
        <v>102</v>
      </c>
      <c r="AM29" s="354">
        <f>B7</f>
        <v>1.35E-4</v>
      </c>
      <c r="AR29" s="95" t="s">
        <v>102</v>
      </c>
      <c r="AS29" s="354">
        <f>B11</f>
        <v>1.5699999999999999E-5</v>
      </c>
      <c r="AU29" s="95" t="s">
        <v>102</v>
      </c>
      <c r="AV29" s="354">
        <f>B7</f>
        <v>1.35E-4</v>
      </c>
      <c r="BA29" s="95" t="s">
        <v>102</v>
      </c>
      <c r="BB29" s="354">
        <f>B11</f>
        <v>1.5699999999999999E-5</v>
      </c>
      <c r="BD29" s="95" t="s">
        <v>102</v>
      </c>
      <c r="BE29" s="354">
        <f>B7</f>
        <v>1.35E-4</v>
      </c>
      <c r="BJ29" s="95" t="s">
        <v>68</v>
      </c>
      <c r="BK29" s="95">
        <v>1</v>
      </c>
      <c r="BL29" s="95" t="s">
        <v>62</v>
      </c>
      <c r="BM29" s="95" t="s">
        <v>68</v>
      </c>
      <c r="BN29" s="95">
        <v>1</v>
      </c>
      <c r="BO29" s="95" t="s">
        <v>62</v>
      </c>
      <c r="BT29" s="404"/>
      <c r="BU29" s="355"/>
      <c r="BW29" s="95">
        <v>1000</v>
      </c>
      <c r="BX29" s="95" t="s">
        <v>173</v>
      </c>
      <c r="BY29" s="95" t="s">
        <v>259</v>
      </c>
      <c r="BZ29" s="95">
        <v>2</v>
      </c>
      <c r="CA29" s="95" t="s">
        <v>85</v>
      </c>
      <c r="CB29" s="95" t="s">
        <v>131</v>
      </c>
      <c r="CC29" s="354">
        <f>B22</f>
        <v>1.96E-8</v>
      </c>
      <c r="CD29" s="95" t="s">
        <v>132</v>
      </c>
      <c r="CE29" s="95" t="s">
        <v>131</v>
      </c>
      <c r="CF29" s="354">
        <f>B24</f>
        <v>2.5799999999999999E-8</v>
      </c>
      <c r="CG29" s="95" t="s">
        <v>132</v>
      </c>
      <c r="CT29" s="95" t="s">
        <v>240</v>
      </c>
      <c r="CU29" s="95">
        <v>10</v>
      </c>
      <c r="CV29" s="95" t="s">
        <v>83</v>
      </c>
      <c r="CZ29" s="95" t="s">
        <v>240</v>
      </c>
      <c r="DA29" s="95">
        <v>10</v>
      </c>
      <c r="DB29" s="95" t="s">
        <v>264</v>
      </c>
      <c r="FW29" s="95" t="s">
        <v>322</v>
      </c>
      <c r="FX29" s="354">
        <v>8.1999999999999993</v>
      </c>
      <c r="HD29" s="95" t="s">
        <v>172</v>
      </c>
      <c r="HE29" s="95">
        <v>0.3</v>
      </c>
    </row>
    <row r="30" spans="1:214" s="95" customFormat="1" ht="15.75" thickBot="1" x14ac:dyDescent="0.25">
      <c r="A30" s="95" t="s">
        <v>164</v>
      </c>
      <c r="B30" s="353">
        <f>PEF!D3</f>
        <v>1359344473.5814338</v>
      </c>
      <c r="D30" s="405"/>
      <c r="E30" s="256" t="s">
        <v>34</v>
      </c>
      <c r="F30" s="257"/>
      <c r="G30" s="95" t="s">
        <v>78</v>
      </c>
      <c r="H30" s="95">
        <v>55</v>
      </c>
      <c r="I30" s="95" t="s">
        <v>55</v>
      </c>
      <c r="J30" s="95" t="s">
        <v>401</v>
      </c>
      <c r="K30" s="354">
        <v>55</v>
      </c>
      <c r="L30" s="95" t="s">
        <v>413</v>
      </c>
      <c r="M30" s="95" t="s">
        <v>113</v>
      </c>
      <c r="N30" s="354">
        <f>B12</f>
        <v>0.80900000000000005</v>
      </c>
      <c r="P30" s="95" t="s">
        <v>113</v>
      </c>
      <c r="Q30" s="354">
        <f>B8</f>
        <v>0.71099999999999997</v>
      </c>
      <c r="V30" s="95" t="s">
        <v>68</v>
      </c>
      <c r="W30" s="95">
        <v>25</v>
      </c>
      <c r="X30" s="95" t="s">
        <v>62</v>
      </c>
      <c r="Y30" s="95" t="s">
        <v>68</v>
      </c>
      <c r="Z30" s="95">
        <v>1</v>
      </c>
      <c r="AA30" s="95" t="s">
        <v>62</v>
      </c>
      <c r="AB30" s="95" t="s">
        <v>177</v>
      </c>
      <c r="AC30" s="95">
        <v>0.4</v>
      </c>
      <c r="AD30" s="95">
        <v>0.4</v>
      </c>
      <c r="AE30" s="95">
        <v>0.4</v>
      </c>
      <c r="AF30" s="95">
        <v>0.4</v>
      </c>
      <c r="AG30" s="95">
        <v>0.4</v>
      </c>
      <c r="AI30" s="95" t="s">
        <v>113</v>
      </c>
      <c r="AJ30" s="354">
        <f>B12</f>
        <v>0.80900000000000005</v>
      </c>
      <c r="AL30" s="95" t="s">
        <v>113</v>
      </c>
      <c r="AM30" s="354">
        <f>B8</f>
        <v>0.71099999999999997</v>
      </c>
      <c r="AR30" s="95" t="s">
        <v>113</v>
      </c>
      <c r="AS30" s="354">
        <f>B12</f>
        <v>0.80900000000000005</v>
      </c>
      <c r="AU30" s="95" t="s">
        <v>113</v>
      </c>
      <c r="AV30" s="354">
        <f>B8</f>
        <v>0.71099999999999997</v>
      </c>
      <c r="BA30" s="95" t="s">
        <v>113</v>
      </c>
      <c r="BB30" s="354">
        <f>B12</f>
        <v>0.80900000000000005</v>
      </c>
      <c r="BD30" s="95" t="s">
        <v>113</v>
      </c>
      <c r="BE30" s="354">
        <f>B8</f>
        <v>0.71099999999999997</v>
      </c>
      <c r="BT30" s="354"/>
      <c r="BW30" s="95">
        <v>1000</v>
      </c>
      <c r="BX30" s="95" t="s">
        <v>408</v>
      </c>
      <c r="BY30" s="95" t="s">
        <v>260</v>
      </c>
      <c r="BZ30" s="95">
        <v>2</v>
      </c>
      <c r="CA30" s="95" t="s">
        <v>85</v>
      </c>
      <c r="CT30" s="95" t="s">
        <v>241</v>
      </c>
      <c r="CU30" s="95">
        <v>20</v>
      </c>
      <c r="CV30" s="95" t="s">
        <v>83</v>
      </c>
      <c r="CZ30" s="95" t="s">
        <v>241</v>
      </c>
      <c r="DA30" s="95">
        <v>20</v>
      </c>
      <c r="DB30" s="95" t="s">
        <v>264</v>
      </c>
      <c r="FX30" s="95">
        <v>1000</v>
      </c>
      <c r="FY30" s="95" t="s">
        <v>230</v>
      </c>
      <c r="HD30" s="95" t="s">
        <v>175</v>
      </c>
      <c r="HE30" s="354">
        <v>1.5</v>
      </c>
    </row>
    <row r="31" spans="1:214" s="95" customFormat="1" ht="13.5" thickTop="1" x14ac:dyDescent="0.2">
      <c r="A31" s="95" t="s">
        <v>201</v>
      </c>
      <c r="B31" s="353">
        <f>PEF!G3</f>
        <v>773681.6396651821</v>
      </c>
      <c r="D31" s="95" t="s">
        <v>46</v>
      </c>
      <c r="E31" s="354">
        <v>9.9999999999999995E-7</v>
      </c>
      <c r="G31" s="95" t="s">
        <v>108</v>
      </c>
      <c r="H31" s="95">
        <f>H32+H33</f>
        <v>20</v>
      </c>
      <c r="I31" s="95" t="s">
        <v>129</v>
      </c>
      <c r="J31" s="95" t="s">
        <v>70</v>
      </c>
      <c r="K31" s="95">
        <v>350</v>
      </c>
      <c r="L31" s="95" t="s">
        <v>55</v>
      </c>
      <c r="M31" s="95" t="s">
        <v>124</v>
      </c>
      <c r="N31" s="95">
        <v>1.752</v>
      </c>
      <c r="O31" s="95" t="s">
        <v>127</v>
      </c>
      <c r="P31" s="95" t="s">
        <v>124</v>
      </c>
      <c r="Q31" s="95">
        <v>1.752</v>
      </c>
      <c r="R31" s="95" t="s">
        <v>127</v>
      </c>
      <c r="V31" s="95" t="s">
        <v>75</v>
      </c>
      <c r="W31" s="354">
        <f>B17</f>
        <v>2.81E-8</v>
      </c>
      <c r="X31" s="95" t="s">
        <v>76</v>
      </c>
      <c r="Y31" s="95" t="s">
        <v>75</v>
      </c>
      <c r="Z31" s="354">
        <f>B17</f>
        <v>2.81E-8</v>
      </c>
      <c r="AA31" s="95" t="s">
        <v>76</v>
      </c>
      <c r="AB31" s="95" t="s">
        <v>160</v>
      </c>
      <c r="AC31" s="95">
        <v>25</v>
      </c>
      <c r="AD31" s="95">
        <v>25</v>
      </c>
      <c r="AE31" s="95">
        <v>25</v>
      </c>
      <c r="AF31" s="95">
        <v>1</v>
      </c>
      <c r="AG31" s="95">
        <v>1</v>
      </c>
      <c r="AH31" s="95" t="s">
        <v>94</v>
      </c>
      <c r="AI31" s="95" t="s">
        <v>124</v>
      </c>
      <c r="AJ31" s="95">
        <v>0</v>
      </c>
      <c r="AK31" s="95" t="s">
        <v>127</v>
      </c>
      <c r="AL31" s="95" t="s">
        <v>124</v>
      </c>
      <c r="AM31" s="95">
        <v>0</v>
      </c>
      <c r="AN31" s="95" t="s">
        <v>127</v>
      </c>
      <c r="AR31" s="95" t="s">
        <v>126</v>
      </c>
      <c r="AS31" s="95">
        <v>5</v>
      </c>
      <c r="AT31" s="95" t="s">
        <v>127</v>
      </c>
      <c r="AU31" s="95" t="s">
        <v>124</v>
      </c>
      <c r="AV31" s="95">
        <v>5</v>
      </c>
      <c r="AW31" s="95" t="s">
        <v>127</v>
      </c>
      <c r="BA31" s="95" t="s">
        <v>126</v>
      </c>
      <c r="BB31" s="95">
        <v>5</v>
      </c>
      <c r="BC31" s="95" t="s">
        <v>127</v>
      </c>
      <c r="BD31" s="95" t="s">
        <v>124</v>
      </c>
      <c r="BE31" s="95">
        <v>5</v>
      </c>
      <c r="BF31" s="95" t="s">
        <v>127</v>
      </c>
      <c r="BJ31" s="95" t="s">
        <v>102</v>
      </c>
      <c r="BK31" s="354">
        <f>B11</f>
        <v>1.5699999999999999E-5</v>
      </c>
      <c r="BM31" s="95" t="s">
        <v>102</v>
      </c>
      <c r="BN31" s="354">
        <f>B7</f>
        <v>1.35E-4</v>
      </c>
      <c r="BW31" s="95">
        <v>365</v>
      </c>
      <c r="BX31" s="95" t="s">
        <v>55</v>
      </c>
      <c r="BY31" s="95" t="s">
        <v>243</v>
      </c>
      <c r="BZ31" s="354">
        <f>B2</f>
        <v>2.41E-4</v>
      </c>
      <c r="CT31" s="95" t="s">
        <v>70</v>
      </c>
      <c r="CU31" s="95">
        <v>250</v>
      </c>
      <c r="CV31" s="95" t="s">
        <v>55</v>
      </c>
      <c r="CZ31" s="95" t="s">
        <v>269</v>
      </c>
      <c r="DA31" s="95">
        <v>250</v>
      </c>
      <c r="DB31" s="95" t="s">
        <v>268</v>
      </c>
      <c r="HD31" s="95" t="s">
        <v>61</v>
      </c>
      <c r="HE31" s="95">
        <v>26</v>
      </c>
    </row>
    <row r="32" spans="1:214" s="95" customFormat="1" x14ac:dyDescent="0.2">
      <c r="A32" s="95" t="s">
        <v>202</v>
      </c>
      <c r="B32" s="353">
        <f>PEF!J3</f>
        <v>36055860.959050171</v>
      </c>
      <c r="D32" s="95" t="s">
        <v>54</v>
      </c>
      <c r="E32" s="95">
        <v>55</v>
      </c>
      <c r="F32" s="95" t="s">
        <v>55</v>
      </c>
      <c r="G32" s="95" t="s">
        <v>88</v>
      </c>
      <c r="H32" s="95">
        <v>5</v>
      </c>
      <c r="J32" s="95" t="s">
        <v>78</v>
      </c>
      <c r="K32" s="95">
        <v>350</v>
      </c>
      <c r="L32" s="95" t="s">
        <v>55</v>
      </c>
      <c r="M32" s="95" t="s">
        <v>131</v>
      </c>
      <c r="N32" s="354">
        <f>B22</f>
        <v>1.96E-8</v>
      </c>
      <c r="O32" s="95" t="s">
        <v>132</v>
      </c>
      <c r="P32" s="95" t="s">
        <v>131</v>
      </c>
      <c r="Q32" s="354">
        <f>B24</f>
        <v>2.5799999999999999E-8</v>
      </c>
      <c r="R32" s="95" t="s">
        <v>132</v>
      </c>
      <c r="V32" s="95" t="s">
        <v>84</v>
      </c>
      <c r="W32" s="95">
        <v>8</v>
      </c>
      <c r="X32" s="95" t="s">
        <v>85</v>
      </c>
      <c r="Y32" s="95" t="s">
        <v>84</v>
      </c>
      <c r="Z32" s="95">
        <v>8</v>
      </c>
      <c r="AA32" s="95" t="s">
        <v>85</v>
      </c>
      <c r="AB32" s="95" t="s">
        <v>52</v>
      </c>
      <c r="AC32" s="354">
        <f>0.693/AC33</f>
        <v>1.6034243405830633E-3</v>
      </c>
      <c r="AD32" s="354">
        <f>0.693/AD33</f>
        <v>1.6034243405830633E-3</v>
      </c>
      <c r="AE32" s="354">
        <f>0.693/AE33</f>
        <v>1.6034243405830633E-3</v>
      </c>
      <c r="AF32" s="354">
        <f>0.693/AF33</f>
        <v>1.6034243405830633E-3</v>
      </c>
      <c r="AG32" s="354">
        <f>0.693/AG33</f>
        <v>1.6034243405830633E-3</v>
      </c>
      <c r="AI32" s="95" t="s">
        <v>131</v>
      </c>
      <c r="AJ32" s="354">
        <f>B22</f>
        <v>1.96E-8</v>
      </c>
      <c r="AK32" s="95" t="s">
        <v>132</v>
      </c>
      <c r="AL32" s="95" t="s">
        <v>131</v>
      </c>
      <c r="AM32" s="354">
        <f>B24</f>
        <v>2.5799999999999999E-8</v>
      </c>
      <c r="AN32" s="95" t="s">
        <v>132</v>
      </c>
      <c r="AR32" s="95" t="s">
        <v>131</v>
      </c>
      <c r="AS32" s="354">
        <f>B22</f>
        <v>1.96E-8</v>
      </c>
      <c r="AT32" s="95" t="s">
        <v>132</v>
      </c>
      <c r="AU32" s="95" t="s">
        <v>131</v>
      </c>
      <c r="AV32" s="354">
        <f>B24</f>
        <v>2.5799999999999999E-8</v>
      </c>
      <c r="AW32" s="95" t="s">
        <v>132</v>
      </c>
      <c r="BA32" s="95" t="s">
        <v>131</v>
      </c>
      <c r="BB32" s="354">
        <f>B22</f>
        <v>1.96E-8</v>
      </c>
      <c r="BC32" s="95" t="s">
        <v>132</v>
      </c>
      <c r="BD32" s="95" t="s">
        <v>131</v>
      </c>
      <c r="BE32" s="354">
        <f>B24</f>
        <v>2.5799999999999999E-8</v>
      </c>
      <c r="BF32" s="95" t="s">
        <v>132</v>
      </c>
      <c r="BJ32" s="95" t="s">
        <v>113</v>
      </c>
      <c r="BK32" s="354">
        <f>B12</f>
        <v>0.80900000000000005</v>
      </c>
      <c r="BM32" s="95" t="s">
        <v>113</v>
      </c>
      <c r="BN32" s="354">
        <f>B8</f>
        <v>0.71099999999999997</v>
      </c>
      <c r="BT32" s="354"/>
      <c r="BW32" s="95">
        <v>8760</v>
      </c>
      <c r="BX32" s="95" t="s">
        <v>258</v>
      </c>
      <c r="BY32" s="95" t="s">
        <v>113</v>
      </c>
      <c r="BZ32" s="354">
        <f>B3</f>
        <v>0.753</v>
      </c>
      <c r="CT32" s="95" t="s">
        <v>78</v>
      </c>
      <c r="CU32" s="95">
        <v>250</v>
      </c>
      <c r="CV32" s="95" t="s">
        <v>55</v>
      </c>
      <c r="CZ32" s="95" t="s">
        <v>270</v>
      </c>
      <c r="DA32" s="95">
        <v>250</v>
      </c>
      <c r="DB32" s="95" t="s">
        <v>268</v>
      </c>
      <c r="DY32" s="406"/>
      <c r="HD32" s="95" t="s">
        <v>68</v>
      </c>
      <c r="HE32" s="354">
        <v>70</v>
      </c>
    </row>
    <row r="33" spans="1:214" s="95" customFormat="1" ht="13.15" customHeight="1" x14ac:dyDescent="0.2">
      <c r="A33" s="95" t="s">
        <v>448</v>
      </c>
      <c r="B33" s="353">
        <v>157680</v>
      </c>
      <c r="C33" s="95" t="s">
        <v>416</v>
      </c>
      <c r="D33" s="95" t="s">
        <v>415</v>
      </c>
      <c r="E33" s="354">
        <f>B28</f>
        <v>1.34E-10</v>
      </c>
      <c r="F33" s="95" t="s">
        <v>176</v>
      </c>
      <c r="G33" s="95" t="s">
        <v>106</v>
      </c>
      <c r="H33" s="95">
        <v>15</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B29</f>
        <v>432.2</v>
      </c>
      <c r="AD33" s="354">
        <f>B29</f>
        <v>432.2</v>
      </c>
      <c r="AE33" s="354">
        <f>B29</f>
        <v>432.2</v>
      </c>
      <c r="AF33" s="354">
        <f>B29</f>
        <v>432.2</v>
      </c>
      <c r="AG33" s="354">
        <f>B29</f>
        <v>432.2</v>
      </c>
      <c r="AH33" s="95" t="s">
        <v>129</v>
      </c>
      <c r="AI33" s="95" t="s">
        <v>151</v>
      </c>
      <c r="AJ33" s="95">
        <v>8</v>
      </c>
      <c r="AK33" s="95" t="s">
        <v>127</v>
      </c>
      <c r="AL33" s="95" t="s">
        <v>151</v>
      </c>
      <c r="AM33" s="95">
        <v>8</v>
      </c>
      <c r="AN33" s="95" t="s">
        <v>127</v>
      </c>
      <c r="AR33" s="95" t="s">
        <v>151</v>
      </c>
      <c r="AS33" s="95">
        <v>0</v>
      </c>
      <c r="AT33" s="95" t="s">
        <v>127</v>
      </c>
      <c r="AU33" s="95" t="s">
        <v>151</v>
      </c>
      <c r="AV33" s="95">
        <v>0</v>
      </c>
      <c r="AW33" s="95" t="s">
        <v>127</v>
      </c>
      <c r="BA33" s="95" t="s">
        <v>151</v>
      </c>
      <c r="BB33" s="95">
        <v>0</v>
      </c>
      <c r="BC33" s="95" t="s">
        <v>127</v>
      </c>
      <c r="BD33" s="95" t="s">
        <v>151</v>
      </c>
      <c r="BE33" s="95">
        <v>0</v>
      </c>
      <c r="BF33" s="95" t="s">
        <v>127</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246</v>
      </c>
      <c r="DA33" s="95">
        <v>6</v>
      </c>
      <c r="DB33" s="95" t="s">
        <v>129</v>
      </c>
      <c r="DY33" s="406"/>
      <c r="HD33" s="95" t="s">
        <v>428</v>
      </c>
      <c r="HE33" s="354">
        <f>1+((HE35*HE36*HE37)/(HE38*HE39))</f>
        <v>16.660043458695149</v>
      </c>
    </row>
    <row r="34" spans="1:214" s="95" customFormat="1" x14ac:dyDescent="0.2">
      <c r="A34" s="95" t="s">
        <v>203</v>
      </c>
      <c r="B34" s="397">
        <v>30</v>
      </c>
      <c r="C34" s="95" t="s">
        <v>48</v>
      </c>
      <c r="D34" s="95" t="s">
        <v>68</v>
      </c>
      <c r="E34" s="95">
        <v>20</v>
      </c>
      <c r="F34" s="95" t="s">
        <v>129</v>
      </c>
      <c r="G34" s="95" t="s">
        <v>179</v>
      </c>
      <c r="H34" s="95">
        <v>5</v>
      </c>
      <c r="I34" s="95" t="s">
        <v>180</v>
      </c>
      <c r="J34" s="95" t="s">
        <v>106</v>
      </c>
      <c r="K34" s="95">
        <v>20</v>
      </c>
      <c r="L34" s="95" t="s">
        <v>129</v>
      </c>
      <c r="V34" s="95" t="s">
        <v>487</v>
      </c>
      <c r="W34" s="95">
        <v>55</v>
      </c>
      <c r="X34" s="95" t="s">
        <v>83</v>
      </c>
      <c r="Y34" s="95" t="s">
        <v>484</v>
      </c>
      <c r="Z34" s="95">
        <v>60</v>
      </c>
      <c r="AA34" s="95" t="s">
        <v>83</v>
      </c>
      <c r="AC34" s="95">
        <v>365</v>
      </c>
      <c r="AD34" s="95">
        <v>365</v>
      </c>
      <c r="AE34" s="95">
        <v>365</v>
      </c>
      <c r="AF34" s="95">
        <v>365</v>
      </c>
      <c r="AG34" s="95">
        <v>365</v>
      </c>
      <c r="AH34" s="95" t="s">
        <v>189</v>
      </c>
      <c r="BJ34" s="95" t="s">
        <v>131</v>
      </c>
      <c r="BK34" s="354">
        <f>B22</f>
        <v>1.96E-8</v>
      </c>
      <c r="BL34" s="95" t="s">
        <v>132</v>
      </c>
      <c r="BM34" s="95" t="s">
        <v>131</v>
      </c>
      <c r="BN34" s="354">
        <f>B24</f>
        <v>2.5799999999999999E-8</v>
      </c>
      <c r="BO34" s="95" t="s">
        <v>132</v>
      </c>
      <c r="BZ34" s="95">
        <v>365</v>
      </c>
      <c r="CA34" s="95" t="s">
        <v>189</v>
      </c>
      <c r="CH34" s="483" t="s">
        <v>430</v>
      </c>
      <c r="CI34" s="483"/>
      <c r="CJ34" s="483"/>
      <c r="CK34" s="483"/>
      <c r="CL34" s="483"/>
      <c r="CT34" s="95" t="s">
        <v>106</v>
      </c>
      <c r="CU34" s="95">
        <v>34</v>
      </c>
      <c r="CV34" s="95" t="s">
        <v>129</v>
      </c>
      <c r="CZ34" s="95" t="s">
        <v>247</v>
      </c>
      <c r="DA34" s="95">
        <v>34</v>
      </c>
      <c r="DB34" s="95" t="s">
        <v>129</v>
      </c>
      <c r="DS34" s="354"/>
      <c r="DY34" s="406"/>
      <c r="EH34" s="354"/>
      <c r="HD34" s="95" t="s">
        <v>183</v>
      </c>
      <c r="HE34" s="95">
        <v>8.1999999999999993</v>
      </c>
    </row>
    <row r="35" spans="1:214" s="95" customFormat="1" ht="13.15" customHeight="1" x14ac:dyDescent="0.2">
      <c r="A35" s="95" t="s">
        <v>458</v>
      </c>
      <c r="B35" s="353">
        <v>1.9999999999999999E-6</v>
      </c>
      <c r="D35" s="95" t="s">
        <v>178</v>
      </c>
      <c r="E35" s="95">
        <f>B55</f>
        <v>54</v>
      </c>
      <c r="F35" s="95" t="s">
        <v>96</v>
      </c>
      <c r="G35" s="95" t="s">
        <v>181</v>
      </c>
      <c r="H35" s="95">
        <v>5</v>
      </c>
      <c r="I35" s="95" t="s">
        <v>180</v>
      </c>
      <c r="J35" s="95" t="s">
        <v>88</v>
      </c>
      <c r="K35" s="95">
        <v>6</v>
      </c>
      <c r="L35" s="95" t="s">
        <v>129</v>
      </c>
      <c r="M35" s="407"/>
      <c r="N35" s="407"/>
      <c r="O35" s="407"/>
      <c r="P35" s="407"/>
      <c r="Q35" s="407"/>
      <c r="R35" s="407"/>
      <c r="V35" s="95" t="s">
        <v>115</v>
      </c>
      <c r="W35" s="354">
        <f>B26</f>
        <v>5.84E-11</v>
      </c>
      <c r="X35" s="95" t="s">
        <v>116</v>
      </c>
      <c r="Y35" s="95" t="s">
        <v>115</v>
      </c>
      <c r="Z35" s="354">
        <f>B26</f>
        <v>5.84E-11</v>
      </c>
      <c r="AA35" s="95" t="s">
        <v>116</v>
      </c>
      <c r="AB35" s="95" t="s">
        <v>38</v>
      </c>
      <c r="AC35" s="95">
        <f>(AC31*AC32)/(1-EXP(-AC32*AC31))</f>
        <v>1.0201767053388309</v>
      </c>
      <c r="AD35" s="95">
        <f>(AD31*AD32)/(1-EXP(-AD32*AD31))</f>
        <v>1.0201767053388309</v>
      </c>
      <c r="AE35" s="95">
        <f>(AE31*AE32)/(1-EXP(-AE32*AE31))</f>
        <v>1.0201767053388309</v>
      </c>
      <c r="AF35" s="95">
        <f>(AF31*AF32)/(1-EXP(-AF32*AF31))</f>
        <v>1.0008019264177617</v>
      </c>
      <c r="AG35" s="95">
        <f>(AG31*AG32)/(1-EXP(-AG32*AG31))</f>
        <v>1.0008019264177617</v>
      </c>
      <c r="BT35" s="354"/>
      <c r="BZ35" s="95">
        <v>1000</v>
      </c>
      <c r="CA35" s="95" t="s">
        <v>195</v>
      </c>
      <c r="CH35" s="483"/>
      <c r="CI35" s="483"/>
      <c r="CJ35" s="483"/>
      <c r="CK35" s="483"/>
      <c r="CL35" s="483"/>
      <c r="CT35" s="95" t="s">
        <v>88</v>
      </c>
      <c r="CU35" s="95">
        <v>6</v>
      </c>
      <c r="CV35" s="95" t="s">
        <v>129</v>
      </c>
      <c r="CZ35" s="95" t="s">
        <v>248</v>
      </c>
      <c r="DA35" s="95">
        <v>40</v>
      </c>
      <c r="DB35" s="95" t="s">
        <v>129</v>
      </c>
      <c r="DS35" s="354"/>
      <c r="DY35" s="406"/>
      <c r="EH35" s="354"/>
      <c r="HD35" s="95" t="s">
        <v>145</v>
      </c>
      <c r="HE35" s="408">
        <v>5</v>
      </c>
      <c r="HF35" s="95" t="s">
        <v>186</v>
      </c>
    </row>
    <row r="36" spans="1:214" s="95" customFormat="1" ht="13.5" thickBot="1" x14ac:dyDescent="0.25">
      <c r="A36" s="95" t="s">
        <v>455</v>
      </c>
      <c r="B36" s="353">
        <v>5.0000000000000002E-5</v>
      </c>
      <c r="D36" s="95" t="s">
        <v>142</v>
      </c>
      <c r="E36" s="354">
        <f>E31/(E33*E32*E34*E35)</f>
        <v>0.12563445399266293</v>
      </c>
      <c r="F36" s="95" t="s">
        <v>23</v>
      </c>
      <c r="G36" s="95" t="s">
        <v>481</v>
      </c>
      <c r="H36" s="95">
        <v>5</v>
      </c>
      <c r="I36" s="95" t="s">
        <v>85</v>
      </c>
      <c r="J36" s="95" t="s">
        <v>259</v>
      </c>
      <c r="K36" s="95">
        <v>1</v>
      </c>
      <c r="L36" s="95" t="s">
        <v>85</v>
      </c>
      <c r="M36" s="407"/>
      <c r="N36" s="407"/>
      <c r="O36" s="407"/>
      <c r="P36" s="407"/>
      <c r="Q36" s="407"/>
      <c r="R36" s="407"/>
      <c r="V36" s="95" t="s">
        <v>414</v>
      </c>
      <c r="W36" s="354">
        <v>1</v>
      </c>
      <c r="Y36" s="95" t="s">
        <v>414</v>
      </c>
      <c r="Z36" s="354">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10</v>
      </c>
      <c r="CV36" s="95" t="s">
        <v>85</v>
      </c>
      <c r="CZ36" s="95" t="s">
        <v>446</v>
      </c>
      <c r="DA36" s="95">
        <v>10</v>
      </c>
      <c r="DB36" s="95" t="s">
        <v>85</v>
      </c>
      <c r="DS36" s="354"/>
      <c r="DY36" s="409"/>
      <c r="EH36" s="354"/>
      <c r="HD36" s="95" t="s">
        <v>187</v>
      </c>
      <c r="HE36" s="408">
        <v>5</v>
      </c>
      <c r="HF36" s="95" t="s">
        <v>188</v>
      </c>
    </row>
    <row r="37" spans="1:214" s="95" customFormat="1" ht="13.5" thickBot="1" x14ac:dyDescent="0.25">
      <c r="A37" s="95" t="s">
        <v>456</v>
      </c>
      <c r="B37" s="353">
        <v>6.0000000000000001E-3</v>
      </c>
      <c r="G37" s="95" t="s">
        <v>482</v>
      </c>
      <c r="H37" s="95">
        <v>5</v>
      </c>
      <c r="I37" s="95" t="s">
        <v>85</v>
      </c>
      <c r="J37" s="95" t="s">
        <v>260</v>
      </c>
      <c r="K37" s="95">
        <v>1</v>
      </c>
      <c r="L37" s="95" t="s">
        <v>85</v>
      </c>
      <c r="V37" s="374" t="s">
        <v>134</v>
      </c>
      <c r="W37" s="375">
        <f>W26/((W32/W33)*W29*W30*W31*W34)</f>
        <v>5.9726750118209188E-4</v>
      </c>
      <c r="X37" s="376" t="s">
        <v>37</v>
      </c>
      <c r="Y37" s="376" t="s">
        <v>134</v>
      </c>
      <c r="Z37" s="375">
        <f>(Z26*Z30*Z27)/((1-EXP(-Z27))*Z30*Z31*Z29*Z43*(Z32/Z33)*Z34)</f>
        <v>1.3698356507223678E-2</v>
      </c>
      <c r="AA37" s="377" t="s">
        <v>38</v>
      </c>
      <c r="AB37" s="374" t="s">
        <v>142</v>
      </c>
      <c r="AC37" s="375">
        <f>(AC5/(AC8*AC16*AC7*AC11*(1/AC6)))*AC35</f>
        <v>34.494563156004425</v>
      </c>
      <c r="AD37" s="375">
        <f>(AD5/(AD8*AD16*AD7*AD11*(1/AD6)))*AD35</f>
        <v>68.98912631200885</v>
      </c>
      <c r="AE37" s="375">
        <f>(AE5/(AE8*AE16*AE7*AE11*(1/AE6)))*AE35</f>
        <v>34.494563156004425</v>
      </c>
      <c r="AF37" s="410">
        <f>(AF5/(AF8*AF16*AF7*AF11*(1/AF6)))*AF35</f>
        <v>256.35951904960723</v>
      </c>
      <c r="AG37" s="354">
        <f>(AG5/(AG8*AG16*AG7*AG11*(1/AG6)))*AG35</f>
        <v>256.35951904960723</v>
      </c>
      <c r="BK37" s="483"/>
      <c r="BL37" s="483"/>
      <c r="BM37" s="483"/>
      <c r="BN37" s="483"/>
      <c r="BO37" s="483"/>
      <c r="CH37" s="483"/>
      <c r="CI37" s="483"/>
      <c r="CJ37" s="483"/>
      <c r="CK37" s="483"/>
      <c r="CL37" s="483"/>
      <c r="CT37" s="95" t="s">
        <v>260</v>
      </c>
      <c r="CU37" s="95">
        <v>10</v>
      </c>
      <c r="CV37" s="95" t="s">
        <v>85</v>
      </c>
      <c r="CZ37" s="95" t="s">
        <v>447</v>
      </c>
      <c r="DA37" s="95">
        <v>10</v>
      </c>
      <c r="DB37" s="95" t="s">
        <v>85</v>
      </c>
      <c r="DS37" s="354"/>
      <c r="DY37" s="406"/>
      <c r="EH37" s="354"/>
      <c r="HD37" s="95" t="s">
        <v>191</v>
      </c>
      <c r="HE37" s="408">
        <f>(0.0112*HE39*HE39)^0.5+HE40*(1-EXP((-HE38*HE39)/(HE35*HE36*HE40)))</f>
        <v>6.2013772096432787</v>
      </c>
      <c r="HF37" s="95" t="s">
        <v>192</v>
      </c>
    </row>
    <row r="38" spans="1:214" s="95" customFormat="1" ht="14.25" thickTop="1" thickBot="1" x14ac:dyDescent="0.25">
      <c r="A38" s="95" t="s">
        <v>349</v>
      </c>
      <c r="B38" s="353">
        <v>4.0000000000000001E-3</v>
      </c>
      <c r="D38" s="19" t="s">
        <v>3</v>
      </c>
      <c r="E38" s="19"/>
      <c r="F38" s="20" t="s">
        <v>0</v>
      </c>
      <c r="G38" s="95" t="s">
        <v>167</v>
      </c>
      <c r="H38" s="95">
        <v>5</v>
      </c>
      <c r="I38" s="95" t="s">
        <v>168</v>
      </c>
      <c r="J38" s="95" t="s">
        <v>399</v>
      </c>
      <c r="K38" s="95">
        <v>0.25</v>
      </c>
      <c r="V38" s="383" t="s">
        <v>139</v>
      </c>
      <c r="W38" s="384">
        <f>(W26)/((W32/W33)*W29*W30*W35*(1/365)*W36)</f>
        <v>5769.2307692307695</v>
      </c>
      <c r="X38" s="385" t="s">
        <v>37</v>
      </c>
      <c r="Y38" s="385" t="s">
        <v>139</v>
      </c>
      <c r="Z38" s="384">
        <f>(Z26*Z30*Z27)/((1-EXP(-Z27*Z30))*Z35*Z29*Z43*(Z32/Z33)*Z36*(Z43/Z44))</f>
        <v>144346.43169486948</v>
      </c>
      <c r="AA38" s="386" t="s">
        <v>38</v>
      </c>
      <c r="AB38" s="411" t="s">
        <v>134</v>
      </c>
      <c r="AC38" s="354">
        <f>(AC5/(AC24*AC20*AC7*(AC29/24)*AC11*(1/AC40)*AC36))*AC35</f>
        <v>759.25078920276735</v>
      </c>
      <c r="AD38" s="354">
        <f>(AD5/(AD24*AD20*AD7*(AD29/24)*AD11*(1/AD40)*AD36))*AD35</f>
        <v>828.27358822120073</v>
      </c>
      <c r="AE38" s="354">
        <f>(AE5/(AE24*AE20*AE7*(AE29/24)*AE11*(1/AE40)*AE36))*AE35</f>
        <v>759.25078920276735</v>
      </c>
      <c r="AF38" s="413">
        <f>(AF5*AF31*AF32)/((1-EXP(-AF32*AF31))*AF9*AF7*AF11*(AF14/24)*AF20*(1/AF41)*AF36)</f>
        <v>10.598166923227032</v>
      </c>
      <c r="AG38" s="354">
        <f>(AG5*AG31*AG32)/((1-EXP(-AG32*AG31))*AG9*AG7*AG15*(AG14/24)*AG20*(1/AG42)*AG36)</f>
        <v>493.90603759195704</v>
      </c>
      <c r="BK38" s="483"/>
      <c r="BL38" s="483"/>
      <c r="BM38" s="483"/>
      <c r="BN38" s="483"/>
      <c r="BO38" s="483"/>
      <c r="CT38" s="95" t="s">
        <v>420</v>
      </c>
      <c r="CU38" s="95">
        <v>1</v>
      </c>
      <c r="CZ38" s="95" t="s">
        <v>167</v>
      </c>
      <c r="DA38" s="95">
        <v>1</v>
      </c>
      <c r="DB38" s="95" t="s">
        <v>271</v>
      </c>
      <c r="DY38" s="406"/>
      <c r="HD38" s="95" t="s">
        <v>194</v>
      </c>
      <c r="HE38" s="408">
        <v>0.18</v>
      </c>
      <c r="HF38" s="95" t="s">
        <v>186</v>
      </c>
    </row>
    <row r="39" spans="1:214" s="95" customFormat="1" ht="13.5" thickBot="1" x14ac:dyDescent="0.25">
      <c r="A39" s="95" t="s">
        <v>457</v>
      </c>
      <c r="B39" s="400">
        <v>1.7000000000000001E-4</v>
      </c>
      <c r="D39" s="101" t="s">
        <v>166</v>
      </c>
      <c r="E39" s="101" t="s">
        <v>17</v>
      </c>
      <c r="F39" s="102" t="s">
        <v>25</v>
      </c>
      <c r="G39" s="95" t="s">
        <v>169</v>
      </c>
      <c r="H39" s="95">
        <v>5</v>
      </c>
      <c r="I39" s="95" t="s">
        <v>168</v>
      </c>
      <c r="J39" s="95" t="s">
        <v>171</v>
      </c>
      <c r="K39" s="95">
        <v>1.752</v>
      </c>
      <c r="L39" s="95" t="s">
        <v>127</v>
      </c>
      <c r="V39" s="374" t="s">
        <v>134</v>
      </c>
      <c r="W39" s="375">
        <f>(W26*W27*W30)/((W32/W33)*(1-EXP(-W27*W30))*W31*W34*W29*W30)</f>
        <v>6.0931839156190277E-4</v>
      </c>
      <c r="X39" s="376" t="s">
        <v>38</v>
      </c>
      <c r="Y39" s="376" t="s">
        <v>134</v>
      </c>
      <c r="Z39" s="375">
        <f>Z26/((Z31*Z29*Z43*(Z32/Z33)*Z34))</f>
        <v>1.3687380235422941E-2</v>
      </c>
      <c r="AA39" s="377" t="s">
        <v>37</v>
      </c>
      <c r="AB39" s="385" t="s">
        <v>197</v>
      </c>
      <c r="AC39" s="384">
        <f>(AC5/(AC23*AC22*(AC29/24)*AC21*AC7*(1/AC34)*AC11))*AC35</f>
        <v>41.346819794253676</v>
      </c>
      <c r="AD39" s="384">
        <f>(AD5/(AD23*AD22*(AD29/24)*AD21*AD7*(1/AD34)*AD11))*AD35</f>
        <v>41.346819794253676</v>
      </c>
      <c r="AE39" s="384">
        <f>(AE5/(AE23*AE22*(AE28/24)*AE19*AE7*(1/AE34)*AE11))*AE35</f>
        <v>68625.427044404438</v>
      </c>
      <c r="AF39" s="414">
        <f>(AF5*AF31*AF32)/((1-EXP(-AF32*AF31))*AF10*AF7*(1/365)*AF15*(AF14/24)*AF19*AF22)</f>
        <v>1683053.0247323848</v>
      </c>
      <c r="AG39" s="354">
        <f>(AG5*AG31*AG32)/((1-EXP(-AG32*AG31))*AG10*AG7*AG15*(AG14/24)*AG19*AG22*(1/365))</f>
        <v>1683053.0247323846</v>
      </c>
      <c r="BK39" s="483"/>
      <c r="BL39" s="483"/>
      <c r="BM39" s="483"/>
      <c r="BN39" s="483"/>
      <c r="BO39" s="483"/>
      <c r="BT39" s="404"/>
      <c r="BU39" s="355"/>
      <c r="CT39" s="95" t="s">
        <v>171</v>
      </c>
      <c r="CU39" s="95">
        <v>8</v>
      </c>
      <c r="CV39" s="95" t="s">
        <v>127</v>
      </c>
      <c r="CZ39" s="95" t="s">
        <v>169</v>
      </c>
      <c r="DA39" s="95">
        <v>1</v>
      </c>
      <c r="DB39" s="95" t="s">
        <v>271</v>
      </c>
      <c r="DY39" s="406"/>
      <c r="HD39" s="95" t="s">
        <v>196</v>
      </c>
      <c r="HE39" s="408">
        <v>55</v>
      </c>
      <c r="HF39" s="95" t="s">
        <v>192</v>
      </c>
    </row>
    <row r="40" spans="1:214" s="95" customFormat="1" ht="15" customHeight="1" thickBot="1" x14ac:dyDescent="0.25">
      <c r="A40" s="95" t="s">
        <v>433</v>
      </c>
      <c r="B40" s="353">
        <f>B36</f>
        <v>5.0000000000000002E-5</v>
      </c>
      <c r="D40" s="101" t="s">
        <v>193</v>
      </c>
      <c r="E40" s="403">
        <f>E50</f>
        <v>4.1878151330887645</v>
      </c>
      <c r="F40" s="184"/>
      <c r="H40" s="95">
        <f>1/1000</f>
        <v>1E-3</v>
      </c>
      <c r="I40" s="95" t="s">
        <v>170</v>
      </c>
      <c r="J40" s="95" t="s">
        <v>174</v>
      </c>
      <c r="K40" s="95">
        <v>16.416</v>
      </c>
      <c r="L40" s="95" t="s">
        <v>127</v>
      </c>
      <c r="V40" s="383" t="s">
        <v>139</v>
      </c>
      <c r="W40" s="384">
        <f>(W26*W30*W27)/((1-EXP(-W27*W30))*W35*W29*(1/365)*W30*(W32/W33)*W36)</f>
        <v>5885.6348384932526</v>
      </c>
      <c r="X40" s="385" t="s">
        <v>38</v>
      </c>
      <c r="Y40" s="385" t="s">
        <v>139</v>
      </c>
      <c r="Z40" s="384">
        <f>Z26/(Z35*Z29*(1/Z44)*Z43*(Z32/Z33)*Z36)</f>
        <v>144230.76923076925</v>
      </c>
      <c r="AA40" s="386" t="s">
        <v>37</v>
      </c>
      <c r="AB40" s="95" t="s">
        <v>164</v>
      </c>
      <c r="AC40" s="354">
        <f>B30</f>
        <v>1359344473.5814338</v>
      </c>
      <c r="AD40" s="354">
        <f>B30</f>
        <v>1359344473.5814338</v>
      </c>
      <c r="AE40" s="354">
        <f>B30</f>
        <v>1359344473.5814338</v>
      </c>
      <c r="AG40" s="354">
        <f>(AG5/(AG23*AG22*(AG28+AG29*AG21)*AG7*(1/AG34)*AG11))*AG35</f>
        <v>289.72555640036046</v>
      </c>
      <c r="BT40" s="404"/>
      <c r="BU40" s="355"/>
      <c r="CT40" s="95" t="s">
        <v>174</v>
      </c>
      <c r="CU40" s="95">
        <v>8</v>
      </c>
      <c r="CV40" s="95" t="s">
        <v>127</v>
      </c>
      <c r="CZ40" s="95" t="s">
        <v>272</v>
      </c>
      <c r="DA40" s="95">
        <v>0.54</v>
      </c>
      <c r="DB40" s="95" t="s">
        <v>274</v>
      </c>
      <c r="DY40" s="406"/>
      <c r="HD40" s="95" t="s">
        <v>198</v>
      </c>
      <c r="HE40" s="408">
        <v>5</v>
      </c>
      <c r="HF40" s="95" t="s">
        <v>192</v>
      </c>
    </row>
    <row r="41" spans="1:214" s="95" customFormat="1" ht="15" thickBot="1" x14ac:dyDescent="0.25">
      <c r="A41" s="95" t="s">
        <v>432</v>
      </c>
      <c r="B41" s="353">
        <f>B37</f>
        <v>6.0000000000000001E-3</v>
      </c>
      <c r="D41" s="433" t="s">
        <v>10</v>
      </c>
      <c r="E41" s="256" t="s">
        <v>34</v>
      </c>
      <c r="F41" s="257"/>
      <c r="H41" s="95">
        <v>1000</v>
      </c>
      <c r="I41" s="95" t="s">
        <v>173</v>
      </c>
      <c r="J41" s="95" t="s">
        <v>177</v>
      </c>
      <c r="K41" s="95">
        <v>0.4</v>
      </c>
      <c r="Y41" s="95" t="s">
        <v>411</v>
      </c>
      <c r="Z41" s="95">
        <v>26</v>
      </c>
      <c r="AA41" s="95" t="s">
        <v>211</v>
      </c>
      <c r="AB41" s="415" t="s">
        <v>201</v>
      </c>
      <c r="AF41" s="416">
        <f>B31</f>
        <v>773681.6396651821</v>
      </c>
      <c r="AH41" s="415" t="s">
        <v>165</v>
      </c>
      <c r="BT41" s="354"/>
      <c r="CT41" s="95" t="s">
        <v>177</v>
      </c>
      <c r="CU41" s="95">
        <v>0.4</v>
      </c>
      <c r="CZ41" s="95" t="s">
        <v>273</v>
      </c>
      <c r="DA41" s="95">
        <v>0.71</v>
      </c>
      <c r="DB41" s="95" t="s">
        <v>274</v>
      </c>
      <c r="DY41" s="406"/>
      <c r="HD41" s="95" t="s">
        <v>199</v>
      </c>
      <c r="HE41" s="408">
        <v>5</v>
      </c>
      <c r="HF41" s="95" t="s">
        <v>192</v>
      </c>
    </row>
    <row r="42" spans="1:214" s="95" customFormat="1" ht="13.9" customHeight="1" thickTop="1" x14ac:dyDescent="0.2">
      <c r="A42" s="95" t="s">
        <v>66</v>
      </c>
      <c r="B42" s="353">
        <v>1E-3</v>
      </c>
      <c r="D42" s="95" t="s">
        <v>46</v>
      </c>
      <c r="E42" s="354">
        <v>9.9999999999999995E-7</v>
      </c>
      <c r="H42" s="95">
        <v>1000</v>
      </c>
      <c r="I42" s="95" t="s">
        <v>408</v>
      </c>
      <c r="J42" s="95" t="s">
        <v>242</v>
      </c>
      <c r="K42" s="95">
        <v>0.4</v>
      </c>
      <c r="Y42" s="95" t="s">
        <v>410</v>
      </c>
      <c r="Z42" s="95">
        <v>5</v>
      </c>
      <c r="AA42" s="95" t="s">
        <v>327</v>
      </c>
      <c r="AB42" s="415" t="s">
        <v>202</v>
      </c>
      <c r="AF42" s="415"/>
      <c r="AG42" s="416">
        <f>B32</f>
        <v>36055860.959050171</v>
      </c>
      <c r="AH42" s="415"/>
      <c r="AI42" s="415"/>
      <c r="AJ42" s="415"/>
      <c r="AK42" s="415"/>
      <c r="CT42" s="95" t="s">
        <v>242</v>
      </c>
      <c r="CU42" s="95">
        <v>0.4</v>
      </c>
      <c r="DA42" s="95">
        <v>365</v>
      </c>
      <c r="DB42" s="95" t="s">
        <v>268</v>
      </c>
    </row>
    <row r="43" spans="1:214" s="95" customFormat="1" ht="13.15" customHeight="1" x14ac:dyDescent="0.2">
      <c r="A43" s="95" t="s">
        <v>67</v>
      </c>
      <c r="B43" s="353">
        <v>5.0000000000000001E-3</v>
      </c>
      <c r="D43" s="95" t="s">
        <v>54</v>
      </c>
      <c r="E43" s="95">
        <v>55</v>
      </c>
      <c r="F43" s="95" t="s">
        <v>55</v>
      </c>
      <c r="G43" s="95" t="s">
        <v>399</v>
      </c>
      <c r="H43" s="95">
        <v>0.25</v>
      </c>
      <c r="J43" s="95" t="s">
        <v>243</v>
      </c>
      <c r="K43" s="354">
        <f>B2</f>
        <v>2.41E-4</v>
      </c>
      <c r="W43" s="354"/>
      <c r="Y43" s="95" t="s">
        <v>328</v>
      </c>
      <c r="Z43" s="95">
        <v>1</v>
      </c>
      <c r="AA43" s="95" t="s">
        <v>276</v>
      </c>
      <c r="AF43" s="483" t="s">
        <v>429</v>
      </c>
      <c r="AG43" s="483"/>
      <c r="AH43" s="483"/>
      <c r="AI43" s="415"/>
      <c r="AJ43" s="415"/>
      <c r="AK43" s="415"/>
      <c r="BT43" s="354"/>
      <c r="CT43" s="95" t="s">
        <v>243</v>
      </c>
      <c r="CU43" s="354">
        <f>B2</f>
        <v>2.41E-4</v>
      </c>
      <c r="CZ43" s="95" t="s">
        <v>145</v>
      </c>
      <c r="DA43" s="95">
        <v>0.5</v>
      </c>
      <c r="DB43" s="95" t="s">
        <v>275</v>
      </c>
    </row>
    <row r="44" spans="1:214" s="95" customFormat="1" x14ac:dyDescent="0.2">
      <c r="A44" s="95" t="s">
        <v>93</v>
      </c>
      <c r="B44" s="397">
        <v>10</v>
      </c>
      <c r="C44" s="95" t="s">
        <v>83</v>
      </c>
      <c r="D44" s="95" t="s">
        <v>415</v>
      </c>
      <c r="E44" s="354">
        <f>B28</f>
        <v>1.34E-10</v>
      </c>
      <c r="F44" s="95" t="s">
        <v>176</v>
      </c>
      <c r="H44" s="95">
        <v>365</v>
      </c>
      <c r="I44" s="95" t="s">
        <v>55</v>
      </c>
      <c r="J44" s="95" t="s">
        <v>113</v>
      </c>
      <c r="K44" s="354">
        <f>B3</f>
        <v>0.753</v>
      </c>
      <c r="Z44" s="95">
        <v>365</v>
      </c>
      <c r="AA44" s="95" t="s">
        <v>161</v>
      </c>
      <c r="AF44" s="483"/>
      <c r="AG44" s="483"/>
      <c r="AH44" s="483"/>
      <c r="CT44" s="95" t="s">
        <v>113</v>
      </c>
      <c r="CU44" s="354">
        <f>B3</f>
        <v>0.753</v>
      </c>
      <c r="DA44" s="95">
        <v>1</v>
      </c>
      <c r="DB44" s="95" t="s">
        <v>276</v>
      </c>
    </row>
    <row r="45" spans="1:214" s="95" customFormat="1" ht="12.75" customHeight="1" x14ac:dyDescent="0.2">
      <c r="A45" s="95" t="s">
        <v>103</v>
      </c>
      <c r="B45" s="397">
        <v>20</v>
      </c>
      <c r="C45" s="95" t="s">
        <v>83</v>
      </c>
      <c r="D45" s="95" t="s">
        <v>68</v>
      </c>
      <c r="E45" s="95">
        <v>20</v>
      </c>
      <c r="F45" s="95" t="s">
        <v>129</v>
      </c>
      <c r="H45" s="95">
        <v>8760</v>
      </c>
      <c r="I45" s="95" t="s">
        <v>258</v>
      </c>
      <c r="J45" s="95" t="s">
        <v>185</v>
      </c>
      <c r="K45" s="95">
        <f>K33</f>
        <v>26</v>
      </c>
      <c r="L45" s="95" t="s">
        <v>94</v>
      </c>
      <c r="Y45" s="95" t="s">
        <v>483</v>
      </c>
      <c r="Z45" s="95">
        <v>1</v>
      </c>
      <c r="AA45" s="95" t="s">
        <v>276</v>
      </c>
      <c r="AB45" s="415"/>
      <c r="AC45" s="415"/>
      <c r="AF45" s="483"/>
      <c r="AG45" s="483"/>
      <c r="AH45" s="483"/>
      <c r="AI45" s="415"/>
      <c r="AJ45" s="415"/>
      <c r="AK45" s="415"/>
      <c r="CT45" s="95" t="s">
        <v>329</v>
      </c>
      <c r="CU45" s="95">
        <v>40</v>
      </c>
      <c r="CV45" s="95" t="s">
        <v>94</v>
      </c>
      <c r="DA45" s="95">
        <v>8760</v>
      </c>
      <c r="DB45" s="95" t="s">
        <v>258</v>
      </c>
    </row>
    <row r="46" spans="1:214" s="95" customFormat="1" x14ac:dyDescent="0.2">
      <c r="A46" s="95" t="s">
        <v>104</v>
      </c>
      <c r="B46" s="397">
        <v>60</v>
      </c>
      <c r="C46" s="95" t="s">
        <v>83</v>
      </c>
      <c r="D46" s="95" t="s">
        <v>178</v>
      </c>
      <c r="E46" s="95">
        <f>B55</f>
        <v>54</v>
      </c>
      <c r="F46" s="95" t="s">
        <v>96</v>
      </c>
      <c r="G46" s="95" t="s">
        <v>49</v>
      </c>
      <c r="H46" s="95">
        <f>H48</f>
        <v>5.0000000000000002E-5</v>
      </c>
      <c r="K46" s="95">
        <v>365</v>
      </c>
      <c r="L46" s="95" t="s">
        <v>189</v>
      </c>
      <c r="AB46" s="415"/>
      <c r="AC46" s="417"/>
      <c r="AI46" s="415"/>
      <c r="AJ46" s="415"/>
      <c r="AK46" s="415"/>
      <c r="CU46" s="95">
        <v>365</v>
      </c>
      <c r="CV46" s="95" t="s">
        <v>189</v>
      </c>
      <c r="DA46" s="95">
        <v>1000</v>
      </c>
      <c r="DB46" s="95" t="s">
        <v>195</v>
      </c>
    </row>
    <row r="47" spans="1:214" s="95" customFormat="1" x14ac:dyDescent="0.2">
      <c r="A47" s="95" t="s">
        <v>117</v>
      </c>
      <c r="B47" s="397">
        <v>200</v>
      </c>
      <c r="C47" s="95" t="s">
        <v>96</v>
      </c>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row>
    <row r="48" spans="1:214" s="95" customFormat="1" x14ac:dyDescent="0.2">
      <c r="A48" s="95" t="s">
        <v>140</v>
      </c>
      <c r="B48" s="397">
        <v>100</v>
      </c>
      <c r="C48" s="95" t="s">
        <v>96</v>
      </c>
      <c r="D48" s="95" t="s">
        <v>203</v>
      </c>
      <c r="E48" s="95">
        <f>B34</f>
        <v>30</v>
      </c>
      <c r="F48" s="95" t="s">
        <v>48</v>
      </c>
      <c r="G48" s="95" t="s">
        <v>66</v>
      </c>
      <c r="H48" s="95">
        <f>B40</f>
        <v>5.0000000000000002E-5</v>
      </c>
      <c r="K48" s="95">
        <v>1000</v>
      </c>
      <c r="L48" s="95" t="s">
        <v>53</v>
      </c>
      <c r="W48" s="404"/>
      <c r="X48" s="355"/>
      <c r="Y48" s="355"/>
      <c r="Z48" s="355"/>
      <c r="AA48" s="355"/>
      <c r="AB48" s="415"/>
      <c r="AC48" s="415"/>
      <c r="AF48" s="418"/>
      <c r="AG48" s="415"/>
      <c r="AH48" s="415"/>
      <c r="AI48" s="415"/>
      <c r="AJ48" s="415"/>
      <c r="AK48" s="415"/>
      <c r="CU48" s="95">
        <v>1000</v>
      </c>
      <c r="CV48" s="95" t="s">
        <v>53</v>
      </c>
    </row>
    <row r="49" spans="1:105" s="95" customFormat="1" x14ac:dyDescent="0.2">
      <c r="A49" s="95" t="s">
        <v>451</v>
      </c>
      <c r="B49" s="397">
        <v>0.78</v>
      </c>
      <c r="D49" s="95" t="s">
        <v>205</v>
      </c>
      <c r="E49" s="95">
        <v>1</v>
      </c>
      <c r="F49" s="95" t="s">
        <v>206</v>
      </c>
      <c r="G49" s="95" t="s">
        <v>73</v>
      </c>
      <c r="H49" s="95">
        <v>0.26</v>
      </c>
      <c r="J49" s="95" t="s">
        <v>49</v>
      </c>
      <c r="K49" s="95">
        <f>K51</f>
        <v>1E-3</v>
      </c>
      <c r="W49" s="354"/>
      <c r="AB49" s="415"/>
      <c r="AC49" s="415"/>
      <c r="AF49" s="418"/>
      <c r="AG49" s="415"/>
      <c r="AH49" s="415"/>
      <c r="AI49" s="415"/>
      <c r="AJ49" s="415"/>
      <c r="AK49" s="415"/>
      <c r="BT49" s="354"/>
    </row>
    <row r="50" spans="1:105" s="95" customFormat="1" x14ac:dyDescent="0.2">
      <c r="A50" s="95" t="s">
        <v>452</v>
      </c>
      <c r="B50" s="397">
        <v>2.5</v>
      </c>
      <c r="D50" s="95" t="s">
        <v>142</v>
      </c>
      <c r="E50" s="354">
        <f>E42/(E44*E43*E45*E46*E48*E49*(1/E47))</f>
        <v>4.1878151330887645</v>
      </c>
      <c r="G50" s="95" t="s">
        <v>47</v>
      </c>
      <c r="H50" s="354">
        <f>(H53*H54*H55*((1-EXP(-H56*H57))))/(H58*H56)</f>
        <v>3.4941224674809555E-2</v>
      </c>
      <c r="I50" s="95" t="s">
        <v>48</v>
      </c>
      <c r="J50" s="95" t="s">
        <v>57</v>
      </c>
      <c r="K50" s="95">
        <f>K52</f>
        <v>0.26</v>
      </c>
      <c r="W50" s="354"/>
      <c r="AB50" s="415"/>
      <c r="AC50" s="415"/>
      <c r="AF50" s="418"/>
      <c r="AG50" s="415"/>
      <c r="AH50" s="415"/>
      <c r="AI50" s="415"/>
      <c r="AJ50" s="415"/>
      <c r="AK50" s="415"/>
      <c r="BW50" s="354"/>
    </row>
    <row r="51" spans="1:105" s="95" customFormat="1" x14ac:dyDescent="0.2">
      <c r="A51" s="95" t="s">
        <v>404</v>
      </c>
      <c r="B51" s="353">
        <v>14.8</v>
      </c>
      <c r="C51" s="95" t="s">
        <v>413</v>
      </c>
      <c r="G51" s="95" t="s">
        <v>56</v>
      </c>
      <c r="H51" s="354">
        <f>(H53*H54*H59*((1-EXP(-H56*H57))))/(H58*H56)</f>
        <v>9.0847184154504852</v>
      </c>
      <c r="I51" s="95" t="s">
        <v>48</v>
      </c>
      <c r="J51" s="95" t="s">
        <v>66</v>
      </c>
      <c r="K51" s="354">
        <f>B42</f>
        <v>1E-3</v>
      </c>
      <c r="AB51" s="415"/>
      <c r="AC51" s="415"/>
      <c r="AF51" s="418"/>
      <c r="AG51" s="415"/>
      <c r="BW51" s="354"/>
    </row>
    <row r="52" spans="1:105" s="95" customFormat="1" x14ac:dyDescent="0.2">
      <c r="A52" s="95" t="s">
        <v>405</v>
      </c>
      <c r="B52" s="353">
        <v>56.2</v>
      </c>
      <c r="C52" s="95" t="s">
        <v>413</v>
      </c>
      <c r="G52" s="95" t="s">
        <v>65</v>
      </c>
      <c r="H52" s="354">
        <f>(H53*H54*H60*H66*((1-EXP(-H61*H62))))/(H63*H61)</f>
        <v>3.6421488784670224</v>
      </c>
      <c r="I52" s="95" t="s">
        <v>48</v>
      </c>
      <c r="J52" s="95" t="s">
        <v>73</v>
      </c>
      <c r="K52" s="95">
        <v>0.26</v>
      </c>
      <c r="AB52" s="415"/>
      <c r="AC52" s="415"/>
      <c r="AF52" s="418"/>
      <c r="AG52" s="415"/>
      <c r="BW52" s="354"/>
    </row>
    <row r="53" spans="1:105" s="95" customFormat="1" x14ac:dyDescent="0.2">
      <c r="A53" s="95" t="s">
        <v>400</v>
      </c>
      <c r="B53" s="353">
        <v>10.4</v>
      </c>
      <c r="C53" s="95" t="s">
        <v>413</v>
      </c>
      <c r="G53" s="95" t="s">
        <v>71</v>
      </c>
      <c r="H53" s="95">
        <v>3.62</v>
      </c>
      <c r="I53" s="95" t="s">
        <v>72</v>
      </c>
      <c r="W53" s="354"/>
      <c r="AB53" s="415"/>
      <c r="AC53" s="415"/>
      <c r="AF53" s="418"/>
      <c r="AG53" s="415"/>
    </row>
    <row r="54" spans="1:105" s="95" customFormat="1" x14ac:dyDescent="0.2">
      <c r="A54" s="95" t="s">
        <v>401</v>
      </c>
      <c r="B54" s="353">
        <v>28.5</v>
      </c>
      <c r="C54" s="95" t="s">
        <v>413</v>
      </c>
      <c r="G54" s="95" t="s">
        <v>79</v>
      </c>
      <c r="H54" s="95">
        <v>0.25</v>
      </c>
      <c r="I54" s="95" t="s">
        <v>80</v>
      </c>
      <c r="AB54" s="415"/>
      <c r="AC54" s="415"/>
      <c r="AF54" s="418"/>
      <c r="AG54" s="415"/>
    </row>
    <row r="55" spans="1:105" s="95" customFormat="1" x14ac:dyDescent="0.2">
      <c r="A55" s="95" t="s">
        <v>178</v>
      </c>
      <c r="B55" s="397">
        <v>54</v>
      </c>
      <c r="C55" s="95" t="s">
        <v>96</v>
      </c>
      <c r="G55" s="95" t="s">
        <v>66</v>
      </c>
      <c r="H55" s="354">
        <f>B42</f>
        <v>1E-3</v>
      </c>
      <c r="AB55" s="415"/>
      <c r="AC55" s="415"/>
      <c r="AD55" s="415"/>
      <c r="AF55" s="418"/>
      <c r="AG55" s="415"/>
      <c r="AH55" s="415"/>
      <c r="AI55" s="415"/>
      <c r="AJ55" s="415"/>
      <c r="AK55" s="415"/>
    </row>
    <row r="56" spans="1:105" s="95" customFormat="1" x14ac:dyDescent="0.2">
      <c r="A56" s="95" t="s">
        <v>278</v>
      </c>
      <c r="B56" s="397">
        <v>256</v>
      </c>
      <c r="C56" s="95" t="s">
        <v>413</v>
      </c>
      <c r="G56" s="95" t="s">
        <v>99</v>
      </c>
      <c r="H56" s="95">
        <f>H64+H65</f>
        <v>3.1394977168949772E-5</v>
      </c>
      <c r="AB56" s="415"/>
      <c r="AC56" s="415"/>
      <c r="AD56" s="415"/>
      <c r="AF56" s="418"/>
      <c r="AG56" s="415"/>
      <c r="AH56" s="415"/>
      <c r="AI56" s="415"/>
      <c r="AJ56" s="415"/>
      <c r="AK56" s="415"/>
    </row>
    <row r="57" spans="1:105" s="95" customFormat="1" x14ac:dyDescent="0.2">
      <c r="A57" s="95" t="s">
        <v>279</v>
      </c>
      <c r="B57" s="397">
        <v>615</v>
      </c>
      <c r="C57" s="95" t="s">
        <v>413</v>
      </c>
      <c r="G57" s="95" t="s">
        <v>109</v>
      </c>
      <c r="H57" s="95">
        <v>10950</v>
      </c>
      <c r="I57" s="95" t="s">
        <v>110</v>
      </c>
      <c r="AB57" s="415"/>
      <c r="AC57" s="415"/>
      <c r="AD57" s="415"/>
      <c r="AF57" s="418"/>
      <c r="AG57" s="415"/>
      <c r="AH57" s="415"/>
      <c r="AI57" s="415"/>
      <c r="AJ57" s="415"/>
      <c r="AK57" s="415"/>
    </row>
    <row r="58" spans="1:105" s="95" customFormat="1" x14ac:dyDescent="0.2">
      <c r="G58" s="95" t="s">
        <v>120</v>
      </c>
      <c r="H58" s="95">
        <v>240</v>
      </c>
      <c r="I58" s="95" t="s">
        <v>121</v>
      </c>
      <c r="AB58" s="415"/>
      <c r="AC58" s="415"/>
      <c r="AF58" s="418"/>
      <c r="AG58" s="415"/>
      <c r="AH58" s="415"/>
      <c r="AI58" s="415"/>
      <c r="AJ58" s="415"/>
      <c r="AK58" s="415"/>
    </row>
    <row r="59" spans="1:105" s="95" customFormat="1" x14ac:dyDescent="0.2">
      <c r="G59" s="95" t="s">
        <v>130</v>
      </c>
      <c r="H59" s="95">
        <v>0.26</v>
      </c>
      <c r="AB59" s="415"/>
      <c r="AC59" s="415"/>
      <c r="AF59" s="415"/>
      <c r="AG59" s="415"/>
      <c r="AH59" s="415"/>
      <c r="AI59" s="415"/>
      <c r="AJ59" s="415"/>
      <c r="AK59" s="415"/>
    </row>
    <row r="60" spans="1:105" s="95" customFormat="1" x14ac:dyDescent="0.2">
      <c r="G60" s="95" t="s">
        <v>137</v>
      </c>
      <c r="H60" s="95">
        <v>0.42</v>
      </c>
      <c r="I60" s="95" t="s">
        <v>80</v>
      </c>
      <c r="AB60" s="415"/>
      <c r="AC60" s="415"/>
      <c r="AF60" s="415"/>
      <c r="AG60" s="415"/>
      <c r="AH60" s="415"/>
      <c r="AI60" s="415"/>
      <c r="AJ60" s="415"/>
      <c r="AK60" s="415"/>
    </row>
    <row r="61" spans="1:105" s="95" customFormat="1" x14ac:dyDescent="0.2">
      <c r="G61" s="95" t="s">
        <v>143</v>
      </c>
      <c r="H61" s="95">
        <f>H65+(0.693/H67)</f>
        <v>4.9504394977168943E-2</v>
      </c>
      <c r="I61" s="95" t="s">
        <v>144</v>
      </c>
      <c r="AB61" s="415"/>
      <c r="AC61" s="415"/>
      <c r="AD61" s="415"/>
      <c r="AF61" s="415"/>
      <c r="AG61" s="415"/>
      <c r="AH61" s="415"/>
      <c r="AI61" s="415"/>
      <c r="AJ61" s="415"/>
      <c r="AK61" s="415"/>
      <c r="DA61" s="354"/>
    </row>
    <row r="62" spans="1:105" s="95" customFormat="1" x14ac:dyDescent="0.2">
      <c r="G62" s="95" t="s">
        <v>148</v>
      </c>
      <c r="H62" s="95">
        <v>60</v>
      </c>
      <c r="I62" s="95" t="s">
        <v>110</v>
      </c>
      <c r="AB62" s="415"/>
      <c r="AC62" s="415"/>
      <c r="AD62" s="415"/>
      <c r="AF62" s="418"/>
      <c r="AG62" s="415"/>
      <c r="AH62" s="415"/>
      <c r="AI62" s="415"/>
      <c r="AJ62" s="415"/>
      <c r="AK62" s="415"/>
    </row>
    <row r="63" spans="1:105" s="95" customFormat="1" x14ac:dyDescent="0.2">
      <c r="G63" s="95" t="s">
        <v>150</v>
      </c>
      <c r="H63" s="95">
        <v>2</v>
      </c>
      <c r="I63" s="95" t="s">
        <v>121</v>
      </c>
      <c r="AB63" s="415"/>
      <c r="AC63" s="415"/>
      <c r="AD63" s="415"/>
      <c r="AF63" s="418"/>
      <c r="AG63" s="415"/>
      <c r="AH63" s="415"/>
      <c r="AI63" s="415"/>
      <c r="AJ63" s="415"/>
      <c r="AK63" s="415"/>
    </row>
    <row r="64" spans="1:105"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4.3949771689497717E-6</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B43</f>
        <v>5.0000000000000001E-3</v>
      </c>
      <c r="AB68" s="415"/>
      <c r="AC68" s="420"/>
      <c r="AD68" s="415"/>
      <c r="AF68" s="418"/>
      <c r="AG68" s="415"/>
      <c r="AH68" s="415"/>
      <c r="AI68" s="415"/>
      <c r="AJ68" s="415"/>
      <c r="AK68" s="415"/>
    </row>
    <row r="69" spans="7:105" s="95" customFormat="1" x14ac:dyDescent="0.2">
      <c r="G69" s="95" t="s">
        <v>453</v>
      </c>
      <c r="H69" s="354">
        <f>B33</f>
        <v>157680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Gwt6i659V9YBNC7uLQvWMEXvpPZmKEDwJ9opnqYGASp6qQEGTbR3PXGJFgimrH73lL+GxFoBAnhK5VznyoFrcw==" saltValue="nZqS/rib+5e7tPsNLPXcLQ==" spinCount="100000" sheet="1" objects="1" scenarios="1" formatColumns="0" formatRows="0"/>
  <mergeCells count="6">
    <mergeCell ref="A1:C1"/>
    <mergeCell ref="A4:C4"/>
    <mergeCell ref="CH34:CL37"/>
    <mergeCell ref="BK36:BO39"/>
    <mergeCell ref="AF43:AH45"/>
    <mergeCell ref="A13:C16"/>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F86"/>
  <sheetViews>
    <sheetView workbookViewId="0">
      <pane xSplit="3" topLeftCell="D1" activePane="topRight" state="frozen"/>
      <selection pane="topRight" activeCell="D1" sqref="D1"/>
    </sheetView>
  </sheetViews>
  <sheetFormatPr defaultRowHeight="12.75" x14ac:dyDescent="0.2"/>
  <cols>
    <col min="1" max="1" width="14.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0" width="10.28515625" bestFit="1" customWidth="1"/>
    <col min="81" max="81" width="11.5703125" bestFit="1" customWidth="1"/>
    <col min="82" max="82" width="15.7109375" bestFit="1" customWidth="1"/>
    <col min="83" max="83" width="10.42578125" bestFit="1" customWidth="1"/>
    <col min="84" max="84" width="8.85546875" bestFit="1" customWidth="1"/>
    <col min="85" max="85" width="15.7109375" bestFit="1" customWidth="1"/>
    <col min="86" max="86" width="10.42578125" bestFit="1" customWidth="1"/>
    <col min="87" max="87" width="8.85546875" bestFit="1" customWidth="1"/>
    <col min="88" max="88" width="15.710937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9" customHeight="1" thickTop="1" thickBot="1" x14ac:dyDescent="0.25">
      <c r="A1" s="493" t="s">
        <v>462</v>
      </c>
      <c r="B1" s="494"/>
      <c r="C1" s="495"/>
      <c r="D1" s="14" t="s">
        <v>3</v>
      </c>
      <c r="E1" s="15"/>
      <c r="F1" s="15" t="s">
        <v>15</v>
      </c>
      <c r="G1" s="16" t="s">
        <v>3</v>
      </c>
      <c r="H1" s="17"/>
      <c r="I1" s="17" t="s">
        <v>15</v>
      </c>
      <c r="J1" s="18" t="s">
        <v>3</v>
      </c>
      <c r="K1" s="19"/>
      <c r="L1" s="20" t="s">
        <v>15</v>
      </c>
      <c r="M1" s="21" t="s">
        <v>13</v>
      </c>
      <c r="N1" s="22" t="s">
        <v>14</v>
      </c>
      <c r="O1" s="22" t="s">
        <v>15</v>
      </c>
      <c r="P1" s="23" t="s">
        <v>13</v>
      </c>
      <c r="Q1" s="22" t="s">
        <v>157</v>
      </c>
      <c r="R1" s="22" t="s">
        <v>15</v>
      </c>
      <c r="S1" s="23" t="s">
        <v>13</v>
      </c>
      <c r="T1" s="22" t="s">
        <v>16</v>
      </c>
      <c r="U1" s="24" t="s">
        <v>15</v>
      </c>
      <c r="V1" s="25" t="s">
        <v>1</v>
      </c>
      <c r="W1" s="26" t="s">
        <v>2</v>
      </c>
      <c r="X1" s="26" t="s">
        <v>15</v>
      </c>
      <c r="Y1" s="27" t="s">
        <v>1</v>
      </c>
      <c r="Z1" s="26" t="s">
        <v>4</v>
      </c>
      <c r="AA1" s="28" t="s">
        <v>15</v>
      </c>
      <c r="AB1" s="29" t="s">
        <v>1</v>
      </c>
      <c r="AC1" s="30" t="s">
        <v>4</v>
      </c>
      <c r="AD1" s="31" t="s">
        <v>5</v>
      </c>
      <c r="AE1" s="30" t="s">
        <v>2</v>
      </c>
      <c r="AF1" s="30" t="s">
        <v>7</v>
      </c>
      <c r="AG1" s="31" t="s">
        <v>6</v>
      </c>
      <c r="AH1" s="32" t="s">
        <v>15</v>
      </c>
      <c r="AI1" s="33" t="s">
        <v>13</v>
      </c>
      <c r="AJ1" s="34" t="s">
        <v>14</v>
      </c>
      <c r="AK1" s="34" t="s">
        <v>15</v>
      </c>
      <c r="AL1" s="35" t="s">
        <v>13</v>
      </c>
      <c r="AM1" s="34" t="s">
        <v>157</v>
      </c>
      <c r="AN1" s="34" t="s">
        <v>15</v>
      </c>
      <c r="AO1" s="35" t="s">
        <v>13</v>
      </c>
      <c r="AP1" s="34" t="s">
        <v>16</v>
      </c>
      <c r="AQ1" s="36" t="s">
        <v>15</v>
      </c>
      <c r="AR1" s="37" t="s">
        <v>13</v>
      </c>
      <c r="AS1" s="38" t="s">
        <v>14</v>
      </c>
      <c r="AT1" s="38" t="s">
        <v>15</v>
      </c>
      <c r="AU1" s="39" t="s">
        <v>13</v>
      </c>
      <c r="AV1" s="38" t="s">
        <v>157</v>
      </c>
      <c r="AW1" s="38" t="s">
        <v>15</v>
      </c>
      <c r="AX1" s="39" t="s">
        <v>13</v>
      </c>
      <c r="AY1" s="38" t="s">
        <v>16</v>
      </c>
      <c r="AZ1" s="40" t="s">
        <v>15</v>
      </c>
      <c r="BA1" s="37" t="s">
        <v>13</v>
      </c>
      <c r="BB1" s="38" t="s">
        <v>14</v>
      </c>
      <c r="BC1" s="38" t="s">
        <v>15</v>
      </c>
      <c r="BD1" s="39" t="s">
        <v>13</v>
      </c>
      <c r="BE1" s="38" t="s">
        <v>157</v>
      </c>
      <c r="BF1" s="38" t="s">
        <v>15</v>
      </c>
      <c r="BG1" s="39" t="s">
        <v>13</v>
      </c>
      <c r="BH1" s="38" t="s">
        <v>16</v>
      </c>
      <c r="BI1" s="40" t="s">
        <v>15</v>
      </c>
      <c r="BJ1" s="37" t="s">
        <v>13</v>
      </c>
      <c r="BK1" s="38" t="s">
        <v>14</v>
      </c>
      <c r="BL1" s="38" t="s">
        <v>15</v>
      </c>
      <c r="BM1" s="39" t="s">
        <v>13</v>
      </c>
      <c r="BN1" s="38" t="s">
        <v>157</v>
      </c>
      <c r="BO1" s="38" t="s">
        <v>15</v>
      </c>
      <c r="BP1" s="39" t="s">
        <v>13</v>
      </c>
      <c r="BQ1" s="38" t="s">
        <v>16</v>
      </c>
      <c r="BR1" s="40" t="s">
        <v>15</v>
      </c>
      <c r="BS1" s="41" t="s">
        <v>8</v>
      </c>
      <c r="BT1" s="42"/>
      <c r="BU1" s="42" t="s">
        <v>15</v>
      </c>
      <c r="BV1" s="41" t="s">
        <v>8</v>
      </c>
      <c r="BW1" s="42"/>
      <c r="BX1" s="42" t="s">
        <v>15</v>
      </c>
      <c r="BY1" s="41" t="s">
        <v>434</v>
      </c>
      <c r="BZ1" s="42"/>
      <c r="CA1" s="42" t="s">
        <v>15</v>
      </c>
      <c r="CB1" s="41" t="s">
        <v>8</v>
      </c>
      <c r="CC1" s="42" t="s">
        <v>14</v>
      </c>
      <c r="CD1" s="42" t="s">
        <v>15</v>
      </c>
      <c r="CE1" s="41" t="s">
        <v>8</v>
      </c>
      <c r="CF1" s="42" t="s">
        <v>157</v>
      </c>
      <c r="CG1" s="42" t="s">
        <v>15</v>
      </c>
      <c r="CH1" s="41" t="s">
        <v>8</v>
      </c>
      <c r="CI1" s="42" t="s">
        <v>16</v>
      </c>
      <c r="CJ1" s="43" t="s">
        <v>15</v>
      </c>
      <c r="CK1" s="41" t="s">
        <v>8</v>
      </c>
      <c r="CL1" s="42" t="s">
        <v>331</v>
      </c>
      <c r="CM1" s="43" t="s">
        <v>15</v>
      </c>
      <c r="CN1" s="41" t="s">
        <v>8</v>
      </c>
      <c r="CO1" s="42" t="s">
        <v>331</v>
      </c>
      <c r="CP1" s="43" t="s">
        <v>15</v>
      </c>
      <c r="CQ1" s="41" t="s">
        <v>8</v>
      </c>
      <c r="CR1" s="42" t="s">
        <v>331</v>
      </c>
      <c r="CS1" s="43" t="s">
        <v>15</v>
      </c>
      <c r="CT1" s="44" t="s">
        <v>321</v>
      </c>
      <c r="CU1" s="45"/>
      <c r="CV1" s="46" t="s">
        <v>15</v>
      </c>
      <c r="CW1" s="47" t="s">
        <v>321</v>
      </c>
      <c r="CX1" s="48"/>
      <c r="CY1" s="48" t="s">
        <v>15</v>
      </c>
      <c r="CZ1" s="49" t="s">
        <v>9</v>
      </c>
      <c r="DA1" s="50"/>
      <c r="DB1" s="51" t="s">
        <v>15</v>
      </c>
      <c r="DC1" s="52" t="s">
        <v>9</v>
      </c>
      <c r="DD1" s="52"/>
      <c r="DE1" s="52" t="s">
        <v>15</v>
      </c>
      <c r="DF1" s="53" t="s">
        <v>9</v>
      </c>
      <c r="DG1" s="54" t="s">
        <v>10</v>
      </c>
      <c r="DH1" s="54" t="s">
        <v>15</v>
      </c>
      <c r="DI1" s="55" t="s">
        <v>9</v>
      </c>
      <c r="DJ1" s="54" t="s">
        <v>11</v>
      </c>
      <c r="DK1" s="54" t="s">
        <v>15</v>
      </c>
      <c r="DL1" s="55" t="s">
        <v>9</v>
      </c>
      <c r="DM1" s="54" t="s">
        <v>12</v>
      </c>
      <c r="DN1" s="54" t="s">
        <v>15</v>
      </c>
      <c r="DO1" s="55" t="s">
        <v>9</v>
      </c>
      <c r="DP1" s="54" t="s">
        <v>12</v>
      </c>
      <c r="DQ1" s="56" t="s">
        <v>15</v>
      </c>
      <c r="DR1" s="57" t="s">
        <v>9</v>
      </c>
      <c r="DS1" s="57"/>
      <c r="DT1" s="57" t="s">
        <v>15</v>
      </c>
      <c r="DU1" s="58" t="s">
        <v>9</v>
      </c>
      <c r="DV1" s="59" t="s">
        <v>10</v>
      </c>
      <c r="DW1" s="59" t="s">
        <v>15</v>
      </c>
      <c r="DX1" s="60" t="s">
        <v>9</v>
      </c>
      <c r="DY1" s="59" t="s">
        <v>11</v>
      </c>
      <c r="DZ1" s="59" t="s">
        <v>15</v>
      </c>
      <c r="EA1" s="60" t="s">
        <v>9</v>
      </c>
      <c r="EB1" s="59" t="s">
        <v>12</v>
      </c>
      <c r="EC1" s="59" t="s">
        <v>15</v>
      </c>
      <c r="ED1" s="60" t="s">
        <v>9</v>
      </c>
      <c r="EE1" s="59" t="s">
        <v>12</v>
      </c>
      <c r="EF1" s="61" t="s">
        <v>15</v>
      </c>
      <c r="EG1" s="62" t="s">
        <v>9</v>
      </c>
      <c r="EH1" s="62"/>
      <c r="EI1" s="62" t="s">
        <v>15</v>
      </c>
      <c r="EJ1" s="63" t="s">
        <v>9</v>
      </c>
      <c r="EK1" s="64" t="s">
        <v>10</v>
      </c>
      <c r="EL1" s="64" t="s">
        <v>15</v>
      </c>
      <c r="EM1" s="65" t="s">
        <v>9</v>
      </c>
      <c r="EN1" s="64" t="s">
        <v>11</v>
      </c>
      <c r="EO1" s="64" t="s">
        <v>15</v>
      </c>
      <c r="EP1" s="65" t="s">
        <v>9</v>
      </c>
      <c r="EQ1" s="64" t="s">
        <v>12</v>
      </c>
      <c r="ER1" s="64" t="s">
        <v>15</v>
      </c>
      <c r="ES1" s="65" t="s">
        <v>9</v>
      </c>
      <c r="ET1" s="64" t="s">
        <v>12</v>
      </c>
      <c r="EU1" s="66" t="s">
        <v>15</v>
      </c>
      <c r="EV1" s="67" t="s">
        <v>9</v>
      </c>
      <c r="EW1" s="67"/>
      <c r="EX1" s="67" t="s">
        <v>15</v>
      </c>
      <c r="EY1" s="68" t="s">
        <v>9</v>
      </c>
      <c r="EZ1" s="69" t="s">
        <v>10</v>
      </c>
      <c r="FA1" s="69" t="s">
        <v>15</v>
      </c>
      <c r="FB1" s="70" t="s">
        <v>9</v>
      </c>
      <c r="FC1" s="69" t="s">
        <v>11</v>
      </c>
      <c r="FD1" s="69" t="s">
        <v>15</v>
      </c>
      <c r="FE1" s="70" t="s">
        <v>9</v>
      </c>
      <c r="FF1" s="69" t="s">
        <v>12</v>
      </c>
      <c r="FG1" s="69" t="s">
        <v>15</v>
      </c>
      <c r="FH1" s="70" t="s">
        <v>9</v>
      </c>
      <c r="FI1" s="69" t="s">
        <v>12</v>
      </c>
      <c r="FJ1" s="71" t="s">
        <v>15</v>
      </c>
      <c r="FK1" s="72" t="s">
        <v>9</v>
      </c>
      <c r="FL1" s="73"/>
      <c r="FM1" s="74" t="s">
        <v>15</v>
      </c>
      <c r="FN1" s="75" t="s">
        <v>9</v>
      </c>
      <c r="FO1" s="76" t="s">
        <v>10</v>
      </c>
      <c r="FP1" s="76" t="s">
        <v>15</v>
      </c>
      <c r="FQ1" s="77" t="s">
        <v>9</v>
      </c>
      <c r="FR1" s="76" t="s">
        <v>11</v>
      </c>
      <c r="FS1" s="76" t="s">
        <v>15</v>
      </c>
      <c r="FT1" s="77" t="s">
        <v>9</v>
      </c>
      <c r="FU1" s="76" t="s">
        <v>12</v>
      </c>
      <c r="FV1" s="76" t="s">
        <v>15</v>
      </c>
      <c r="FW1" s="77" t="s">
        <v>9</v>
      </c>
      <c r="FX1" s="76" t="s">
        <v>12</v>
      </c>
      <c r="FY1" s="78" t="s">
        <v>15</v>
      </c>
      <c r="FZ1" s="79" t="s">
        <v>9</v>
      </c>
      <c r="GA1" s="80"/>
      <c r="GB1" s="81" t="s">
        <v>15</v>
      </c>
      <c r="GC1" s="82" t="s">
        <v>9</v>
      </c>
      <c r="GD1" s="83" t="s">
        <v>10</v>
      </c>
      <c r="GE1" s="83" t="s">
        <v>15</v>
      </c>
      <c r="GF1" s="84" t="s">
        <v>9</v>
      </c>
      <c r="GG1" s="83" t="s">
        <v>11</v>
      </c>
      <c r="GH1" s="83" t="s">
        <v>15</v>
      </c>
      <c r="GI1" s="84" t="s">
        <v>9</v>
      </c>
      <c r="GJ1" s="83" t="s">
        <v>12</v>
      </c>
      <c r="GK1" s="83" t="s">
        <v>15</v>
      </c>
      <c r="GL1" s="84" t="s">
        <v>9</v>
      </c>
      <c r="GM1" s="83" t="s">
        <v>12</v>
      </c>
      <c r="GN1" s="85" t="s">
        <v>15</v>
      </c>
      <c r="GO1" s="86" t="s">
        <v>9</v>
      </c>
      <c r="GP1" s="87"/>
      <c r="GQ1" s="88" t="s">
        <v>15</v>
      </c>
      <c r="GR1" s="89" t="s">
        <v>9</v>
      </c>
      <c r="GS1" s="90" t="s">
        <v>10</v>
      </c>
      <c r="GT1" s="90" t="s">
        <v>15</v>
      </c>
      <c r="GU1" s="91" t="s">
        <v>9</v>
      </c>
      <c r="GV1" s="90" t="s">
        <v>11</v>
      </c>
      <c r="GW1" s="90" t="s">
        <v>15</v>
      </c>
      <c r="GX1" s="91" t="s">
        <v>9</v>
      </c>
      <c r="GY1" s="90" t="s">
        <v>12</v>
      </c>
      <c r="GZ1" s="90" t="s">
        <v>15</v>
      </c>
      <c r="HA1" s="91" t="s">
        <v>9</v>
      </c>
      <c r="HB1" s="90" t="s">
        <v>12</v>
      </c>
      <c r="HC1" s="90" t="s">
        <v>15</v>
      </c>
      <c r="HD1" s="92" t="s">
        <v>17</v>
      </c>
      <c r="HE1" s="93" t="s">
        <v>15</v>
      </c>
      <c r="HF1" s="94" t="s">
        <v>18</v>
      </c>
    </row>
    <row r="2" spans="1:214" s="95" customFormat="1" ht="13.5" thickTop="1" x14ac:dyDescent="0.2">
      <c r="A2" s="423" t="s">
        <v>243</v>
      </c>
      <c r="B2" s="424">
        <v>8.5099999999999995E-2</v>
      </c>
      <c r="C2" s="425"/>
      <c r="D2" s="97"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ht="13.5" thickBot="1" x14ac:dyDescent="0.25">
      <c r="A3" s="430" t="s">
        <v>113</v>
      </c>
      <c r="B3" s="431">
        <v>0.74199999999999999</v>
      </c>
      <c r="C3" s="432"/>
      <c r="D3" s="97" t="s">
        <v>37</v>
      </c>
      <c r="E3" s="181">
        <f>1/((1/E20)+(1/E21))</f>
        <v>1.1932166194849909</v>
      </c>
      <c r="F3" s="182"/>
      <c r="G3" s="98"/>
      <c r="H3" s="181">
        <f>1/((1/H10)+(1/H11)+(1/H12)+(1/H13))</f>
        <v>0.14288254375882853</v>
      </c>
      <c r="I3" s="183"/>
      <c r="J3" s="100"/>
      <c r="K3" s="181">
        <f>1/((1/K14)+(1/K15)+(1/K16+(1/K17)))</f>
        <v>9.2812025427527839E-2</v>
      </c>
      <c r="L3" s="184"/>
      <c r="M3" s="103" t="s">
        <v>39</v>
      </c>
      <c r="N3" s="185">
        <f>(N5*N6*N7)/((1-EXP(-N7*N6))*N10*N15*(N9/365)*N13*(((N14/24)*N12)+((N16/24)*N11)))</f>
        <v>0.78570990900756688</v>
      </c>
      <c r="O3" s="105"/>
      <c r="P3" s="106" t="s">
        <v>39</v>
      </c>
      <c r="Q3" s="185">
        <f>(Q5*Q6*Q7)/((1-EXP(-Q7*Q6))*Q10*Q15*(Q9/365)*Q13*(((Q14/24)*Q12)+((Q16/24)*Q11)))</f>
        <v>7076.2591230774651</v>
      </c>
      <c r="R3" s="105"/>
      <c r="S3" s="106" t="s">
        <v>39</v>
      </c>
      <c r="T3" s="185">
        <f>(T5*T6*T7)/((1-EXP(-T7*T6))*T10*T15*(T9/365)*T13*(((T14/24)*T12)+((T16/24)*T11)))</f>
        <v>0.88927793050850479</v>
      </c>
      <c r="U3" s="107"/>
      <c r="V3" s="108" t="s">
        <v>38</v>
      </c>
      <c r="W3" s="186">
        <f>1/((1/W18)+(1/W19))</f>
        <v>2.2668081250850198</v>
      </c>
      <c r="X3" s="187"/>
      <c r="Y3" s="188" t="s">
        <v>38</v>
      </c>
      <c r="Z3" s="186">
        <f>1/((1/Z18)+(1/Z19))</f>
        <v>2.2668081250850198</v>
      </c>
      <c r="AA3" s="189"/>
      <c r="AB3" s="112"/>
      <c r="AC3" s="190">
        <f>1/((1/AC37)+(1/AC38)+(1/AC39))</f>
        <v>3.3464121298120335</v>
      </c>
      <c r="AD3" s="191">
        <f>1/((1/AD37)+(1/AD38)+(1/AD39))</f>
        <v>0.58697360620654992</v>
      </c>
      <c r="AE3" s="190">
        <f>1/((1/AE37)+(1/AE38)+(1/AE39))</f>
        <v>2.7067513501200491</v>
      </c>
      <c r="AF3" s="190">
        <f>1/((1/AF37)+(1/AF38)+(1/AF39))</f>
        <v>49.487986937526564</v>
      </c>
      <c r="AG3" s="191">
        <f>1/((1/AG37)+(1/AG39)+(1/AG40))</f>
        <v>3.0318670094797704</v>
      </c>
      <c r="AH3" s="192"/>
      <c r="AI3" s="116" t="s">
        <v>39</v>
      </c>
      <c r="AJ3" s="193">
        <f>(AJ5*AJ6*AJ7)/((1-EXP(-AJ7*AJ6))*AJ10*AJ15*(AJ9/365)*AJ13*((AJ14*AJ12)+((AJ16/24)*AJ11)))</f>
        <v>0.58832508214927726</v>
      </c>
      <c r="AK3" s="118"/>
      <c r="AL3" s="119" t="s">
        <v>39</v>
      </c>
      <c r="AM3" s="193">
        <f>(AM5*AM6*AM7)/((1-EXP(-AM7*AM6))*AM10*AM15*(AM9/365)*AM13*((AM14*AM12)+((AM16/24)*AM11)))</f>
        <v>5240.790444033707</v>
      </c>
      <c r="AN3" s="118"/>
      <c r="AO3" s="119" t="s">
        <v>39</v>
      </c>
      <c r="AP3" s="193">
        <f>(AP5*AP6*AP7)/((1-EXP(-AP7*AP6))*AP10*AP15*(AP9/365)*AP13*((AP14*AP12)+((AP16/24)*AP11)))</f>
        <v>0.66366866729619545</v>
      </c>
      <c r="AQ3" s="120"/>
      <c r="AR3" s="121" t="s">
        <v>39</v>
      </c>
      <c r="AS3" s="194">
        <f>(AS5*AS6*AS7)/((1-EXP(-AS7*AS6))*AS10*AS15*(AS9/365)*AS13*(((AS14/24)*AS12)+(AS16*AS11)))</f>
        <v>3.4101493741398521</v>
      </c>
      <c r="AT3" s="123"/>
      <c r="AU3" s="124" t="s">
        <v>39</v>
      </c>
      <c r="AV3" s="194">
        <f>(AV5*AV6*AV7)/((1-EXP(-AV7*AV6))*AV10*AV15*(AV9/365)*AV13*(((AV14/24)*AV12)+(AV16*AV11)))</f>
        <v>59702.772135512503</v>
      </c>
      <c r="AW3" s="123"/>
      <c r="AX3" s="124" t="s">
        <v>39</v>
      </c>
      <c r="AY3" s="194">
        <f>(AY5*AY6*AY7)/((1-EXP(-AY7*AY6))*AY10*AY15*(AY9/365)*AY13*(((AY14/24)*AY12)+(AY16*AY11)))</f>
        <v>4.521664621922576</v>
      </c>
      <c r="AZ3" s="125"/>
      <c r="BA3" s="121" t="s">
        <v>39</v>
      </c>
      <c r="BB3" s="194">
        <f>(BB5*BB6*BB7)/((1-EXP(-BB7*BB6))*BB10*BB15*(BB9/365)*BB13*(((BB14/24)*BB12)+(BB16*BB11)))</f>
        <v>3.4101493741398521</v>
      </c>
      <c r="BC3" s="123"/>
      <c r="BD3" s="124" t="s">
        <v>39</v>
      </c>
      <c r="BE3" s="194">
        <f>(BE5*BE6*BE7)/((1-EXP(-BE7*BE6))*BE10*BE15*(BE9/365)*BE13*(((BE14/24)*BE12)+(BE16*BE11)))</f>
        <v>59702.772135512503</v>
      </c>
      <c r="BF3" s="123"/>
      <c r="BG3" s="124" t="s">
        <v>39</v>
      </c>
      <c r="BH3" s="194">
        <f>(BH5*BH6*BH7)/((1-EXP(-BH7*BH6))*BH10*BH15*(BH9/365)*BH13*(((BH14/24)*BH12)+(BH16*BH11)))</f>
        <v>4.521664621922576</v>
      </c>
      <c r="BI3" s="125"/>
      <c r="BJ3" s="121" t="s">
        <v>39</v>
      </c>
      <c r="BK3" s="194">
        <f>(BK5*BK6*BK7)/((1-EXP(-BK7*BK6))*BK12*BK16*(BK9/365)*BK14*BK15*BK13)</f>
        <v>27.625705250014693</v>
      </c>
      <c r="BL3" s="123"/>
      <c r="BM3" s="124" t="s">
        <v>39</v>
      </c>
      <c r="BN3" s="194">
        <f>(BN5*BN6*BN7)/((1-EXP(-BN7*BN6))*BN16*BN9*BN12*BN15*BN13*BN14)</f>
        <v>1325.0784881507061</v>
      </c>
      <c r="BO3" s="123"/>
      <c r="BP3" s="124" t="s">
        <v>39</v>
      </c>
      <c r="BQ3" s="194">
        <f>(BQ5*BQ6*BQ7)/((1-EXP(-BQ7*BQ6))*BQ12*BQ16*(BQ9/365)*BQ14*BQ15*BQ13)</f>
        <v>36.630118032926212</v>
      </c>
      <c r="BR3" s="125"/>
      <c r="BS3" s="126" t="s">
        <v>37</v>
      </c>
      <c r="BT3" s="195">
        <f>1/((1/BT21)+(1/BT22))</f>
        <v>133.64026138231895</v>
      </c>
      <c r="BU3" s="128"/>
      <c r="BV3" s="126"/>
      <c r="BW3" s="195">
        <f>1/((1/BW10)+(1/BW12))</f>
        <v>158.08627312203038</v>
      </c>
      <c r="BX3" s="128"/>
      <c r="BY3" s="126"/>
      <c r="BZ3" s="195">
        <f>1/((1/BZ13)+(1/BZ14)+(1/BZ15))</f>
        <v>15.245626592418473</v>
      </c>
      <c r="CA3" s="128"/>
      <c r="CB3" s="126" t="s">
        <v>39</v>
      </c>
      <c r="CC3" s="195">
        <f>(CC5*CC6*CC7)/((1-EXP(-CC7*CC6))*CC10*CC14*(CC9/365)*CC12*(CC13/24)*CC11)</f>
        <v>17.464424693531818</v>
      </c>
      <c r="CD3" s="128"/>
      <c r="CE3" s="126" t="s">
        <v>39</v>
      </c>
      <c r="CF3" s="195">
        <f>(CF5*CF6*CF7)/((1-EXP(-CF7*CF6))*CF10*CF14*(CF9/365)*CF12*(CF13/24)*CF11)</f>
        <v>305756.27445021918</v>
      </c>
      <c r="CG3" s="128"/>
      <c r="CH3" s="126" t="s">
        <v>39</v>
      </c>
      <c r="CI3" s="195">
        <f>(CI5*CI6*CI7)/((1-EXP(-CI7*CI6))*CI10*CI14*(CI9/365)*CI12*(CI13/24)*CI11)</f>
        <v>23.156836435908961</v>
      </c>
      <c r="CJ3" s="129"/>
      <c r="CK3" s="126" t="s">
        <v>17</v>
      </c>
      <c r="CL3" s="195">
        <f>CL5/(CL6*CL7*CL8*CL9)</f>
        <v>25.709584533113944</v>
      </c>
      <c r="CM3" s="129"/>
      <c r="CN3" s="126" t="s">
        <v>17</v>
      </c>
      <c r="CO3" s="195">
        <f>CL3/(CO5*((CO10*CO12*CO13*(CO6+CO7))+(CO11*CO12)))</f>
        <v>3.5461495907743372</v>
      </c>
      <c r="CP3" s="129"/>
      <c r="CQ3" s="126" t="s">
        <v>17</v>
      </c>
      <c r="CR3" s="195">
        <f>CL3/(CR5*CR6*(1/CR7))</f>
        <v>5141.9169066227887</v>
      </c>
      <c r="CS3" s="129"/>
      <c r="CT3" s="130"/>
      <c r="CU3" s="196">
        <f>1/((1/CU14)+(1/CU15)+(1/CU16+(1/CU17)))</f>
        <v>7.9358372579350439E-2</v>
      </c>
      <c r="CV3" s="197"/>
      <c r="CW3" s="133" t="s">
        <v>37</v>
      </c>
      <c r="CX3" s="198">
        <f>1/((1/CX20)+(1/CX21))</f>
        <v>3.2490699118262203</v>
      </c>
      <c r="CY3" s="199"/>
      <c r="CZ3" s="200"/>
      <c r="DA3" s="201">
        <f>1/((1/DA13)+(1/DA14)+(1/DA15)+(1/DA16))</f>
        <v>0.13375985967342724</v>
      </c>
      <c r="DB3" s="202"/>
      <c r="DC3" s="138"/>
      <c r="DD3" s="203">
        <f>DD7</f>
        <v>0.11048747072082025</v>
      </c>
      <c r="DE3" s="204" t="s">
        <v>421</v>
      </c>
      <c r="DF3" s="139"/>
      <c r="DG3" s="205">
        <f>DD7/((1/DG24)*(DG5+DG6+DG7))</f>
        <v>9.8177885726213159</v>
      </c>
      <c r="DH3" s="206" t="s">
        <v>421</v>
      </c>
      <c r="DI3" s="141"/>
      <c r="DJ3" s="205">
        <f>DD7/(DJ5+DJ6)</f>
        <v>0.380991278347656</v>
      </c>
      <c r="DK3" s="206" t="s">
        <v>421</v>
      </c>
      <c r="DL3" s="141"/>
      <c r="DM3" s="205">
        <f>(DD7)/(DM5+DM6)</f>
        <v>0.380991278347656</v>
      </c>
      <c r="DN3" s="206"/>
      <c r="DO3" s="141"/>
      <c r="DP3" s="205">
        <f>-(DP5+DP6+DP7)/(DP23+DP24)</f>
        <v>-48.306480833505248</v>
      </c>
      <c r="DQ3" s="207"/>
      <c r="DR3" s="143"/>
      <c r="DS3" s="208">
        <f>DS7</f>
        <v>0.22097494144164051</v>
      </c>
      <c r="DT3" s="209" t="s">
        <v>421</v>
      </c>
      <c r="DU3" s="144"/>
      <c r="DV3" s="210">
        <f>DS7/(DV5*DV6)</f>
        <v>0.30023769217614199</v>
      </c>
      <c r="DW3" s="211"/>
      <c r="DX3" s="146"/>
      <c r="DY3" s="210">
        <f>DS7/(DY9*((DY10*DY12*DY13*(DY5+DY6))+(DY11*DY12)))</f>
        <v>3.4462717005870327</v>
      </c>
      <c r="DZ3" s="211" t="s">
        <v>421</v>
      </c>
      <c r="EA3" s="146"/>
      <c r="EB3" s="210">
        <f>DS7/(EB9*((EB10*EB12*EB13*(EB5+EB6))+(EB11*EB12)))</f>
        <v>3.4462717005870327</v>
      </c>
      <c r="EC3" s="211"/>
      <c r="ED3" s="146"/>
      <c r="EE3" s="210">
        <f>-EE15/((EE10*EE12*EE13*(EE5+EE6))+(EE11*EE12))</f>
        <v>-11.478477854023707</v>
      </c>
      <c r="EF3" s="212"/>
      <c r="EG3" s="148"/>
      <c r="EH3" s="213">
        <f>EH7</f>
        <v>0.22097494144164051</v>
      </c>
      <c r="EI3" s="214" t="s">
        <v>421</v>
      </c>
      <c r="EJ3" s="149"/>
      <c r="EK3" s="215">
        <f>EH7/(EK5*EK6)</f>
        <v>0.13897795059222676</v>
      </c>
      <c r="EL3" s="216"/>
      <c r="EM3" s="151"/>
      <c r="EN3" s="215">
        <f>EH7/(EN9*((EN10*EN12*EN13*(EN5+EN6))+(EN11*EN12)))</f>
        <v>1.2953189802845366</v>
      </c>
      <c r="EO3" s="216" t="s">
        <v>421</v>
      </c>
      <c r="EP3" s="151"/>
      <c r="EQ3" s="215">
        <f>EH7/(EQ9*((EQ10*EQ12*EQ13*(EQ5+EQ6))+(EQ11*EQ12)))</f>
        <v>1.2953189802845366</v>
      </c>
      <c r="ER3" s="216"/>
      <c r="ES3" s="151"/>
      <c r="ET3" s="215">
        <f>-ET15/((ET10*ET12*ET13*(ET5+ET6))+(ET11*ET12))</f>
        <v>-9.3203200562736317</v>
      </c>
      <c r="EU3" s="217"/>
      <c r="EV3" s="218"/>
      <c r="EW3" s="219">
        <f>EW7</f>
        <v>0.22097494144164051</v>
      </c>
      <c r="EX3" s="218" t="s">
        <v>421</v>
      </c>
      <c r="EY3" s="220"/>
      <c r="EZ3" s="221">
        <f>EW7/(EZ5*EZ6*(1/EZ7))</f>
        <v>1381.0933840102527</v>
      </c>
      <c r="FA3" s="221"/>
      <c r="FB3" s="222"/>
      <c r="FC3" s="221">
        <f>EW7/(FC9*((FC10*FC12*FC13*(FC5+FC6))+(FC11*FC12)))</f>
        <v>4.9324763714651896</v>
      </c>
      <c r="FD3" s="223" t="s">
        <v>421</v>
      </c>
      <c r="FE3" s="224"/>
      <c r="FF3" s="221">
        <f>EW7/(FF9*(FF10*FF12*FF13*(FF5*FF6))+(FF11*FF12))</f>
        <v>8.4990362092938661</v>
      </c>
      <c r="FG3" s="221"/>
      <c r="FH3" s="222"/>
      <c r="FI3" s="221">
        <f>FI15/((FI10*FI12*FI13*(FI5+FI6))+(FI11*FI12))</f>
        <v>3.5714285714285712</v>
      </c>
      <c r="FJ3" s="225"/>
      <c r="FK3" s="226"/>
      <c r="FL3" s="227">
        <f>FL7</f>
        <v>0.22097494144164051</v>
      </c>
      <c r="FM3" s="228"/>
      <c r="FN3" s="229"/>
      <c r="FO3" s="230">
        <f>FL7/(FR5*(1/FO7))</f>
        <v>0.11048747072082025</v>
      </c>
      <c r="FP3" s="230"/>
      <c r="FQ3" s="231"/>
      <c r="FR3" s="230">
        <f>(FL7*FR6)/FR5</f>
        <v>9.0599725991072605E-4</v>
      </c>
      <c r="FS3" s="230"/>
      <c r="FT3" s="231"/>
      <c r="FU3" s="230">
        <f>(FL7*FU15)/FU14</f>
        <v>9.0599725991072605E-4</v>
      </c>
      <c r="FV3" s="230"/>
      <c r="FW3" s="231"/>
      <c r="FX3" s="230">
        <f>-FX29/FX30</f>
        <v>-8.199999999999999E-3</v>
      </c>
      <c r="FY3" s="232"/>
      <c r="FZ3" s="233"/>
      <c r="GA3" s="234">
        <f>GA7</f>
        <v>0.22097494144164051</v>
      </c>
      <c r="GB3" s="235" t="s">
        <v>421</v>
      </c>
      <c r="GC3" s="236"/>
      <c r="GD3" s="237">
        <f>FL7/(GD5*GD6*(1/GD7))</f>
        <v>55.243735360410128</v>
      </c>
      <c r="GE3" s="237"/>
      <c r="GF3" s="238"/>
      <c r="GG3" s="237">
        <f>GA7/((GG9)*((GG10*GG12*GG13*(GG5+GG6))+(GG11*GG12)))</f>
        <v>0.19729905485860758</v>
      </c>
      <c r="GH3" s="237" t="s">
        <v>421</v>
      </c>
      <c r="GI3" s="238"/>
      <c r="GJ3" s="237">
        <f>FL7/(GJ9*(GJ10*GJ12*GJ13*(GJ5*GJ6))+(GJ11*GJ12))</f>
        <v>1.8112700118167251</v>
      </c>
      <c r="GK3" s="237"/>
      <c r="GL3" s="238"/>
      <c r="GM3" s="237">
        <f>GM15/((GM10*GM12*GM13*(GM5+GM6))+(GM11*GM12))</f>
        <v>3.5714285714285712</v>
      </c>
      <c r="GN3" s="239"/>
      <c r="GO3" s="240"/>
      <c r="GP3" s="241">
        <f>GP7</f>
        <v>0.22097494144164051</v>
      </c>
      <c r="GQ3" s="242" t="s">
        <v>421</v>
      </c>
      <c r="GR3" s="243"/>
      <c r="GS3" s="244">
        <f>GP7/(GS5*GS6*(1/GS7))</f>
        <v>80.765694971359849</v>
      </c>
      <c r="GT3" s="244"/>
      <c r="GU3" s="245"/>
      <c r="GV3" s="244">
        <f>GP7/((GV9)*((GV10*GV12*GV13*(GV5+GV6))+(GV11*GV12)))</f>
        <v>0.37051465701146963</v>
      </c>
      <c r="GW3" s="244" t="s">
        <v>421</v>
      </c>
      <c r="GX3" s="245"/>
      <c r="GY3" s="244">
        <f>GP7/((GY9*((GY10*GY12*GY13*(GY5+GY6))+(GY11*GY12))))</f>
        <v>0.37051465701146963</v>
      </c>
      <c r="GZ3" s="244"/>
      <c r="HA3" s="245"/>
      <c r="HB3" s="244">
        <f>GP7/((HB10*HB12*HB13*(HB5+HB6))+(HB11*HB12))</f>
        <v>8.8923517682752709E-2</v>
      </c>
      <c r="HC3" s="246"/>
      <c r="HD3" s="247">
        <f>HE5*HE13*10^-3*(HE14+(HE9/HE10))*((HE11*HE7)/(1-EXP(-HE7*HE11)))</f>
        <v>1.6760278674542313</v>
      </c>
      <c r="HE3" s="248"/>
      <c r="HF3" s="180" t="s">
        <v>40</v>
      </c>
    </row>
    <row r="4" spans="1:214" s="95" customFormat="1" ht="14.25" thickTop="1" thickBot="1" x14ac:dyDescent="0.25">
      <c r="A4" s="493" t="s">
        <v>463</v>
      </c>
      <c r="B4" s="494"/>
      <c r="C4" s="495"/>
      <c r="D4" s="429" t="s">
        <v>38</v>
      </c>
      <c r="E4" s="250">
        <f>1/((1/E22)+(1/E23))</f>
        <v>1.5871938937828383</v>
      </c>
      <c r="F4" s="251"/>
      <c r="G4" s="252"/>
      <c r="H4" s="253"/>
      <c r="I4" s="254"/>
      <c r="J4" s="255" t="s">
        <v>15</v>
      </c>
      <c r="K4" s="256" t="s">
        <v>34</v>
      </c>
      <c r="L4" s="257"/>
      <c r="M4" s="258"/>
      <c r="N4" s="259"/>
      <c r="O4" s="260"/>
      <c r="P4" s="261"/>
      <c r="Q4" s="259"/>
      <c r="R4" s="260"/>
      <c r="S4" s="261"/>
      <c r="T4" s="259"/>
      <c r="U4" s="262"/>
      <c r="V4" s="263" t="s">
        <v>37</v>
      </c>
      <c r="W4" s="264">
        <f>1/((1/W16)+(1/W17))</f>
        <v>1.815299493332504</v>
      </c>
      <c r="X4" s="265"/>
      <c r="Y4" s="266" t="s">
        <v>37</v>
      </c>
      <c r="Z4" s="264">
        <f>1/((1/Z16)+(1/Z17))</f>
        <v>1.815299493332504</v>
      </c>
      <c r="AA4" s="267"/>
      <c r="AB4" s="268" t="s">
        <v>15</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177.76571610367787</v>
      </c>
      <c r="BU4" s="286"/>
      <c r="BV4" s="284"/>
      <c r="BW4" s="285"/>
      <c r="BX4" s="286"/>
      <c r="BY4" s="284" t="s">
        <v>15</v>
      </c>
      <c r="BZ4" s="285" t="s">
        <v>34</v>
      </c>
      <c r="CA4" s="286"/>
      <c r="CB4" s="284"/>
      <c r="CC4" s="285"/>
      <c r="CD4" s="286"/>
      <c r="CE4" s="284"/>
      <c r="CF4" s="285"/>
      <c r="CG4" s="286"/>
      <c r="CH4" s="284"/>
      <c r="CI4" s="285"/>
      <c r="CJ4" s="287"/>
      <c r="CK4" s="284"/>
      <c r="CL4" s="285"/>
      <c r="CM4" s="287"/>
      <c r="CN4" s="284"/>
      <c r="CO4" s="285"/>
      <c r="CP4" s="287"/>
      <c r="CQ4" s="284"/>
      <c r="CR4" s="285"/>
      <c r="CS4" s="287"/>
      <c r="CT4" s="288" t="s">
        <v>15</v>
      </c>
      <c r="CU4" s="289" t="s">
        <v>9</v>
      </c>
      <c r="CV4" s="290"/>
      <c r="CW4" s="291" t="s">
        <v>38</v>
      </c>
      <c r="CX4" s="292">
        <f>1/((1/CX22)+(1/CX23))</f>
        <v>4.9780811236382121</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1.5965008340836351E-2</v>
      </c>
      <c r="HE4" s="351"/>
      <c r="HF4" s="352" t="s">
        <v>45</v>
      </c>
    </row>
    <row r="5" spans="1:214" s="95" customFormat="1" ht="13.5" thickTop="1" x14ac:dyDescent="0.2">
      <c r="A5" s="423" t="s">
        <v>464</v>
      </c>
      <c r="B5" s="424">
        <v>4.3299999999999998E-2</v>
      </c>
      <c r="C5" s="425"/>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B41</f>
        <v>10</v>
      </c>
      <c r="CQ5" s="95" t="s">
        <v>432</v>
      </c>
      <c r="CR5" s="354">
        <f>B41</f>
        <v>10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0.78778672032533081</v>
      </c>
      <c r="DH5" s="95" t="s">
        <v>48</v>
      </c>
      <c r="DI5" s="95" t="s">
        <v>49</v>
      </c>
      <c r="DJ5" s="95">
        <f>DJ7</f>
        <v>0.03</v>
      </c>
      <c r="DL5" s="95" t="s">
        <v>49</v>
      </c>
      <c r="DM5" s="95">
        <f>DM7</f>
        <v>0.03</v>
      </c>
      <c r="DO5" s="95" t="s">
        <v>47</v>
      </c>
      <c r="DP5" s="95">
        <f>(DP8*DP9*DP10*((1-EXP(-DP11*DP12))))/(DP13*DP11)</f>
        <v>1.072392322870531</v>
      </c>
      <c r="DQ5" s="95" t="s">
        <v>48</v>
      </c>
      <c r="DR5" s="95" t="s">
        <v>46</v>
      </c>
      <c r="DS5" s="354">
        <v>9.9999999999999995E-7</v>
      </c>
      <c r="DU5" s="95" t="s">
        <v>347</v>
      </c>
      <c r="DV5" s="354">
        <f>B35</f>
        <v>8.0000000000000002E-3</v>
      </c>
      <c r="DX5" s="95" t="s">
        <v>50</v>
      </c>
      <c r="DY5" s="95">
        <f>DY7</f>
        <v>0.2</v>
      </c>
      <c r="EA5" s="95" t="s">
        <v>50</v>
      </c>
      <c r="EB5" s="95">
        <f>EB7</f>
        <v>0.2</v>
      </c>
      <c r="ED5" s="95" t="s">
        <v>50</v>
      </c>
      <c r="EE5" s="95">
        <f>EE7</f>
        <v>0.2</v>
      </c>
      <c r="EG5" s="95" t="s">
        <v>46</v>
      </c>
      <c r="EH5" s="354">
        <v>9.9999999999999995E-7</v>
      </c>
      <c r="EJ5" s="95" t="s">
        <v>348</v>
      </c>
      <c r="EK5" s="354">
        <f>B36</f>
        <v>0.03</v>
      </c>
      <c r="EM5" s="95" t="s">
        <v>50</v>
      </c>
      <c r="EN5" s="95">
        <f>EN7</f>
        <v>0.2</v>
      </c>
      <c r="EP5" s="95" t="s">
        <v>50</v>
      </c>
      <c r="EQ5" s="95">
        <f>EQ7</f>
        <v>0.2</v>
      </c>
      <c r="ES5" s="95" t="s">
        <v>50</v>
      </c>
      <c r="ET5" s="95">
        <f>ET7</f>
        <v>0.2</v>
      </c>
      <c r="EV5" s="95" t="s">
        <v>46</v>
      </c>
      <c r="EW5" s="354">
        <v>9.9999999999999995E-7</v>
      </c>
      <c r="EY5" s="95" t="s">
        <v>349</v>
      </c>
      <c r="EZ5" s="356">
        <f>B38</f>
        <v>0.4</v>
      </c>
      <c r="FB5" s="95" t="s">
        <v>50</v>
      </c>
      <c r="FC5" s="95">
        <f>FC7</f>
        <v>0.2</v>
      </c>
      <c r="FE5" s="95" t="s">
        <v>50</v>
      </c>
      <c r="FF5" s="95">
        <f>FF7</f>
        <v>0.2</v>
      </c>
      <c r="FH5" s="95" t="s">
        <v>50</v>
      </c>
      <c r="FI5" s="95">
        <f>FI7</f>
        <v>0.2</v>
      </c>
      <c r="FK5" s="95" t="s">
        <v>46</v>
      </c>
      <c r="FL5" s="354">
        <v>9.9999999999999995E-7</v>
      </c>
      <c r="FN5" s="95" t="s">
        <v>350</v>
      </c>
      <c r="FO5" s="357">
        <v>1</v>
      </c>
      <c r="FQ5" s="95" t="s">
        <v>203</v>
      </c>
      <c r="FR5" s="354">
        <f>B34</f>
        <v>2000</v>
      </c>
      <c r="FT5" s="95" t="s">
        <v>50</v>
      </c>
      <c r="FU5" s="95">
        <f>FU7</f>
        <v>0.2</v>
      </c>
      <c r="FW5" s="95" t="s">
        <v>50</v>
      </c>
      <c r="FX5" s="95">
        <f>FX7</f>
        <v>0.2</v>
      </c>
      <c r="FZ5" s="95" t="s">
        <v>46</v>
      </c>
      <c r="GA5" s="354">
        <v>9.9999999999999995E-7</v>
      </c>
      <c r="GC5" s="95" t="s">
        <v>351</v>
      </c>
      <c r="GD5" s="356">
        <f>B37</f>
        <v>10</v>
      </c>
      <c r="GF5" s="95" t="s">
        <v>50</v>
      </c>
      <c r="GG5" s="95">
        <f>GG7</f>
        <v>0.2</v>
      </c>
      <c r="GI5" s="95" t="s">
        <v>50</v>
      </c>
      <c r="GJ5" s="95">
        <f>GJ7</f>
        <v>0.2</v>
      </c>
      <c r="GL5" s="95" t="s">
        <v>50</v>
      </c>
      <c r="GM5" s="95">
        <f>GM7</f>
        <v>0.2</v>
      </c>
      <c r="GO5" s="95" t="s">
        <v>46</v>
      </c>
      <c r="GP5" s="354">
        <v>9.9999999999999995E-7</v>
      </c>
      <c r="GR5" s="95" t="s">
        <v>352</v>
      </c>
      <c r="GS5" s="356">
        <f>B39</f>
        <v>0.24</v>
      </c>
      <c r="GU5" s="95" t="s">
        <v>50</v>
      </c>
      <c r="GV5" s="95">
        <f>GV7</f>
        <v>0.2</v>
      </c>
      <c r="GX5" s="95" t="s">
        <v>50</v>
      </c>
      <c r="GY5" s="95">
        <f>GY7</f>
        <v>0.2</v>
      </c>
      <c r="HA5" s="95" t="s">
        <v>50</v>
      </c>
      <c r="HB5" s="95">
        <f>HB7</f>
        <v>0.2</v>
      </c>
      <c r="HD5" s="355" t="s">
        <v>51</v>
      </c>
      <c r="HE5" s="95">
        <v>15</v>
      </c>
      <c r="HF5" s="95" t="s">
        <v>25</v>
      </c>
    </row>
    <row r="6" spans="1:214" s="95" customFormat="1" x14ac:dyDescent="0.2">
      <c r="A6" s="426" t="s">
        <v>465</v>
      </c>
      <c r="B6" s="427">
        <v>0.65300000000000002</v>
      </c>
      <c r="C6" s="428"/>
      <c r="D6" s="95" t="s">
        <v>52</v>
      </c>
      <c r="E6" s="354">
        <f>0.693/E7</f>
        <v>2.3099999999999999E-2</v>
      </c>
      <c r="G6" s="95" t="s">
        <v>261</v>
      </c>
      <c r="H6" s="354">
        <f>B18</f>
        <v>3.04E-11</v>
      </c>
      <c r="I6" s="95" t="s">
        <v>64</v>
      </c>
      <c r="J6" s="95" t="s">
        <v>77</v>
      </c>
      <c r="K6" s="354">
        <f>B19</f>
        <v>4.3300000000000002E-11</v>
      </c>
      <c r="L6" s="95" t="s">
        <v>64</v>
      </c>
      <c r="M6" s="95" t="s">
        <v>61</v>
      </c>
      <c r="N6" s="95">
        <v>20</v>
      </c>
      <c r="O6" s="95" t="s">
        <v>62</v>
      </c>
      <c r="P6" s="95" t="s">
        <v>61</v>
      </c>
      <c r="Q6" s="95">
        <v>20</v>
      </c>
      <c r="R6" s="95" t="s">
        <v>62</v>
      </c>
      <c r="S6" s="95" t="s">
        <v>61</v>
      </c>
      <c r="T6" s="95">
        <v>20</v>
      </c>
      <c r="U6" s="95" t="s">
        <v>62</v>
      </c>
      <c r="V6" s="95" t="s">
        <v>52</v>
      </c>
      <c r="W6" s="354">
        <f>0.693/W7</f>
        <v>2.3099999999999999E-2</v>
      </c>
      <c r="Y6" s="95" t="s">
        <v>52</v>
      </c>
      <c r="Z6" s="354">
        <f>0.693/Z7</f>
        <v>2.3099999999999999E-2</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20</v>
      </c>
      <c r="AT6" s="95" t="s">
        <v>62</v>
      </c>
      <c r="AU6" s="95" t="s">
        <v>61</v>
      </c>
      <c r="AV6" s="95">
        <v>20</v>
      </c>
      <c r="AW6" s="95" t="s">
        <v>62</v>
      </c>
      <c r="AX6" s="95" t="s">
        <v>61</v>
      </c>
      <c r="AY6" s="95">
        <v>20</v>
      </c>
      <c r="AZ6" s="95" t="s">
        <v>62</v>
      </c>
      <c r="BA6" s="95" t="s">
        <v>61</v>
      </c>
      <c r="BB6" s="95">
        <v>20</v>
      </c>
      <c r="BC6" s="95" t="s">
        <v>62</v>
      </c>
      <c r="BD6" s="95" t="s">
        <v>61</v>
      </c>
      <c r="BE6" s="95">
        <v>20</v>
      </c>
      <c r="BF6" s="95" t="s">
        <v>62</v>
      </c>
      <c r="BG6" s="95" t="s">
        <v>61</v>
      </c>
      <c r="BH6" s="95">
        <v>20</v>
      </c>
      <c r="BI6" s="95" t="s">
        <v>62</v>
      </c>
      <c r="BJ6" s="95" t="s">
        <v>61</v>
      </c>
      <c r="BK6" s="95">
        <v>1</v>
      </c>
      <c r="BL6" s="95" t="s">
        <v>62</v>
      </c>
      <c r="BM6" s="95" t="s">
        <v>61</v>
      </c>
      <c r="BN6" s="95">
        <v>1</v>
      </c>
      <c r="BO6" s="95" t="s">
        <v>62</v>
      </c>
      <c r="BP6" s="95" t="s">
        <v>61</v>
      </c>
      <c r="BQ6" s="95">
        <v>1</v>
      </c>
      <c r="BR6" s="95" t="s">
        <v>62</v>
      </c>
      <c r="BS6" s="95" t="s">
        <v>52</v>
      </c>
      <c r="BT6" s="354">
        <f>0.693/BT7</f>
        <v>2.3099999999999999E-2</v>
      </c>
      <c r="BV6" s="95" t="s">
        <v>261</v>
      </c>
      <c r="BW6" s="354">
        <f>H6</f>
        <v>3.04E-11</v>
      </c>
      <c r="BX6" s="95" t="s">
        <v>64</v>
      </c>
      <c r="BY6" s="95" t="s">
        <v>77</v>
      </c>
      <c r="BZ6" s="354">
        <f>K6</f>
        <v>4.3300000000000002E-11</v>
      </c>
      <c r="CA6" s="95" t="s">
        <v>64</v>
      </c>
      <c r="CB6" s="95" t="s">
        <v>61</v>
      </c>
      <c r="CC6" s="95">
        <v>26</v>
      </c>
      <c r="CD6" s="95" t="s">
        <v>62</v>
      </c>
      <c r="CE6" s="95" t="s">
        <v>61</v>
      </c>
      <c r="CF6" s="95">
        <v>26</v>
      </c>
      <c r="CG6" s="95" t="s">
        <v>62</v>
      </c>
      <c r="CH6" s="95" t="s">
        <v>61</v>
      </c>
      <c r="CI6" s="95">
        <v>26</v>
      </c>
      <c r="CJ6" s="95" t="s">
        <v>62</v>
      </c>
      <c r="CK6" s="95" t="s">
        <v>415</v>
      </c>
      <c r="CL6" s="354">
        <f>E33</f>
        <v>3.7400000000000001E-11</v>
      </c>
      <c r="CM6" s="95" t="s">
        <v>23</v>
      </c>
      <c r="CN6" s="95" t="s">
        <v>50</v>
      </c>
      <c r="CO6" s="95">
        <f>CO8</f>
        <v>0.2</v>
      </c>
      <c r="CQ6" s="95" t="s">
        <v>345</v>
      </c>
      <c r="CR6" s="357">
        <v>0.5</v>
      </c>
      <c r="CS6" s="95" t="s">
        <v>59</v>
      </c>
      <c r="CT6" s="95" t="s">
        <v>77</v>
      </c>
      <c r="CU6" s="354">
        <f>B19</f>
        <v>4.3300000000000002E-11</v>
      </c>
      <c r="CV6" s="95" t="s">
        <v>64</v>
      </c>
      <c r="CW6" s="95" t="s">
        <v>52</v>
      </c>
      <c r="CX6" s="354">
        <f>0.693/CX7</f>
        <v>2.3099999999999999E-2</v>
      </c>
      <c r="CZ6" s="95" t="s">
        <v>261</v>
      </c>
      <c r="DA6" s="354">
        <f>B18</f>
        <v>3.04E-11</v>
      </c>
      <c r="DB6" s="95" t="s">
        <v>64</v>
      </c>
      <c r="DC6" s="95" t="s">
        <v>415</v>
      </c>
      <c r="DD6" s="354">
        <f>B28</f>
        <v>3.7400000000000001E-11</v>
      </c>
      <c r="DE6" s="95" t="s">
        <v>64</v>
      </c>
      <c r="DF6" s="95" t="s">
        <v>56</v>
      </c>
      <c r="DG6" s="95">
        <f>(DG8*DG9*DG14*((1-EXP(-DG11*DG12))))/(DG13*DG11)</f>
        <v>6.8274849094862002</v>
      </c>
      <c r="DH6" s="95" t="s">
        <v>48</v>
      </c>
      <c r="DI6" s="95" t="s">
        <v>57</v>
      </c>
      <c r="DJ6" s="95">
        <f>DJ8</f>
        <v>0.26</v>
      </c>
      <c r="DL6" s="95" t="s">
        <v>57</v>
      </c>
      <c r="DM6" s="95">
        <f>DM8</f>
        <v>0.26</v>
      </c>
      <c r="DO6" s="95" t="s">
        <v>56</v>
      </c>
      <c r="DP6" s="95">
        <f>(DP8*DP9*DP14*((1-EXP(-DP11*DP12))))/(DP13*DP11)</f>
        <v>9.2940667982112686</v>
      </c>
      <c r="DQ6" s="95" t="s">
        <v>48</v>
      </c>
      <c r="DR6" s="95" t="s">
        <v>415</v>
      </c>
      <c r="DS6" s="354">
        <f>B28</f>
        <v>3.7400000000000001E-11</v>
      </c>
      <c r="DT6" s="95" t="s">
        <v>64</v>
      </c>
      <c r="DU6" s="95" t="s">
        <v>58</v>
      </c>
      <c r="DV6" s="95">
        <v>92</v>
      </c>
      <c r="DW6" s="95" t="s">
        <v>59</v>
      </c>
      <c r="DX6" s="95" t="s">
        <v>57</v>
      </c>
      <c r="DY6" s="95">
        <f>DY8</f>
        <v>0.25</v>
      </c>
      <c r="EA6" s="95" t="s">
        <v>57</v>
      </c>
      <c r="EB6" s="95">
        <f>EB8</f>
        <v>0.25</v>
      </c>
      <c r="ED6" s="95" t="s">
        <v>57</v>
      </c>
      <c r="EE6" s="95">
        <f>EE8</f>
        <v>0.25</v>
      </c>
      <c r="EG6" s="95" t="s">
        <v>415</v>
      </c>
      <c r="EH6" s="354">
        <f>B28</f>
        <v>3.7400000000000001E-11</v>
      </c>
      <c r="EI6" s="95" t="s">
        <v>64</v>
      </c>
      <c r="EJ6" s="95" t="s">
        <v>60</v>
      </c>
      <c r="EK6" s="95">
        <v>53</v>
      </c>
      <c r="EL6" s="95" t="s">
        <v>59</v>
      </c>
      <c r="EM6" s="95" t="s">
        <v>57</v>
      </c>
      <c r="EN6" s="95">
        <f>EN8</f>
        <v>0.25</v>
      </c>
      <c r="EP6" s="95" t="s">
        <v>57</v>
      </c>
      <c r="EQ6" s="95">
        <f>EQ8</f>
        <v>0.25</v>
      </c>
      <c r="ES6" s="95" t="s">
        <v>57</v>
      </c>
      <c r="ET6" s="95">
        <f>ET8</f>
        <v>0.25</v>
      </c>
      <c r="EV6" s="95" t="s">
        <v>415</v>
      </c>
      <c r="EW6" s="354">
        <f>B28</f>
        <v>3.7400000000000001E-11</v>
      </c>
      <c r="EX6" s="95" t="s">
        <v>64</v>
      </c>
      <c r="EY6" s="95" t="s">
        <v>297</v>
      </c>
      <c r="EZ6" s="95">
        <v>0.4</v>
      </c>
      <c r="FA6" s="95" t="s">
        <v>59</v>
      </c>
      <c r="FB6" s="95" t="s">
        <v>57</v>
      </c>
      <c r="FC6" s="95">
        <f>FC8</f>
        <v>0.25</v>
      </c>
      <c r="FE6" s="95" t="s">
        <v>57</v>
      </c>
      <c r="FF6" s="95">
        <f>FF8</f>
        <v>0.25</v>
      </c>
      <c r="FH6" s="95" t="s">
        <v>57</v>
      </c>
      <c r="FI6" s="95">
        <f>FI8</f>
        <v>0.25</v>
      </c>
      <c r="FK6" s="95" t="s">
        <v>415</v>
      </c>
      <c r="FL6" s="354">
        <f>B28</f>
        <v>3.7400000000000001E-11</v>
      </c>
      <c r="FM6" s="95" t="s">
        <v>64</v>
      </c>
      <c r="FN6" s="95" t="s">
        <v>300</v>
      </c>
      <c r="FO6" s="357">
        <v>1</v>
      </c>
      <c r="FP6" s="95" t="s">
        <v>59</v>
      </c>
      <c r="FQ6" s="95" t="s">
        <v>322</v>
      </c>
      <c r="FR6" s="354">
        <v>8.1999999999999993</v>
      </c>
      <c r="FT6" s="95" t="s">
        <v>57</v>
      </c>
      <c r="FU6" s="95">
        <f>FU8</f>
        <v>0.25</v>
      </c>
      <c r="FW6" s="95" t="s">
        <v>57</v>
      </c>
      <c r="FX6" s="95">
        <f>FX8</f>
        <v>0.25</v>
      </c>
      <c r="FZ6" s="95" t="s">
        <v>415</v>
      </c>
      <c r="GA6" s="354">
        <f>B28</f>
        <v>3.7400000000000001E-11</v>
      </c>
      <c r="GB6" s="95" t="s">
        <v>64</v>
      </c>
      <c r="GC6" s="95" t="s">
        <v>298</v>
      </c>
      <c r="GD6" s="95">
        <v>0.4</v>
      </c>
      <c r="GE6" s="95" t="s">
        <v>59</v>
      </c>
      <c r="GF6" s="95" t="s">
        <v>57</v>
      </c>
      <c r="GG6" s="95">
        <f>GG8</f>
        <v>0.25</v>
      </c>
      <c r="GI6" s="95" t="s">
        <v>57</v>
      </c>
      <c r="GJ6" s="95">
        <f>GJ8</f>
        <v>0.25</v>
      </c>
      <c r="GL6" s="95" t="s">
        <v>57</v>
      </c>
      <c r="GM6" s="95">
        <f>GM8</f>
        <v>0.25</v>
      </c>
      <c r="GO6" s="95" t="s">
        <v>415</v>
      </c>
      <c r="GP6" s="354">
        <f>B28</f>
        <v>3.7400000000000001E-11</v>
      </c>
      <c r="GQ6" s="95" t="s">
        <v>64</v>
      </c>
      <c r="GR6" s="95" t="s">
        <v>299</v>
      </c>
      <c r="GS6" s="95">
        <v>11.4</v>
      </c>
      <c r="GT6" s="95" t="s">
        <v>59</v>
      </c>
      <c r="GU6" s="95" t="s">
        <v>57</v>
      </c>
      <c r="GV6" s="95">
        <f>GV8</f>
        <v>0.25</v>
      </c>
      <c r="GX6" s="95" t="s">
        <v>57</v>
      </c>
      <c r="GY6" s="95">
        <f>GY8</f>
        <v>0.25</v>
      </c>
      <c r="HA6" s="95" t="s">
        <v>57</v>
      </c>
      <c r="HB6" s="95">
        <f>HB8</f>
        <v>0.25</v>
      </c>
      <c r="HD6" s="95" t="s">
        <v>17</v>
      </c>
      <c r="HE6" s="354">
        <f>H3</f>
        <v>0.14288254375882853</v>
      </c>
      <c r="HF6" s="95" t="s">
        <v>25</v>
      </c>
    </row>
    <row r="7" spans="1:214" s="95" customFormat="1" x14ac:dyDescent="0.2">
      <c r="A7" s="426" t="s">
        <v>466</v>
      </c>
      <c r="B7" s="427">
        <v>5.0099999999999999E-2</v>
      </c>
      <c r="C7" s="428"/>
      <c r="D7" s="95" t="s">
        <v>448</v>
      </c>
      <c r="E7" s="354">
        <f>B29</f>
        <v>30</v>
      </c>
      <c r="F7" s="95" t="s">
        <v>129</v>
      </c>
      <c r="G7" s="95" t="s">
        <v>75</v>
      </c>
      <c r="H7" s="354">
        <f>B17</f>
        <v>1.1900000000000001E-11</v>
      </c>
      <c r="I7" s="95" t="s">
        <v>64</v>
      </c>
      <c r="J7" s="95" t="s">
        <v>75</v>
      </c>
      <c r="K7" s="354">
        <f>B17</f>
        <v>1.1900000000000001E-11</v>
      </c>
      <c r="L7" s="95" t="s">
        <v>64</v>
      </c>
      <c r="M7" s="95" t="s">
        <v>52</v>
      </c>
      <c r="N7" s="354">
        <f>0.693/N8</f>
        <v>2.3099999999999999E-2</v>
      </c>
      <c r="P7" s="95" t="s">
        <v>52</v>
      </c>
      <c r="Q7" s="354">
        <f>0.693/Q8</f>
        <v>2.3099999999999999E-2</v>
      </c>
      <c r="S7" s="95" t="s">
        <v>52</v>
      </c>
      <c r="T7" s="354">
        <f>0.693/T8</f>
        <v>2.3099999999999999E-2</v>
      </c>
      <c r="V7" s="95" t="s">
        <v>448</v>
      </c>
      <c r="W7" s="354">
        <f>B29</f>
        <v>30</v>
      </c>
      <c r="X7" s="95" t="s">
        <v>129</v>
      </c>
      <c r="Y7" s="95" t="s">
        <v>448</v>
      </c>
      <c r="Z7" s="354">
        <f>B29</f>
        <v>30</v>
      </c>
      <c r="AA7" s="95" t="s">
        <v>129</v>
      </c>
      <c r="AB7" s="95" t="s">
        <v>69</v>
      </c>
      <c r="AC7" s="95">
        <v>200</v>
      </c>
      <c r="AD7" s="95">
        <v>130</v>
      </c>
      <c r="AE7" s="95">
        <v>130</v>
      </c>
      <c r="AF7" s="95">
        <f>AF12*AF13</f>
        <v>130</v>
      </c>
      <c r="AG7" s="95">
        <f>AG12*AG13</f>
        <v>130</v>
      </c>
      <c r="AH7" s="95" t="s">
        <v>55</v>
      </c>
      <c r="AI7" s="95" t="s">
        <v>52</v>
      </c>
      <c r="AJ7" s="354">
        <f>0.693/AJ8</f>
        <v>2.3099999999999999E-2</v>
      </c>
      <c r="AL7" s="95" t="s">
        <v>52</v>
      </c>
      <c r="AM7" s="354">
        <f>0.693/AM8</f>
        <v>2.3099999999999999E-2</v>
      </c>
      <c r="AO7" s="95" t="s">
        <v>52</v>
      </c>
      <c r="AP7" s="354">
        <f>0.693/AP8</f>
        <v>2.3099999999999999E-2</v>
      </c>
      <c r="AR7" s="95" t="s">
        <v>52</v>
      </c>
      <c r="AS7" s="354">
        <f>0.693/AS8</f>
        <v>2.3099999999999999E-2</v>
      </c>
      <c r="AU7" s="95" t="s">
        <v>52</v>
      </c>
      <c r="AV7" s="354">
        <f>0.693/AV8</f>
        <v>2.3099999999999999E-2</v>
      </c>
      <c r="AX7" s="95" t="s">
        <v>52</v>
      </c>
      <c r="AY7" s="354">
        <f>0.693/AY8</f>
        <v>2.3099999999999999E-2</v>
      </c>
      <c r="BA7" s="95" t="s">
        <v>52</v>
      </c>
      <c r="BB7" s="354">
        <f>0.693/BB8</f>
        <v>2.3099999999999999E-2</v>
      </c>
      <c r="BD7" s="95" t="s">
        <v>52</v>
      </c>
      <c r="BE7" s="354">
        <f>0.693/BE8</f>
        <v>2.3099999999999999E-2</v>
      </c>
      <c r="BG7" s="95" t="s">
        <v>52</v>
      </c>
      <c r="BH7" s="354">
        <f>0.693/BH8</f>
        <v>2.3099999999999999E-2</v>
      </c>
      <c r="BJ7" s="95" t="s">
        <v>52</v>
      </c>
      <c r="BK7" s="354">
        <f>0.693/BK8</f>
        <v>2.3099999999999999E-2</v>
      </c>
      <c r="BM7" s="95" t="s">
        <v>52</v>
      </c>
      <c r="BN7" s="354">
        <f>0.693/BN8</f>
        <v>2.3099999999999999E-2</v>
      </c>
      <c r="BP7" s="95" t="s">
        <v>52</v>
      </c>
      <c r="BQ7" s="354">
        <f>0.693/BQ8</f>
        <v>2.3099999999999999E-2</v>
      </c>
      <c r="BS7" s="95" t="s">
        <v>448</v>
      </c>
      <c r="BT7" s="354">
        <f>B29</f>
        <v>30</v>
      </c>
      <c r="BU7" s="95" t="s">
        <v>129</v>
      </c>
      <c r="BV7" s="95" t="s">
        <v>75</v>
      </c>
      <c r="BW7" s="354">
        <f>E10</f>
        <v>1.1900000000000001E-11</v>
      </c>
      <c r="BX7" s="95" t="s">
        <v>64</v>
      </c>
      <c r="BY7" s="95" t="s">
        <v>75</v>
      </c>
      <c r="BZ7" s="354">
        <f>E10</f>
        <v>1.1900000000000001E-11</v>
      </c>
      <c r="CA7" s="95" t="s">
        <v>64</v>
      </c>
      <c r="CB7" s="95" t="s">
        <v>52</v>
      </c>
      <c r="CC7" s="354">
        <f>0.693/CC8</f>
        <v>2.3099999999999999E-2</v>
      </c>
      <c r="CE7" s="95" t="s">
        <v>52</v>
      </c>
      <c r="CF7" s="354">
        <f>0.693/CF8</f>
        <v>2.3099999999999999E-2</v>
      </c>
      <c r="CH7" s="95" t="s">
        <v>52</v>
      </c>
      <c r="CI7" s="354">
        <f>0.693/CI8</f>
        <v>2.3099999999999999E-2</v>
      </c>
      <c r="CK7" s="95" t="s">
        <v>238</v>
      </c>
      <c r="CL7" s="95">
        <v>80</v>
      </c>
      <c r="CM7" s="95" t="s">
        <v>268</v>
      </c>
      <c r="CN7" s="95" t="s">
        <v>57</v>
      </c>
      <c r="CO7" s="95">
        <f>CO9</f>
        <v>0.25</v>
      </c>
      <c r="CR7" s="95">
        <v>1000</v>
      </c>
      <c r="CS7" s="95" t="s">
        <v>230</v>
      </c>
      <c r="CT7" s="95" t="s">
        <v>75</v>
      </c>
      <c r="CU7" s="354">
        <f>B17</f>
        <v>1.1900000000000001E-11</v>
      </c>
      <c r="CV7" s="95" t="s">
        <v>64</v>
      </c>
      <c r="CW7" s="95" t="s">
        <v>448</v>
      </c>
      <c r="CX7" s="354">
        <f>B29</f>
        <v>30</v>
      </c>
      <c r="CY7" s="95" t="s">
        <v>129</v>
      </c>
      <c r="CZ7" s="95" t="s">
        <v>75</v>
      </c>
      <c r="DA7" s="354">
        <f>B17</f>
        <v>1.1900000000000001E-11</v>
      </c>
      <c r="DB7" s="95" t="s">
        <v>64</v>
      </c>
      <c r="DC7" s="95" t="s">
        <v>142</v>
      </c>
      <c r="DD7" s="358">
        <f>(DD5)/(DD6*(DD8+DD11)*DD21)</f>
        <v>0.11048747072082025</v>
      </c>
      <c r="DE7" s="95" t="s">
        <v>23</v>
      </c>
      <c r="DF7" s="95" t="s">
        <v>65</v>
      </c>
      <c r="DG7" s="95">
        <f>(DG8*DG9*DG15*DG21*((1-EXP(-DG16*DG17))))/(DG18*DG16)</f>
        <v>3.6385326157733249</v>
      </c>
      <c r="DH7" s="95" t="s">
        <v>48</v>
      </c>
      <c r="DI7" s="95" t="s">
        <v>66</v>
      </c>
      <c r="DJ7" s="95">
        <f>B40</f>
        <v>0.03</v>
      </c>
      <c r="DL7" s="95" t="s">
        <v>66</v>
      </c>
      <c r="DM7" s="95">
        <f>B40</f>
        <v>0.03</v>
      </c>
      <c r="DO7" s="95" t="s">
        <v>65</v>
      </c>
      <c r="DP7" s="95">
        <f>(DP8*DP9*DP15*DP21*((1-EXP(-DP16*DP17))))/(DP18*DP16)</f>
        <v>3.6424203206347228</v>
      </c>
      <c r="DQ7" s="95" t="s">
        <v>48</v>
      </c>
      <c r="DR7" s="95" t="s">
        <v>142</v>
      </c>
      <c r="DS7" s="358">
        <f>DS5/(DS6*DS8*DS17)</f>
        <v>0.22097494144164051</v>
      </c>
      <c r="DT7" s="95" t="s">
        <v>23</v>
      </c>
      <c r="DX7" s="95" t="s">
        <v>67</v>
      </c>
      <c r="DY7" s="354">
        <f>B43</f>
        <v>0.2</v>
      </c>
      <c r="EA7" s="95" t="s">
        <v>67</v>
      </c>
      <c r="EB7" s="354">
        <f>B43</f>
        <v>0.2</v>
      </c>
      <c r="ED7" s="95" t="s">
        <v>67</v>
      </c>
      <c r="EE7" s="354">
        <f>B43</f>
        <v>0.2</v>
      </c>
      <c r="EG7" s="95" t="s">
        <v>142</v>
      </c>
      <c r="EH7" s="358">
        <f>EH5/(EH6*EH8*EH17)</f>
        <v>0.22097494144164051</v>
      </c>
      <c r="EI7" s="95" t="s">
        <v>23</v>
      </c>
      <c r="EM7" s="95" t="s">
        <v>67</v>
      </c>
      <c r="EN7" s="354">
        <f>B43</f>
        <v>0.2</v>
      </c>
      <c r="EP7" s="95" t="s">
        <v>67</v>
      </c>
      <c r="EQ7" s="354">
        <f>B43</f>
        <v>0.2</v>
      </c>
      <c r="ES7" s="95" t="s">
        <v>67</v>
      </c>
      <c r="ET7" s="354">
        <f>B43</f>
        <v>0.2</v>
      </c>
      <c r="EV7" s="95" t="s">
        <v>142</v>
      </c>
      <c r="EW7" s="358">
        <f>EW5/(EW6*EW8*EW17)</f>
        <v>0.22097494144164051</v>
      </c>
      <c r="EX7" s="95" t="s">
        <v>23</v>
      </c>
      <c r="EZ7" s="95">
        <v>1000</v>
      </c>
      <c r="FA7" s="95" t="s">
        <v>230</v>
      </c>
      <c r="FB7" s="95" t="s">
        <v>67</v>
      </c>
      <c r="FC7" s="354">
        <f>B43</f>
        <v>0.2</v>
      </c>
      <c r="FE7" s="95" t="s">
        <v>67</v>
      </c>
      <c r="FF7" s="354">
        <f>B43</f>
        <v>0.2</v>
      </c>
      <c r="FH7" s="95" t="s">
        <v>67</v>
      </c>
      <c r="FI7" s="354">
        <f>B43</f>
        <v>0.2</v>
      </c>
      <c r="FK7" s="95" t="s">
        <v>142</v>
      </c>
      <c r="FL7" s="358">
        <f>FL5/(FL6*FL8*FL17)</f>
        <v>0.22097494144164051</v>
      </c>
      <c r="FM7" s="95" t="s">
        <v>23</v>
      </c>
      <c r="FO7" s="95">
        <v>1000</v>
      </c>
      <c r="FP7" s="95" t="s">
        <v>230</v>
      </c>
      <c r="FT7" s="95" t="s">
        <v>67</v>
      </c>
      <c r="FU7" s="354">
        <f>B43</f>
        <v>0.2</v>
      </c>
      <c r="FW7" s="95" t="s">
        <v>67</v>
      </c>
      <c r="FX7" s="354">
        <f>B43</f>
        <v>0.2</v>
      </c>
      <c r="FZ7" s="95" t="s">
        <v>142</v>
      </c>
      <c r="GA7" s="358">
        <f>GA5/(GA6*GA8*GA17)</f>
        <v>0.22097494144164051</v>
      </c>
      <c r="GB7" s="95" t="s">
        <v>23</v>
      </c>
      <c r="GD7" s="95">
        <v>1000</v>
      </c>
      <c r="GE7" s="95" t="s">
        <v>230</v>
      </c>
      <c r="GF7" s="95" t="s">
        <v>67</v>
      </c>
      <c r="GG7" s="354">
        <f>B43</f>
        <v>0.2</v>
      </c>
      <c r="GI7" s="95" t="s">
        <v>67</v>
      </c>
      <c r="GJ7" s="354">
        <f>B43</f>
        <v>0.2</v>
      </c>
      <c r="GL7" s="95" t="s">
        <v>67</v>
      </c>
      <c r="GM7" s="354">
        <f>B43</f>
        <v>0.2</v>
      </c>
      <c r="GO7" s="95" t="s">
        <v>142</v>
      </c>
      <c r="GP7" s="358">
        <f>GP5/(GP6*GP8*GP16)</f>
        <v>0.22097494144164051</v>
      </c>
      <c r="GQ7" s="95" t="s">
        <v>23</v>
      </c>
      <c r="GS7" s="95">
        <v>1000</v>
      </c>
      <c r="GT7" s="95" t="s">
        <v>230</v>
      </c>
      <c r="GU7" s="95" t="s">
        <v>67</v>
      </c>
      <c r="GV7" s="354">
        <f>B43</f>
        <v>0.2</v>
      </c>
      <c r="GX7" s="95" t="s">
        <v>67</v>
      </c>
      <c r="GY7" s="354">
        <f>B43</f>
        <v>0.2</v>
      </c>
      <c r="HA7" s="95" t="s">
        <v>67</v>
      </c>
      <c r="HB7" s="354">
        <f>B43</f>
        <v>0.2</v>
      </c>
      <c r="HD7" s="95" t="s">
        <v>52</v>
      </c>
      <c r="HE7" s="354">
        <f>0.693/HE8</f>
        <v>2.3099999999999999E-2</v>
      </c>
    </row>
    <row r="8" spans="1:214" s="95" customFormat="1" x14ac:dyDescent="0.2">
      <c r="A8" s="426" t="s">
        <v>467</v>
      </c>
      <c r="B8" s="427">
        <v>0.72599999999999998</v>
      </c>
      <c r="C8" s="428"/>
      <c r="D8" s="95" t="s">
        <v>54</v>
      </c>
      <c r="E8" s="95">
        <v>350</v>
      </c>
      <c r="F8" s="95" t="s">
        <v>63</v>
      </c>
      <c r="G8" s="95" t="s">
        <v>409</v>
      </c>
      <c r="H8" s="354">
        <f>B27</f>
        <v>5.1800000000000001E-12</v>
      </c>
      <c r="I8" s="95" t="s">
        <v>64</v>
      </c>
      <c r="J8" s="95" t="s">
        <v>131</v>
      </c>
      <c r="K8" s="354">
        <f>B21</f>
        <v>2.5399999999999998E-6</v>
      </c>
      <c r="L8" s="95" t="s">
        <v>163</v>
      </c>
      <c r="M8" s="95" t="s">
        <v>448</v>
      </c>
      <c r="N8" s="354">
        <f>B29</f>
        <v>30</v>
      </c>
      <c r="O8" s="95" t="s">
        <v>129</v>
      </c>
      <c r="P8" s="95" t="s">
        <v>448</v>
      </c>
      <c r="Q8" s="354">
        <f>B29</f>
        <v>30</v>
      </c>
      <c r="R8" s="95" t="s">
        <v>129</v>
      </c>
      <c r="S8" s="95" t="s">
        <v>448</v>
      </c>
      <c r="T8" s="354">
        <f>B29</f>
        <v>30</v>
      </c>
      <c r="U8" s="95" t="s">
        <v>129</v>
      </c>
      <c r="V8" s="95" t="s">
        <v>54</v>
      </c>
      <c r="W8" s="95">
        <v>200</v>
      </c>
      <c r="X8" s="95" t="s">
        <v>63</v>
      </c>
      <c r="Y8" s="95" t="s">
        <v>54</v>
      </c>
      <c r="Z8" s="95">
        <v>200</v>
      </c>
      <c r="AA8" s="95" t="s">
        <v>63</v>
      </c>
      <c r="AB8" s="95" t="s">
        <v>77</v>
      </c>
      <c r="AC8" s="354">
        <f>B20</f>
        <v>3.1699999999999998E-11</v>
      </c>
      <c r="AD8" s="354">
        <f>B20</f>
        <v>3.1699999999999998E-11</v>
      </c>
      <c r="AE8" s="354">
        <f>B20</f>
        <v>3.1699999999999998E-11</v>
      </c>
      <c r="AF8" s="354">
        <f>B20</f>
        <v>3.1699999999999998E-11</v>
      </c>
      <c r="AG8" s="354">
        <f>B20</f>
        <v>3.1699999999999998E-11</v>
      </c>
      <c r="AH8" s="95" t="s">
        <v>64</v>
      </c>
      <c r="AI8" s="95" t="s">
        <v>448</v>
      </c>
      <c r="AJ8" s="354">
        <f>B29</f>
        <v>30</v>
      </c>
      <c r="AK8" s="95" t="s">
        <v>129</v>
      </c>
      <c r="AL8" s="95" t="s">
        <v>448</v>
      </c>
      <c r="AM8" s="354">
        <f>B29</f>
        <v>30</v>
      </c>
      <c r="AN8" s="95" t="s">
        <v>129</v>
      </c>
      <c r="AO8" s="95" t="s">
        <v>448</v>
      </c>
      <c r="AP8" s="354">
        <f>B29</f>
        <v>30</v>
      </c>
      <c r="AQ8" s="95" t="s">
        <v>129</v>
      </c>
      <c r="AR8" s="95" t="s">
        <v>448</v>
      </c>
      <c r="AS8" s="354">
        <f>B29</f>
        <v>30</v>
      </c>
      <c r="AT8" s="95" t="s">
        <v>129</v>
      </c>
      <c r="AU8" s="95" t="s">
        <v>448</v>
      </c>
      <c r="AV8" s="354">
        <f>B29</f>
        <v>30</v>
      </c>
      <c r="AW8" s="95" t="s">
        <v>129</v>
      </c>
      <c r="AX8" s="95" t="s">
        <v>448</v>
      </c>
      <c r="AY8" s="354">
        <f>B29</f>
        <v>30</v>
      </c>
      <c r="AZ8" s="95" t="s">
        <v>129</v>
      </c>
      <c r="BA8" s="95" t="s">
        <v>448</v>
      </c>
      <c r="BB8" s="354">
        <f>B29</f>
        <v>30</v>
      </c>
      <c r="BC8" s="95" t="s">
        <v>129</v>
      </c>
      <c r="BD8" s="95" t="s">
        <v>448</v>
      </c>
      <c r="BE8" s="354">
        <f>B29</f>
        <v>30</v>
      </c>
      <c r="BF8" s="95" t="s">
        <v>129</v>
      </c>
      <c r="BG8" s="95" t="s">
        <v>448</v>
      </c>
      <c r="BH8" s="354">
        <f>B29</f>
        <v>30</v>
      </c>
      <c r="BI8" s="95" t="s">
        <v>129</v>
      </c>
      <c r="BJ8" s="95" t="s">
        <v>448</v>
      </c>
      <c r="BK8" s="354">
        <f>B29</f>
        <v>30</v>
      </c>
      <c r="BL8" s="95" t="s">
        <v>129</v>
      </c>
      <c r="BM8" s="95" t="s">
        <v>448</v>
      </c>
      <c r="BN8" s="354">
        <f>B29</f>
        <v>30</v>
      </c>
      <c r="BO8" s="95" t="s">
        <v>129</v>
      </c>
      <c r="BP8" s="95" t="s">
        <v>448</v>
      </c>
      <c r="BQ8" s="354">
        <f>B29</f>
        <v>30</v>
      </c>
      <c r="BR8" s="95" t="s">
        <v>129</v>
      </c>
      <c r="BS8" s="95" t="s">
        <v>54</v>
      </c>
      <c r="BT8" s="95">
        <v>75</v>
      </c>
      <c r="BU8" s="95" t="s">
        <v>63</v>
      </c>
      <c r="BV8" s="95" t="s">
        <v>409</v>
      </c>
      <c r="BW8" s="354">
        <f>H8</f>
        <v>5.1800000000000001E-12</v>
      </c>
      <c r="BX8" s="95" t="s">
        <v>64</v>
      </c>
      <c r="BY8" s="95" t="s">
        <v>131</v>
      </c>
      <c r="BZ8" s="354">
        <f>K8</f>
        <v>2.5399999999999998E-6</v>
      </c>
      <c r="CA8" s="95" t="s">
        <v>163</v>
      </c>
      <c r="CB8" s="95" t="s">
        <v>448</v>
      </c>
      <c r="CC8" s="354">
        <f>B29</f>
        <v>30</v>
      </c>
      <c r="CD8" s="95" t="s">
        <v>129</v>
      </c>
      <c r="CE8" s="95" t="s">
        <v>448</v>
      </c>
      <c r="CF8" s="354">
        <f>B29</f>
        <v>30</v>
      </c>
      <c r="CG8" s="95" t="s">
        <v>129</v>
      </c>
      <c r="CH8" s="95" t="s">
        <v>448</v>
      </c>
      <c r="CI8" s="354">
        <f>B29</f>
        <v>30</v>
      </c>
      <c r="CJ8" s="95" t="s">
        <v>129</v>
      </c>
      <c r="CK8" s="95" t="s">
        <v>107</v>
      </c>
      <c r="CL8" s="95">
        <v>26</v>
      </c>
      <c r="CM8" s="95" t="s">
        <v>276</v>
      </c>
      <c r="CN8" s="95" t="s">
        <v>67</v>
      </c>
      <c r="CO8" s="354">
        <f>B43</f>
        <v>0.2</v>
      </c>
      <c r="CT8" s="95" t="s">
        <v>131</v>
      </c>
      <c r="CU8" s="354">
        <f>B21</f>
        <v>2.5399999999999998E-6</v>
      </c>
      <c r="CV8" s="95" t="s">
        <v>163</v>
      </c>
      <c r="CW8" s="95" t="s">
        <v>54</v>
      </c>
      <c r="CX8" s="95">
        <v>350</v>
      </c>
      <c r="CY8" s="95" t="s">
        <v>63</v>
      </c>
      <c r="CZ8" s="95" t="s">
        <v>257</v>
      </c>
      <c r="DA8" s="359">
        <f>B27</f>
        <v>5.1800000000000001E-12</v>
      </c>
      <c r="DB8" s="95" t="s">
        <v>64</v>
      </c>
      <c r="DC8" s="95" t="s">
        <v>282</v>
      </c>
      <c r="DD8" s="360">
        <f>(DD9*DD15*DD16)+(DD10*DD14*DD17)</f>
        <v>121000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121000</v>
      </c>
      <c r="DT8" s="95" t="s">
        <v>230</v>
      </c>
      <c r="DX8" s="95" t="s">
        <v>73</v>
      </c>
      <c r="DY8" s="95">
        <v>0.25</v>
      </c>
      <c r="EA8" s="95" t="s">
        <v>73</v>
      </c>
      <c r="EB8" s="95">
        <v>0.25</v>
      </c>
      <c r="ED8" s="95" t="s">
        <v>73</v>
      </c>
      <c r="EE8" s="95">
        <v>0.25</v>
      </c>
      <c r="EG8" s="95" t="s">
        <v>284</v>
      </c>
      <c r="EH8" s="360">
        <f>(EH13*EH11*EH9)+(EH14*EH12*EH10)</f>
        <v>121000</v>
      </c>
      <c r="EI8" s="95" t="s">
        <v>230</v>
      </c>
      <c r="EM8" s="95" t="s">
        <v>73</v>
      </c>
      <c r="EN8" s="95">
        <v>0.25</v>
      </c>
      <c r="EP8" s="95" t="s">
        <v>73</v>
      </c>
      <c r="EQ8" s="95">
        <v>0.25</v>
      </c>
      <c r="ES8" s="95" t="s">
        <v>73</v>
      </c>
      <c r="ET8" s="95">
        <v>0.25</v>
      </c>
      <c r="EV8" s="95" t="s">
        <v>286</v>
      </c>
      <c r="EW8" s="360">
        <f>(EW11*EW13*EW9)+(EW12*EW14*EW10)</f>
        <v>121000</v>
      </c>
      <c r="EX8" s="95" t="s">
        <v>230</v>
      </c>
      <c r="FB8" s="95" t="s">
        <v>316</v>
      </c>
      <c r="FC8" s="95">
        <v>0.25</v>
      </c>
      <c r="FE8" s="95" t="s">
        <v>316</v>
      </c>
      <c r="FF8" s="95">
        <v>0.25</v>
      </c>
      <c r="FH8" s="95" t="s">
        <v>316</v>
      </c>
      <c r="FI8" s="95">
        <v>0.25</v>
      </c>
      <c r="FK8" s="95" t="s">
        <v>289</v>
      </c>
      <c r="FL8" s="361">
        <f>(FL13*FL9*FL11)+(FL14*FL10*FL12)</f>
        <v>121000</v>
      </c>
      <c r="FM8" s="95" t="s">
        <v>230</v>
      </c>
      <c r="FT8" s="95" t="s">
        <v>311</v>
      </c>
      <c r="FU8" s="95">
        <v>0.25</v>
      </c>
      <c r="FW8" s="95" t="s">
        <v>311</v>
      </c>
      <c r="FX8" s="95">
        <v>0.25</v>
      </c>
      <c r="FZ8" s="95" t="s">
        <v>292</v>
      </c>
      <c r="GA8" s="361">
        <f>(GA11*GA9*GA13)+(GA14*GA10*GA12)</f>
        <v>121000</v>
      </c>
      <c r="GB8" s="95" t="s">
        <v>230</v>
      </c>
      <c r="GF8" s="95" t="s">
        <v>305</v>
      </c>
      <c r="GG8" s="95">
        <v>0.25</v>
      </c>
      <c r="GI8" s="95" t="s">
        <v>305</v>
      </c>
      <c r="GJ8" s="95">
        <v>0.25</v>
      </c>
      <c r="GL8" s="95" t="s">
        <v>305</v>
      </c>
      <c r="GM8" s="95">
        <v>0.25</v>
      </c>
      <c r="GO8" s="95" t="s">
        <v>293</v>
      </c>
      <c r="GP8" s="360">
        <f>(GP13*GP9*GP11)+(GP14*GP10*GP12)</f>
        <v>121000</v>
      </c>
      <c r="GQ8" s="95" t="s">
        <v>230</v>
      </c>
      <c r="GU8" s="95" t="s">
        <v>310</v>
      </c>
      <c r="GV8" s="95">
        <v>0.25</v>
      </c>
      <c r="GX8" s="95" t="s">
        <v>310</v>
      </c>
      <c r="GY8" s="95">
        <v>0.25</v>
      </c>
      <c r="HA8" s="95" t="s">
        <v>310</v>
      </c>
      <c r="HB8" s="95">
        <v>0.25</v>
      </c>
      <c r="HD8" s="95" t="s">
        <v>448</v>
      </c>
      <c r="HE8" s="354">
        <f>B29</f>
        <v>30</v>
      </c>
      <c r="HF8" s="95" t="s">
        <v>129</v>
      </c>
    </row>
    <row r="9" spans="1:214" s="95" customFormat="1" x14ac:dyDescent="0.2">
      <c r="A9" s="426" t="s">
        <v>468</v>
      </c>
      <c r="B9" s="427">
        <v>7.2400000000000006E-2</v>
      </c>
      <c r="C9" s="428"/>
      <c r="D9" s="95" t="s">
        <v>68</v>
      </c>
      <c r="E9" s="95">
        <v>26</v>
      </c>
      <c r="F9" s="95" t="s">
        <v>62</v>
      </c>
      <c r="G9" s="95" t="s">
        <v>415</v>
      </c>
      <c r="H9" s="354">
        <f>B28</f>
        <v>3.7400000000000001E-11</v>
      </c>
      <c r="I9" s="95" t="s">
        <v>64</v>
      </c>
      <c r="J9" s="95" t="s">
        <v>415</v>
      </c>
      <c r="K9" s="354">
        <f>B28</f>
        <v>3.7400000000000001E-11</v>
      </c>
      <c r="L9" s="95" t="s">
        <v>64</v>
      </c>
      <c r="M9" s="95" t="s">
        <v>54</v>
      </c>
      <c r="N9" s="95">
        <v>55</v>
      </c>
      <c r="O9" s="95" t="s">
        <v>63</v>
      </c>
      <c r="P9" s="95" t="s">
        <v>54</v>
      </c>
      <c r="Q9" s="95">
        <v>55</v>
      </c>
      <c r="R9" s="95" t="s">
        <v>63</v>
      </c>
      <c r="S9" s="95" t="s">
        <v>54</v>
      </c>
      <c r="T9" s="95">
        <v>55</v>
      </c>
      <c r="U9" s="95" t="s">
        <v>63</v>
      </c>
      <c r="V9" s="95" t="s">
        <v>68</v>
      </c>
      <c r="W9" s="95">
        <v>20</v>
      </c>
      <c r="X9" s="95" t="s">
        <v>62</v>
      </c>
      <c r="Y9" s="95" t="s">
        <v>68</v>
      </c>
      <c r="Z9" s="95">
        <v>20</v>
      </c>
      <c r="AA9" s="95" t="s">
        <v>62</v>
      </c>
      <c r="AB9" s="95" t="s">
        <v>75</v>
      </c>
      <c r="AC9" s="354">
        <f>B17</f>
        <v>1.1900000000000001E-11</v>
      </c>
      <c r="AD9" s="354">
        <f>B17</f>
        <v>1.1900000000000001E-11</v>
      </c>
      <c r="AE9" s="354">
        <f>B17</f>
        <v>1.1900000000000001E-11</v>
      </c>
      <c r="AF9" s="354">
        <f>B17</f>
        <v>1.1900000000000001E-11</v>
      </c>
      <c r="AG9" s="354">
        <f>B17</f>
        <v>1.1900000000000001E-11</v>
      </c>
      <c r="AH9" s="95" t="s">
        <v>64</v>
      </c>
      <c r="AI9" s="95" t="s">
        <v>54</v>
      </c>
      <c r="AJ9" s="95">
        <v>130</v>
      </c>
      <c r="AK9" s="95" t="s">
        <v>63</v>
      </c>
      <c r="AL9" s="95" t="s">
        <v>54</v>
      </c>
      <c r="AM9" s="95">
        <v>130</v>
      </c>
      <c r="AN9" s="95" t="s">
        <v>63</v>
      </c>
      <c r="AO9" s="95" t="s">
        <v>54</v>
      </c>
      <c r="AP9" s="95">
        <v>130</v>
      </c>
      <c r="AQ9" s="95" t="s">
        <v>63</v>
      </c>
      <c r="AR9" s="95" t="s">
        <v>54</v>
      </c>
      <c r="AS9" s="95">
        <v>200</v>
      </c>
      <c r="AT9" s="95" t="s">
        <v>63</v>
      </c>
      <c r="AU9" s="95" t="s">
        <v>54</v>
      </c>
      <c r="AV9" s="95">
        <v>200</v>
      </c>
      <c r="AW9" s="95" t="s">
        <v>63</v>
      </c>
      <c r="AX9" s="95" t="s">
        <v>54</v>
      </c>
      <c r="AY9" s="95">
        <v>200</v>
      </c>
      <c r="AZ9" s="95" t="s">
        <v>63</v>
      </c>
      <c r="BA9" s="95" t="s">
        <v>54</v>
      </c>
      <c r="BB9" s="95">
        <v>200</v>
      </c>
      <c r="BC9" s="95" t="s">
        <v>63</v>
      </c>
      <c r="BD9" s="95" t="s">
        <v>54</v>
      </c>
      <c r="BE9" s="95">
        <v>200</v>
      </c>
      <c r="BF9" s="95" t="s">
        <v>63</v>
      </c>
      <c r="BG9" s="95" t="s">
        <v>54</v>
      </c>
      <c r="BH9" s="95">
        <v>200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3.7400000000000001E-11</v>
      </c>
      <c r="BX9" s="95" t="s">
        <v>64</v>
      </c>
      <c r="BY9" s="95" t="s">
        <v>164</v>
      </c>
      <c r="BZ9" s="354">
        <f>B30</f>
        <v>1359344473.5814338</v>
      </c>
      <c r="CA9" s="95" t="s">
        <v>165</v>
      </c>
      <c r="CB9" s="95" t="s">
        <v>54</v>
      </c>
      <c r="CC9" s="95">
        <v>80</v>
      </c>
      <c r="CD9" s="95" t="s">
        <v>63</v>
      </c>
      <c r="CE9" s="95" t="s">
        <v>54</v>
      </c>
      <c r="CF9" s="95">
        <v>80</v>
      </c>
      <c r="CG9" s="95" t="s">
        <v>63</v>
      </c>
      <c r="CH9" s="95" t="s">
        <v>54</v>
      </c>
      <c r="CI9" s="95">
        <v>80</v>
      </c>
      <c r="CJ9" s="95" t="s">
        <v>63</v>
      </c>
      <c r="CK9" s="95" t="s">
        <v>330</v>
      </c>
      <c r="CL9" s="357">
        <v>0.5</v>
      </c>
      <c r="CM9" s="95" t="s">
        <v>413</v>
      </c>
      <c r="CN9" s="95" t="s">
        <v>340</v>
      </c>
      <c r="CO9" s="357">
        <v>0.25</v>
      </c>
      <c r="CT9" s="95" t="s">
        <v>415</v>
      </c>
      <c r="CU9" s="354">
        <f>B28</f>
        <v>3.7400000000000001E-11</v>
      </c>
      <c r="CV9" s="95" t="s">
        <v>64</v>
      </c>
      <c r="CW9" s="95" t="s">
        <v>68</v>
      </c>
      <c r="CX9" s="95">
        <v>40</v>
      </c>
      <c r="CY9" s="95" t="s">
        <v>62</v>
      </c>
      <c r="CZ9" s="95" t="s">
        <v>415</v>
      </c>
      <c r="DA9" s="354">
        <f>B28</f>
        <v>3.7400000000000001E-11</v>
      </c>
      <c r="DB9" s="95" t="s">
        <v>64</v>
      </c>
      <c r="DC9" s="95" t="s">
        <v>97</v>
      </c>
      <c r="DD9" s="354">
        <v>55</v>
      </c>
      <c r="DE9" s="95" t="s">
        <v>413</v>
      </c>
      <c r="DF9" s="95" t="s">
        <v>79</v>
      </c>
      <c r="DG9" s="95">
        <v>0.25</v>
      </c>
      <c r="DH9" s="95" t="s">
        <v>80</v>
      </c>
      <c r="DO9" s="95" t="s">
        <v>79</v>
      </c>
      <c r="DP9" s="95">
        <v>0.25</v>
      </c>
      <c r="DQ9" s="95" t="s">
        <v>80</v>
      </c>
      <c r="DR9" s="95" t="s">
        <v>278</v>
      </c>
      <c r="DS9" s="95">
        <v>55</v>
      </c>
      <c r="DT9" s="95" t="s">
        <v>413</v>
      </c>
      <c r="DX9" s="95" t="s">
        <v>347</v>
      </c>
      <c r="DY9" s="354">
        <f>B35</f>
        <v>8.0000000000000002E-3</v>
      </c>
      <c r="EA9" s="95" t="s">
        <v>347</v>
      </c>
      <c r="EB9" s="354">
        <f>B35</f>
        <v>8.0000000000000002E-3</v>
      </c>
      <c r="ED9" s="95" t="s">
        <v>347</v>
      </c>
      <c r="EE9" s="354">
        <f>B35</f>
        <v>8.0000000000000002E-3</v>
      </c>
      <c r="EG9" s="95" t="s">
        <v>98</v>
      </c>
      <c r="EH9" s="95">
        <v>55</v>
      </c>
      <c r="EI9" s="95" t="s">
        <v>413</v>
      </c>
      <c r="EM9" s="95" t="s">
        <v>348</v>
      </c>
      <c r="EN9" s="354">
        <f>B36</f>
        <v>0.03</v>
      </c>
      <c r="EP9" s="95" t="s">
        <v>348</v>
      </c>
      <c r="EQ9" s="354">
        <f>B36</f>
        <v>0.03</v>
      </c>
      <c r="ES9" s="95" t="s">
        <v>348</v>
      </c>
      <c r="ET9" s="354">
        <f>B36</f>
        <v>0.03</v>
      </c>
      <c r="EV9" s="95" t="s">
        <v>287</v>
      </c>
      <c r="EW9" s="95">
        <v>55</v>
      </c>
      <c r="EX9" s="95" t="s">
        <v>413</v>
      </c>
      <c r="FB9" s="95" t="s">
        <v>349</v>
      </c>
      <c r="FC9" s="356">
        <f>B38</f>
        <v>0.4</v>
      </c>
      <c r="FE9" s="95" t="s">
        <v>349</v>
      </c>
      <c r="FF9" s="356">
        <f>B38</f>
        <v>0.4</v>
      </c>
      <c r="FH9" s="95" t="s">
        <v>349</v>
      </c>
      <c r="FI9" s="356">
        <f>B38</f>
        <v>0.4</v>
      </c>
      <c r="FK9" s="95" t="s">
        <v>254</v>
      </c>
      <c r="FL9" s="95">
        <v>55</v>
      </c>
      <c r="FM9" s="95" t="s">
        <v>413</v>
      </c>
      <c r="FT9" s="95" t="s">
        <v>350</v>
      </c>
      <c r="FU9" s="357">
        <v>1</v>
      </c>
      <c r="FW9" s="95" t="s">
        <v>350</v>
      </c>
      <c r="FX9" s="357">
        <v>1</v>
      </c>
      <c r="FZ9" s="95" t="s">
        <v>252</v>
      </c>
      <c r="GA9" s="362">
        <v>55</v>
      </c>
      <c r="GB9" s="95" t="s">
        <v>413</v>
      </c>
      <c r="GF9" s="95" t="s">
        <v>351</v>
      </c>
      <c r="GG9" s="356">
        <f>B37</f>
        <v>10</v>
      </c>
      <c r="GI9" s="95" t="s">
        <v>351</v>
      </c>
      <c r="GJ9" s="356">
        <f>B37</f>
        <v>10</v>
      </c>
      <c r="GL9" s="95" t="s">
        <v>351</v>
      </c>
      <c r="GM9" s="356">
        <f>B37</f>
        <v>10</v>
      </c>
      <c r="GO9" s="95" t="s">
        <v>295</v>
      </c>
      <c r="GP9" s="95">
        <v>55</v>
      </c>
      <c r="GQ9" s="95" t="s">
        <v>413</v>
      </c>
      <c r="GU9" s="95" t="s">
        <v>352</v>
      </c>
      <c r="GV9" s="356">
        <f>B39</f>
        <v>0.24</v>
      </c>
      <c r="GX9" s="95" t="s">
        <v>352</v>
      </c>
      <c r="GY9" s="356">
        <f>B39</f>
        <v>0.24</v>
      </c>
      <c r="HA9" s="95" t="s">
        <v>352</v>
      </c>
      <c r="HB9" s="356">
        <f>B39</f>
        <v>0.24</v>
      </c>
      <c r="HD9" s="95" t="s">
        <v>74</v>
      </c>
      <c r="HE9" s="95">
        <v>0.3</v>
      </c>
    </row>
    <row r="10" spans="1:214" s="95" customFormat="1" x14ac:dyDescent="0.2">
      <c r="A10" s="426" t="s">
        <v>469</v>
      </c>
      <c r="B10" s="427">
        <v>0.73599999999999999</v>
      </c>
      <c r="C10" s="428"/>
      <c r="D10" s="95" t="s">
        <v>75</v>
      </c>
      <c r="E10" s="354">
        <f>B17</f>
        <v>1.1900000000000001E-11</v>
      </c>
      <c r="F10" s="95" t="s">
        <v>64</v>
      </c>
      <c r="G10" s="95" t="s">
        <v>142</v>
      </c>
      <c r="H10" s="354">
        <f>H5/(H6*H15)</f>
        <v>0.15267212866474178</v>
      </c>
      <c r="I10" s="95" t="s">
        <v>22</v>
      </c>
      <c r="J10" s="95" t="s">
        <v>164</v>
      </c>
      <c r="K10" s="354">
        <f>B30</f>
        <v>1359344473.5814338</v>
      </c>
      <c r="L10" s="95" t="s">
        <v>165</v>
      </c>
      <c r="M10" s="95" t="s">
        <v>68</v>
      </c>
      <c r="N10" s="95">
        <v>20</v>
      </c>
      <c r="O10" s="95" t="s">
        <v>62</v>
      </c>
      <c r="P10" s="95" t="s">
        <v>68</v>
      </c>
      <c r="Q10" s="95">
        <v>20</v>
      </c>
      <c r="R10" s="95" t="s">
        <v>62</v>
      </c>
      <c r="S10" s="95" t="s">
        <v>68</v>
      </c>
      <c r="T10" s="95">
        <v>20</v>
      </c>
      <c r="U10" s="95" t="s">
        <v>62</v>
      </c>
      <c r="V10" s="95" t="s">
        <v>75</v>
      </c>
      <c r="W10" s="354">
        <f>B17</f>
        <v>1.1900000000000001E-11</v>
      </c>
      <c r="X10" s="95" t="s">
        <v>76</v>
      </c>
      <c r="Y10" s="95" t="s">
        <v>75</v>
      </c>
      <c r="Z10" s="354">
        <f>B17</f>
        <v>1.1900000000000001E-11</v>
      </c>
      <c r="AA10" s="95" t="s">
        <v>76</v>
      </c>
      <c r="AB10" s="95" t="s">
        <v>472</v>
      </c>
      <c r="AC10" s="354">
        <f>B21</f>
        <v>2.5399999999999998E-6</v>
      </c>
      <c r="AD10" s="354">
        <f>B21</f>
        <v>2.5399999999999998E-6</v>
      </c>
      <c r="AE10" s="354">
        <f>B21</f>
        <v>2.5399999999999998E-6</v>
      </c>
      <c r="AF10" s="354">
        <f>B21</f>
        <v>2.5399999999999998E-6</v>
      </c>
      <c r="AG10" s="354">
        <f>B21</f>
        <v>2.5399999999999998E-6</v>
      </c>
      <c r="AH10" s="95" t="s">
        <v>163</v>
      </c>
      <c r="AI10" s="95" t="s">
        <v>68</v>
      </c>
      <c r="AJ10" s="95">
        <v>25</v>
      </c>
      <c r="AK10" s="95" t="s">
        <v>62</v>
      </c>
      <c r="AL10" s="95" t="s">
        <v>68</v>
      </c>
      <c r="AM10" s="95">
        <v>25</v>
      </c>
      <c r="AN10" s="95" t="s">
        <v>62</v>
      </c>
      <c r="AO10" s="95" t="s">
        <v>68</v>
      </c>
      <c r="AP10" s="95">
        <v>25</v>
      </c>
      <c r="AQ10" s="95" t="s">
        <v>62</v>
      </c>
      <c r="AR10" s="95" t="s">
        <v>68</v>
      </c>
      <c r="AS10" s="95">
        <v>20</v>
      </c>
      <c r="AT10" s="95" t="s">
        <v>62</v>
      </c>
      <c r="AU10" s="95" t="s">
        <v>68</v>
      </c>
      <c r="AV10" s="95">
        <v>20</v>
      </c>
      <c r="AW10" s="95" t="s">
        <v>62</v>
      </c>
      <c r="AX10" s="95" t="s">
        <v>68</v>
      </c>
      <c r="AY10" s="95">
        <v>20</v>
      </c>
      <c r="AZ10" s="95" t="s">
        <v>62</v>
      </c>
      <c r="BA10" s="95" t="s">
        <v>68</v>
      </c>
      <c r="BB10" s="95">
        <v>20</v>
      </c>
      <c r="BC10" s="95" t="s">
        <v>62</v>
      </c>
      <c r="BD10" s="95" t="s">
        <v>68</v>
      </c>
      <c r="BE10" s="95">
        <v>20</v>
      </c>
      <c r="BF10" s="95" t="s">
        <v>62</v>
      </c>
      <c r="BG10" s="95" t="s">
        <v>68</v>
      </c>
      <c r="BH10" s="95">
        <v>20</v>
      </c>
      <c r="BI10" s="95" t="s">
        <v>62</v>
      </c>
      <c r="BJ10" s="95" t="s">
        <v>411</v>
      </c>
      <c r="BK10" s="95">
        <v>50</v>
      </c>
      <c r="BL10" s="95" t="s">
        <v>426</v>
      </c>
      <c r="BM10" s="95" t="s">
        <v>411</v>
      </c>
      <c r="BN10" s="95">
        <v>50</v>
      </c>
      <c r="BO10" s="95" t="s">
        <v>426</v>
      </c>
      <c r="BP10" s="95" t="s">
        <v>411</v>
      </c>
      <c r="BQ10" s="95">
        <v>50</v>
      </c>
      <c r="BR10" s="95" t="s">
        <v>426</v>
      </c>
      <c r="BS10" s="95" t="s">
        <v>75</v>
      </c>
      <c r="BT10" s="354">
        <f>E10</f>
        <v>1.1900000000000001E-11</v>
      </c>
      <c r="BU10" s="95" t="s">
        <v>64</v>
      </c>
      <c r="BV10" s="95" t="s">
        <v>142</v>
      </c>
      <c r="BW10" s="354">
        <f>BW5/(BW6*BW13)</f>
        <v>158.14777327935224</v>
      </c>
      <c r="BX10" s="95" t="s">
        <v>22</v>
      </c>
      <c r="BY10" s="95" t="s">
        <v>38</v>
      </c>
      <c r="BZ10" s="354">
        <f>(BZ33*BZ11)/(1-EXP(-BZ11*BZ33))</f>
        <v>1.330180847185898</v>
      </c>
      <c r="CB10" s="95" t="s">
        <v>68</v>
      </c>
      <c r="CC10" s="95">
        <v>26</v>
      </c>
      <c r="CD10" s="95" t="s">
        <v>62</v>
      </c>
      <c r="CE10" s="95" t="s">
        <v>68</v>
      </c>
      <c r="CF10" s="95">
        <v>26</v>
      </c>
      <c r="CG10" s="95" t="s">
        <v>62</v>
      </c>
      <c r="CH10" s="95" t="s">
        <v>68</v>
      </c>
      <c r="CI10" s="95">
        <v>26</v>
      </c>
      <c r="CJ10" s="95" t="s">
        <v>62</v>
      </c>
      <c r="CN10" s="95" t="s">
        <v>338</v>
      </c>
      <c r="CO10" s="357">
        <v>0.5</v>
      </c>
      <c r="CP10" s="95" t="s">
        <v>479</v>
      </c>
      <c r="CT10" s="95" t="s">
        <v>164</v>
      </c>
      <c r="CU10" s="354">
        <f>B30</f>
        <v>1359344473.5814338</v>
      </c>
      <c r="CV10" s="95" t="s">
        <v>165</v>
      </c>
      <c r="CW10" s="95" t="s">
        <v>75</v>
      </c>
      <c r="CX10" s="354">
        <f>B17</f>
        <v>1.1900000000000001E-11</v>
      </c>
      <c r="CY10" s="95" t="s">
        <v>64</v>
      </c>
      <c r="CZ10" s="95" t="s">
        <v>38</v>
      </c>
      <c r="DA10" s="354">
        <f>(DA35*DA11)/(1-EXP(-DA11*DA35))</f>
        <v>1.5321557426384087</v>
      </c>
      <c r="DC10" s="95" t="s">
        <v>118</v>
      </c>
      <c r="DD10" s="354">
        <v>55</v>
      </c>
      <c r="DE10" s="95" t="s">
        <v>413</v>
      </c>
      <c r="DF10" s="95" t="s">
        <v>66</v>
      </c>
      <c r="DG10" s="95">
        <f>B40</f>
        <v>0.03</v>
      </c>
      <c r="DO10" s="95" t="s">
        <v>66</v>
      </c>
      <c r="DP10" s="95">
        <f>B40</f>
        <v>0.03</v>
      </c>
      <c r="DR10" s="95" t="s">
        <v>279</v>
      </c>
      <c r="DS10" s="95">
        <v>55</v>
      </c>
      <c r="DT10" s="95" t="s">
        <v>413</v>
      </c>
      <c r="DX10" s="95" t="s">
        <v>89</v>
      </c>
      <c r="DY10" s="95">
        <v>16.899999999999999</v>
      </c>
      <c r="EA10" s="95" t="s">
        <v>89</v>
      </c>
      <c r="EB10" s="95">
        <v>16.899999999999999</v>
      </c>
      <c r="ED10" s="95" t="s">
        <v>89</v>
      </c>
      <c r="EE10" s="95">
        <v>16.899999999999999</v>
      </c>
      <c r="EG10" s="95" t="s">
        <v>119</v>
      </c>
      <c r="EH10" s="95">
        <v>55</v>
      </c>
      <c r="EI10" s="95" t="s">
        <v>413</v>
      </c>
      <c r="EM10" s="95" t="s">
        <v>90</v>
      </c>
      <c r="EN10" s="95">
        <v>11.77</v>
      </c>
      <c r="EP10" s="95" t="s">
        <v>90</v>
      </c>
      <c r="EQ10" s="95">
        <v>11.77</v>
      </c>
      <c r="ES10" s="95" t="s">
        <v>90</v>
      </c>
      <c r="ET10" s="95">
        <v>11.77</v>
      </c>
      <c r="EV10" s="95" t="s">
        <v>288</v>
      </c>
      <c r="EW10" s="95">
        <v>55</v>
      </c>
      <c r="EX10" s="95" t="s">
        <v>413</v>
      </c>
      <c r="FB10" s="95" t="s">
        <v>318</v>
      </c>
      <c r="FC10" s="95">
        <v>0.2</v>
      </c>
      <c r="FE10" s="95" t="s">
        <v>318</v>
      </c>
      <c r="FF10" s="95">
        <v>0.2</v>
      </c>
      <c r="FH10" s="95" t="s">
        <v>318</v>
      </c>
      <c r="FI10" s="95">
        <v>0.2</v>
      </c>
      <c r="FK10" s="95" t="s">
        <v>255</v>
      </c>
      <c r="FL10" s="95">
        <v>55</v>
      </c>
      <c r="FM10" s="95" t="s">
        <v>413</v>
      </c>
      <c r="FT10" s="95" t="s">
        <v>315</v>
      </c>
      <c r="FU10" s="357">
        <v>1</v>
      </c>
      <c r="FW10" s="95" t="s">
        <v>315</v>
      </c>
      <c r="FX10" s="357">
        <v>1</v>
      </c>
      <c r="FZ10" s="95" t="s">
        <v>253</v>
      </c>
      <c r="GA10" s="95">
        <v>55</v>
      </c>
      <c r="GB10" s="95" t="s">
        <v>413</v>
      </c>
      <c r="GF10" s="95" t="s">
        <v>301</v>
      </c>
      <c r="GG10" s="95">
        <v>0.2</v>
      </c>
      <c r="GI10" s="95" t="s">
        <v>301</v>
      </c>
      <c r="GJ10" s="95">
        <v>0.2</v>
      </c>
      <c r="GL10" s="95" t="s">
        <v>301</v>
      </c>
      <c r="GM10" s="95">
        <v>0.2</v>
      </c>
      <c r="GO10" s="95" t="s">
        <v>294</v>
      </c>
      <c r="GP10" s="95">
        <v>55</v>
      </c>
      <c r="GQ10" s="95" t="s">
        <v>413</v>
      </c>
      <c r="GU10" s="95" t="s">
        <v>306</v>
      </c>
      <c r="GV10" s="95">
        <v>4.7</v>
      </c>
      <c r="GX10" s="95" t="s">
        <v>306</v>
      </c>
      <c r="GY10" s="95">
        <v>4.7</v>
      </c>
      <c r="HA10" s="95" t="s">
        <v>306</v>
      </c>
      <c r="HB10" s="95">
        <v>4.7</v>
      </c>
      <c r="HD10" s="95" t="s">
        <v>81</v>
      </c>
      <c r="HE10" s="354">
        <v>1.5</v>
      </c>
    </row>
    <row r="11" spans="1:214" s="95" customFormat="1" x14ac:dyDescent="0.2">
      <c r="A11" s="426" t="s">
        <v>470</v>
      </c>
      <c r="B11" s="427">
        <v>2.6599999999999999E-2</v>
      </c>
      <c r="C11" s="428"/>
      <c r="D11" s="95" t="s">
        <v>82</v>
      </c>
      <c r="E11" s="360">
        <f>((E14/E15)*E24*E12*E16)+((E14/E15)*E25*E13*E17)</f>
        <v>70000</v>
      </c>
      <c r="F11" s="95" t="s">
        <v>444</v>
      </c>
      <c r="G11" s="95" t="s">
        <v>134</v>
      </c>
      <c r="H11" s="354">
        <f>H5/(H7*H16*H28)</f>
        <v>2.4009603841536613</v>
      </c>
      <c r="I11" s="95" t="s">
        <v>22</v>
      </c>
      <c r="J11" s="95" t="s">
        <v>38</v>
      </c>
      <c r="K11" s="354">
        <f>(K45*K12)/(1-EXP(-K12*K45))</f>
        <v>1.330180847185898</v>
      </c>
      <c r="M11" s="95" t="s">
        <v>91</v>
      </c>
      <c r="N11" s="95">
        <v>0.4</v>
      </c>
      <c r="P11" s="95" t="s">
        <v>91</v>
      </c>
      <c r="Q11" s="95">
        <v>0.4</v>
      </c>
      <c r="S11" s="95" t="s">
        <v>91</v>
      </c>
      <c r="T11" s="95">
        <v>0.4</v>
      </c>
      <c r="V11" s="95" t="s">
        <v>84</v>
      </c>
      <c r="W11" s="95">
        <v>5</v>
      </c>
      <c r="X11" s="95" t="s">
        <v>85</v>
      </c>
      <c r="Y11" s="95" t="s">
        <v>84</v>
      </c>
      <c r="Z11" s="95">
        <v>5</v>
      </c>
      <c r="AA11" s="95" t="s">
        <v>85</v>
      </c>
      <c r="AB11" s="95" t="s">
        <v>68</v>
      </c>
      <c r="AC11" s="95">
        <v>20</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625</v>
      </c>
      <c r="BU11" s="95" t="s">
        <v>444</v>
      </c>
      <c r="BV11" s="95" t="s">
        <v>134</v>
      </c>
      <c r="BW11" s="354"/>
      <c r="BX11" s="95" t="s">
        <v>22</v>
      </c>
      <c r="BY11" s="95" t="s">
        <v>52</v>
      </c>
      <c r="BZ11" s="354">
        <f>0.693/BZ12</f>
        <v>2.3099999999999999E-2</v>
      </c>
      <c r="CB11" s="95" t="s">
        <v>102</v>
      </c>
      <c r="CC11" s="354">
        <f>B2</f>
        <v>8.5099999999999995E-2</v>
      </c>
      <c r="CE11" s="95" t="s">
        <v>102</v>
      </c>
      <c r="CF11" s="354">
        <f>B5</f>
        <v>4.3299999999999998E-2</v>
      </c>
      <c r="CH11" s="95" t="s">
        <v>102</v>
      </c>
      <c r="CI11" s="354">
        <f>B9</f>
        <v>7.2400000000000006E-2</v>
      </c>
      <c r="CN11" s="95" t="s">
        <v>335</v>
      </c>
      <c r="CO11" s="357">
        <v>0.5</v>
      </c>
      <c r="CP11" s="95" t="s">
        <v>479</v>
      </c>
      <c r="CT11" s="95" t="s">
        <v>38</v>
      </c>
      <c r="CU11" s="354">
        <f>(CU45*CU12)/(1-EXP(-CU12*CU45))</f>
        <v>1.5321557426384087</v>
      </c>
      <c r="CW11" s="95" t="s">
        <v>82</v>
      </c>
      <c r="CX11" s="360">
        <f>((CX15/24)*CX24*CX12*CX16)+((CX14/24)*CX25*CX13*CX17)</f>
        <v>25208.333333333336</v>
      </c>
      <c r="CY11" s="95" t="s">
        <v>444</v>
      </c>
      <c r="CZ11" s="95" t="s">
        <v>52</v>
      </c>
      <c r="DA11" s="354">
        <f>0.693/DA12</f>
        <v>2.3099999999999999E-2</v>
      </c>
      <c r="DC11" s="95" t="s">
        <v>283</v>
      </c>
      <c r="DD11" s="360">
        <f>(DD12*DD15*DD16)+(DD13*DD14*DD17)</f>
        <v>121000</v>
      </c>
      <c r="DE11" s="95" t="s">
        <v>230</v>
      </c>
      <c r="DF11" s="95" t="s">
        <v>99</v>
      </c>
      <c r="DG11" s="95">
        <f>DG19+DG20</f>
        <v>8.9999999999999992E-5</v>
      </c>
      <c r="DO11" s="95" t="s">
        <v>99</v>
      </c>
      <c r="DP11" s="95">
        <f>DP19+DP20</f>
        <v>2.6999999999999999E-5</v>
      </c>
      <c r="DR11" s="95" t="s">
        <v>70</v>
      </c>
      <c r="DS11" s="95">
        <v>55</v>
      </c>
      <c r="DT11" s="95" t="s">
        <v>55</v>
      </c>
      <c r="DX11" s="95" t="s">
        <v>100</v>
      </c>
      <c r="DY11" s="95">
        <v>0.41</v>
      </c>
      <c r="EA11" s="95" t="s">
        <v>100</v>
      </c>
      <c r="EB11" s="95">
        <v>0.41</v>
      </c>
      <c r="ED11" s="95" t="s">
        <v>100</v>
      </c>
      <c r="EE11" s="95">
        <v>0.41</v>
      </c>
      <c r="EG11" s="95" t="s">
        <v>70</v>
      </c>
      <c r="EH11" s="95">
        <v>55</v>
      </c>
      <c r="EI11" s="95" t="s">
        <v>55</v>
      </c>
      <c r="EM11" s="95" t="s">
        <v>101</v>
      </c>
      <c r="EN11" s="95">
        <v>0.39</v>
      </c>
      <c r="EP11" s="95" t="s">
        <v>101</v>
      </c>
      <c r="EQ11" s="95">
        <v>0.39</v>
      </c>
      <c r="ES11" s="95" t="s">
        <v>101</v>
      </c>
      <c r="ET11" s="95">
        <v>0.39</v>
      </c>
      <c r="EV11" s="95" t="s">
        <v>422</v>
      </c>
      <c r="EW11" s="95">
        <v>55</v>
      </c>
      <c r="EX11" s="95" t="s">
        <v>55</v>
      </c>
      <c r="FB11" s="95" t="s">
        <v>317</v>
      </c>
      <c r="FC11" s="95">
        <v>2.1999999999999999E-2</v>
      </c>
      <c r="FE11" s="95" t="s">
        <v>317</v>
      </c>
      <c r="FF11" s="95">
        <v>2.1999999999999999E-2</v>
      </c>
      <c r="FH11" s="95" t="s">
        <v>317</v>
      </c>
      <c r="FI11" s="95">
        <v>2.1999999999999999E-2</v>
      </c>
      <c r="FK11" s="95" t="s">
        <v>422</v>
      </c>
      <c r="FL11" s="95">
        <v>55</v>
      </c>
      <c r="FM11" s="95" t="s">
        <v>55</v>
      </c>
      <c r="FT11" s="95" t="s">
        <v>314</v>
      </c>
      <c r="FU11" s="357">
        <v>1</v>
      </c>
      <c r="FW11" s="95" t="s">
        <v>314</v>
      </c>
      <c r="FX11" s="357">
        <v>1</v>
      </c>
      <c r="FZ11" s="95" t="s">
        <v>422</v>
      </c>
      <c r="GA11" s="95">
        <v>55</v>
      </c>
      <c r="GB11" s="95" t="s">
        <v>55</v>
      </c>
      <c r="GF11" s="95" t="s">
        <v>302</v>
      </c>
      <c r="GG11" s="95">
        <v>2.1999999999999999E-2</v>
      </c>
      <c r="GI11" s="95" t="s">
        <v>302</v>
      </c>
      <c r="GJ11" s="95">
        <v>2.1999999999999999E-2</v>
      </c>
      <c r="GL11" s="95" t="s">
        <v>302</v>
      </c>
      <c r="GM11" s="95">
        <v>2.1999999999999999E-2</v>
      </c>
      <c r="GO11" s="95" t="s">
        <v>422</v>
      </c>
      <c r="GP11" s="95">
        <v>55</v>
      </c>
      <c r="GQ11" s="95" t="s">
        <v>55</v>
      </c>
      <c r="GU11" s="95" t="s">
        <v>307</v>
      </c>
      <c r="GV11" s="95">
        <v>0.37</v>
      </c>
      <c r="GX11" s="95" t="s">
        <v>307</v>
      </c>
      <c r="GY11" s="95">
        <v>0.37</v>
      </c>
      <c r="HA11" s="95" t="s">
        <v>307</v>
      </c>
      <c r="HB11" s="95">
        <v>0.37</v>
      </c>
      <c r="HD11" s="95" t="s">
        <v>92</v>
      </c>
      <c r="HE11" s="95">
        <v>26</v>
      </c>
    </row>
    <row r="12" spans="1:214" s="95" customFormat="1" ht="13.5" thickBot="1" x14ac:dyDescent="0.25">
      <c r="A12" s="430" t="s">
        <v>471</v>
      </c>
      <c r="B12" s="431">
        <v>0.46500000000000002</v>
      </c>
      <c r="C12" s="432"/>
      <c r="D12" s="95" t="s">
        <v>93</v>
      </c>
      <c r="E12" s="95">
        <f>B44</f>
        <v>0</v>
      </c>
      <c r="F12" s="95" t="s">
        <v>83</v>
      </c>
      <c r="G12" s="95" t="s">
        <v>256</v>
      </c>
      <c r="H12" s="354">
        <f>H5/(H8*(1/H45)*H21)</f>
        <v>277051.06342065713</v>
      </c>
      <c r="I12" s="95" t="s">
        <v>22</v>
      </c>
      <c r="J12" s="95" t="s">
        <v>52</v>
      </c>
      <c r="K12" s="354">
        <f>0.693/K13</f>
        <v>2.3099999999999999E-2</v>
      </c>
      <c r="M12" s="95" t="s">
        <v>102</v>
      </c>
      <c r="N12" s="354">
        <f>B2</f>
        <v>8.5099999999999995E-2</v>
      </c>
      <c r="P12" s="95" t="s">
        <v>102</v>
      </c>
      <c r="Q12" s="354">
        <f>B5</f>
        <v>4.3299999999999998E-2</v>
      </c>
      <c r="S12" s="95" t="s">
        <v>102</v>
      </c>
      <c r="T12" s="354">
        <f>B9</f>
        <v>7.2400000000000006E-2</v>
      </c>
      <c r="W12" s="95">
        <v>24</v>
      </c>
      <c r="X12" s="95" t="s">
        <v>85</v>
      </c>
      <c r="Z12" s="95">
        <v>24</v>
      </c>
      <c r="AA12" s="95" t="s">
        <v>85</v>
      </c>
      <c r="AB12" s="95" t="s">
        <v>410</v>
      </c>
      <c r="AF12" s="95">
        <v>5</v>
      </c>
      <c r="AG12" s="95">
        <v>5</v>
      </c>
      <c r="AH12" s="95" t="s">
        <v>210</v>
      </c>
      <c r="AI12" s="95" t="s">
        <v>102</v>
      </c>
      <c r="AJ12" s="354">
        <f>B2</f>
        <v>8.5099999999999995E-2</v>
      </c>
      <c r="AL12" s="95" t="s">
        <v>102</v>
      </c>
      <c r="AM12" s="354">
        <f>B5</f>
        <v>4.3299999999999998E-2</v>
      </c>
      <c r="AO12" s="95" t="s">
        <v>102</v>
      </c>
      <c r="AP12" s="354">
        <f>B9</f>
        <v>7.2400000000000006E-2</v>
      </c>
      <c r="AR12" s="95" t="s">
        <v>102</v>
      </c>
      <c r="AS12" s="354">
        <f>B2</f>
        <v>8.5099999999999995E-2</v>
      </c>
      <c r="AU12" s="95" t="s">
        <v>102</v>
      </c>
      <c r="AV12" s="354">
        <f>B5</f>
        <v>4.3299999999999998E-2</v>
      </c>
      <c r="AX12" s="95" t="s">
        <v>102</v>
      </c>
      <c r="AY12" s="354">
        <f>B9</f>
        <v>7.2400000000000006E-2</v>
      </c>
      <c r="BA12" s="95" t="s">
        <v>102</v>
      </c>
      <c r="BB12" s="354">
        <f>B2</f>
        <v>8.5099999999999995E-2</v>
      </c>
      <c r="BD12" s="95" t="s">
        <v>102</v>
      </c>
      <c r="BE12" s="354">
        <f>B5</f>
        <v>4.3299999999999998E-2</v>
      </c>
      <c r="BG12" s="95" t="s">
        <v>102</v>
      </c>
      <c r="BH12" s="354">
        <f>B9</f>
        <v>7.2400000000000006E-2</v>
      </c>
      <c r="BJ12" s="95" t="s">
        <v>68</v>
      </c>
      <c r="BK12" s="95">
        <v>1</v>
      </c>
      <c r="BL12" s="95" t="s">
        <v>62</v>
      </c>
      <c r="BM12" s="95" t="s">
        <v>68</v>
      </c>
      <c r="BN12" s="95">
        <v>1</v>
      </c>
      <c r="BO12" s="95" t="s">
        <v>62</v>
      </c>
      <c r="BP12" s="95" t="s">
        <v>68</v>
      </c>
      <c r="BQ12" s="95">
        <v>1</v>
      </c>
      <c r="BR12" s="95" t="s">
        <v>62</v>
      </c>
      <c r="BS12" s="95" t="s">
        <v>93</v>
      </c>
      <c r="BT12" s="95">
        <f>B44</f>
        <v>0</v>
      </c>
      <c r="BU12" s="95" t="s">
        <v>83</v>
      </c>
      <c r="BV12" s="95" t="s">
        <v>256</v>
      </c>
      <c r="BW12" s="354">
        <f>BW5/(BW8*(1/BW32)*BW16)</f>
        <v>406519.15651915647</v>
      </c>
      <c r="BX12" s="95" t="s">
        <v>22</v>
      </c>
      <c r="BY12" s="95" t="s">
        <v>448</v>
      </c>
      <c r="BZ12" s="354">
        <f>B29</f>
        <v>30</v>
      </c>
      <c r="CA12" s="95" t="s">
        <v>129</v>
      </c>
      <c r="CB12" s="95" t="s">
        <v>113</v>
      </c>
      <c r="CC12" s="354">
        <f>B3</f>
        <v>0.74199999999999999</v>
      </c>
      <c r="CE12" s="95" t="s">
        <v>113</v>
      </c>
      <c r="CF12" s="354">
        <f>B6</f>
        <v>0.65300000000000002</v>
      </c>
      <c r="CH12" s="95" t="s">
        <v>113</v>
      </c>
      <c r="CI12" s="354">
        <f>B10</f>
        <v>0.73599999999999999</v>
      </c>
      <c r="CN12" s="95" t="s">
        <v>336</v>
      </c>
      <c r="CO12" s="357">
        <v>1</v>
      </c>
      <c r="CP12" s="95" t="s">
        <v>80</v>
      </c>
      <c r="CT12" s="95" t="s">
        <v>52</v>
      </c>
      <c r="CU12" s="354">
        <f>0.693/CU13</f>
        <v>2.3099999999999999E-2</v>
      </c>
      <c r="CW12" s="95" t="s">
        <v>93</v>
      </c>
      <c r="CX12" s="95">
        <v>55</v>
      </c>
      <c r="CY12" s="95" t="s">
        <v>83</v>
      </c>
      <c r="CZ12" s="95" t="s">
        <v>448</v>
      </c>
      <c r="DA12" s="354">
        <f>B29</f>
        <v>30</v>
      </c>
      <c r="DB12" s="95" t="s">
        <v>129</v>
      </c>
      <c r="DC12" s="95" t="s">
        <v>147</v>
      </c>
      <c r="DD12" s="354">
        <v>55</v>
      </c>
      <c r="DE12" s="95" t="s">
        <v>413</v>
      </c>
      <c r="DF12" s="95" t="s">
        <v>109</v>
      </c>
      <c r="DG12" s="95">
        <v>10950</v>
      </c>
      <c r="DH12" s="95" t="s">
        <v>110</v>
      </c>
      <c r="DO12" s="95" t="s">
        <v>109</v>
      </c>
      <c r="DP12" s="95">
        <v>10950</v>
      </c>
      <c r="DQ12" s="95" t="s">
        <v>110</v>
      </c>
      <c r="DR12" s="95" t="s">
        <v>78</v>
      </c>
      <c r="DS12" s="95">
        <v>55</v>
      </c>
      <c r="DT12" s="95" t="s">
        <v>55</v>
      </c>
      <c r="DX12" s="95" t="s">
        <v>111</v>
      </c>
      <c r="DY12" s="95">
        <v>1</v>
      </c>
      <c r="EA12" s="95" t="s">
        <v>111</v>
      </c>
      <c r="EB12" s="95">
        <v>1</v>
      </c>
      <c r="ED12" s="95" t="s">
        <v>111</v>
      </c>
      <c r="EE12" s="95">
        <v>1</v>
      </c>
      <c r="EG12" s="95" t="s">
        <v>78</v>
      </c>
      <c r="EH12" s="95">
        <v>55</v>
      </c>
      <c r="EI12" s="95" t="s">
        <v>55</v>
      </c>
      <c r="EM12" s="95" t="s">
        <v>112</v>
      </c>
      <c r="EN12" s="95">
        <v>1</v>
      </c>
      <c r="EP12" s="95" t="s">
        <v>112</v>
      </c>
      <c r="EQ12" s="95">
        <v>1</v>
      </c>
      <c r="ES12" s="95" t="s">
        <v>112</v>
      </c>
      <c r="ET12" s="95">
        <v>1</v>
      </c>
      <c r="EV12" s="95" t="s">
        <v>423</v>
      </c>
      <c r="EW12" s="95">
        <v>55</v>
      </c>
      <c r="EX12" s="95" t="s">
        <v>55</v>
      </c>
      <c r="FB12" s="95" t="s">
        <v>319</v>
      </c>
      <c r="FC12" s="357">
        <v>1</v>
      </c>
      <c r="FE12" s="95" t="s">
        <v>319</v>
      </c>
      <c r="FF12" s="357">
        <v>1</v>
      </c>
      <c r="FH12" s="95" t="s">
        <v>319</v>
      </c>
      <c r="FI12" s="357">
        <v>1</v>
      </c>
      <c r="FK12" s="95" t="s">
        <v>423</v>
      </c>
      <c r="FL12" s="95">
        <v>55</v>
      </c>
      <c r="FM12" s="95" t="s">
        <v>55</v>
      </c>
      <c r="FT12" s="95" t="s">
        <v>313</v>
      </c>
      <c r="FU12" s="357">
        <v>1</v>
      </c>
      <c r="FW12" s="95" t="s">
        <v>313</v>
      </c>
      <c r="FX12" s="357">
        <v>1</v>
      </c>
      <c r="FZ12" s="95" t="s">
        <v>423</v>
      </c>
      <c r="GA12" s="95">
        <v>55</v>
      </c>
      <c r="GB12" s="95" t="s">
        <v>55</v>
      </c>
      <c r="GF12" s="95" t="s">
        <v>303</v>
      </c>
      <c r="GG12" s="95">
        <v>1</v>
      </c>
      <c r="GI12" s="95" t="s">
        <v>303</v>
      </c>
      <c r="GJ12" s="95">
        <v>1</v>
      </c>
      <c r="GL12" s="95" t="s">
        <v>303</v>
      </c>
      <c r="GM12" s="95">
        <v>1</v>
      </c>
      <c r="GO12" s="95" t="s">
        <v>423</v>
      </c>
      <c r="GP12" s="95">
        <v>55</v>
      </c>
      <c r="GQ12" s="95" t="s">
        <v>55</v>
      </c>
      <c r="GU12" s="95" t="s">
        <v>308</v>
      </c>
      <c r="GV12" s="95">
        <v>1</v>
      </c>
      <c r="GX12" s="95" t="s">
        <v>308</v>
      </c>
      <c r="GY12" s="95">
        <v>1</v>
      </c>
      <c r="HA12" s="95" t="s">
        <v>308</v>
      </c>
      <c r="HB12" s="95">
        <v>1</v>
      </c>
      <c r="HE12" s="354"/>
    </row>
    <row r="13" spans="1:214" s="95" customFormat="1" ht="13.5" thickTop="1" x14ac:dyDescent="0.2">
      <c r="A13" s="496" t="s">
        <v>450</v>
      </c>
      <c r="B13" s="497"/>
      <c r="C13" s="498"/>
      <c r="D13" s="95" t="s">
        <v>103</v>
      </c>
      <c r="E13" s="95">
        <f>B45</f>
        <v>10</v>
      </c>
      <c r="F13" s="95" t="s">
        <v>83</v>
      </c>
      <c r="G13" s="95" t="s">
        <v>407</v>
      </c>
      <c r="H13" s="354">
        <f>H14/((1/H42)*(H50+H51+H52))</f>
        <v>30.990486018022906</v>
      </c>
      <c r="I13" s="95" t="s">
        <v>22</v>
      </c>
      <c r="J13" s="95" t="s">
        <v>448</v>
      </c>
      <c r="K13" s="354">
        <f>B29</f>
        <v>30</v>
      </c>
      <c r="L13" s="95" t="s">
        <v>129</v>
      </c>
      <c r="M13" s="95" t="s">
        <v>113</v>
      </c>
      <c r="N13" s="354">
        <f>B3</f>
        <v>0.74199999999999999</v>
      </c>
      <c r="P13" s="95" t="s">
        <v>113</v>
      </c>
      <c r="Q13" s="354">
        <f>B6</f>
        <v>0.65300000000000002</v>
      </c>
      <c r="S13" s="95" t="s">
        <v>113</v>
      </c>
      <c r="T13" s="354">
        <f>B10</f>
        <v>0.73599999999999999</v>
      </c>
      <c r="V13" s="95" t="s">
        <v>104</v>
      </c>
      <c r="W13" s="95">
        <v>55</v>
      </c>
      <c r="X13" s="95" t="s">
        <v>83</v>
      </c>
      <c r="Y13" s="95" t="s">
        <v>104</v>
      </c>
      <c r="Z13" s="95">
        <v>55</v>
      </c>
      <c r="AA13" s="95" t="s">
        <v>83</v>
      </c>
      <c r="AB13" s="95" t="s">
        <v>411</v>
      </c>
      <c r="AF13" s="95">
        <v>26</v>
      </c>
      <c r="AG13" s="95">
        <v>26</v>
      </c>
      <c r="AH13" s="95" t="s">
        <v>412</v>
      </c>
      <c r="AI13" s="95" t="s">
        <v>113</v>
      </c>
      <c r="AJ13" s="354">
        <f>B3</f>
        <v>0.74199999999999999</v>
      </c>
      <c r="AL13" s="95" t="s">
        <v>113</v>
      </c>
      <c r="AM13" s="354">
        <f>B6</f>
        <v>0.65300000000000002</v>
      </c>
      <c r="AO13" s="95" t="s">
        <v>113</v>
      </c>
      <c r="AP13" s="354">
        <f>B10</f>
        <v>0.73599999999999999</v>
      </c>
      <c r="AR13" s="95" t="s">
        <v>113</v>
      </c>
      <c r="AS13" s="354">
        <f>B3</f>
        <v>0.74199999999999999</v>
      </c>
      <c r="AU13" s="95" t="s">
        <v>113</v>
      </c>
      <c r="AV13" s="354">
        <f>B6</f>
        <v>0.65300000000000002</v>
      </c>
      <c r="AX13" s="95" t="s">
        <v>113</v>
      </c>
      <c r="AY13" s="354">
        <f>B10</f>
        <v>0.73599999999999999</v>
      </c>
      <c r="BA13" s="95" t="s">
        <v>113</v>
      </c>
      <c r="BB13" s="354">
        <f>B3</f>
        <v>0.74199999999999999</v>
      </c>
      <c r="BD13" s="95" t="s">
        <v>113</v>
      </c>
      <c r="BE13" s="354">
        <f>B6</f>
        <v>0.65300000000000002</v>
      </c>
      <c r="BG13" s="95" t="s">
        <v>113</v>
      </c>
      <c r="BH13" s="354">
        <f>B10</f>
        <v>0.73599999999999999</v>
      </c>
      <c r="BJ13" s="95" t="s">
        <v>102</v>
      </c>
      <c r="BK13" s="354">
        <f>B2</f>
        <v>8.5099999999999995E-2</v>
      </c>
      <c r="BM13" s="95" t="s">
        <v>102</v>
      </c>
      <c r="BN13" s="354">
        <f>B5</f>
        <v>4.3299999999999998E-2</v>
      </c>
      <c r="BP13" s="95" t="s">
        <v>102</v>
      </c>
      <c r="BQ13" s="354">
        <f>B9</f>
        <v>7.2400000000000006E-2</v>
      </c>
      <c r="BS13" s="95" t="s">
        <v>103</v>
      </c>
      <c r="BT13" s="95">
        <f>B45</f>
        <v>10</v>
      </c>
      <c r="BU13" s="95" t="s">
        <v>83</v>
      </c>
      <c r="BV13" s="95" t="s">
        <v>86</v>
      </c>
      <c r="BW13" s="371">
        <f>((BW18*BW21*BW23*BW26*BW14)+(BW19*BW22*BW24*BW27*BW15))</f>
        <v>208</v>
      </c>
      <c r="BX13" s="95" t="s">
        <v>196</v>
      </c>
      <c r="BY13" s="95" t="s">
        <v>142</v>
      </c>
      <c r="BZ13" s="354">
        <f>(BZ5/(BZ6*BZ16*(1/BZ36)))*BZ10</f>
        <v>120.0004372822151</v>
      </c>
      <c r="CA13" s="95" t="s">
        <v>23</v>
      </c>
      <c r="CB13" s="95" t="s">
        <v>182</v>
      </c>
      <c r="CC13" s="95">
        <v>2</v>
      </c>
      <c r="CD13" s="95" t="s">
        <v>127</v>
      </c>
      <c r="CE13" s="95" t="s">
        <v>182</v>
      </c>
      <c r="CF13" s="95">
        <v>2</v>
      </c>
      <c r="CG13" s="95" t="s">
        <v>127</v>
      </c>
      <c r="CH13" s="95" t="s">
        <v>182</v>
      </c>
      <c r="CI13" s="95">
        <v>2</v>
      </c>
      <c r="CJ13" s="95" t="s">
        <v>127</v>
      </c>
      <c r="CN13" s="95" t="s">
        <v>337</v>
      </c>
      <c r="CO13" s="357">
        <v>1</v>
      </c>
      <c r="CP13" s="95" t="s">
        <v>80</v>
      </c>
      <c r="CT13" s="95" t="s">
        <v>448</v>
      </c>
      <c r="CU13" s="354">
        <f>B29</f>
        <v>30</v>
      </c>
      <c r="CV13" s="95" t="s">
        <v>129</v>
      </c>
      <c r="CW13" s="95" t="s">
        <v>103</v>
      </c>
      <c r="CX13" s="95">
        <v>55</v>
      </c>
      <c r="CY13" s="95" t="s">
        <v>83</v>
      </c>
      <c r="CZ13" s="95" t="s">
        <v>142</v>
      </c>
      <c r="DA13" s="354">
        <f>DA5/(DA6*DA24)</f>
        <v>0.15001111282323792</v>
      </c>
      <c r="DB13" s="95" t="s">
        <v>25</v>
      </c>
      <c r="DC13" s="95" t="s">
        <v>152</v>
      </c>
      <c r="DD13" s="354">
        <v>55</v>
      </c>
      <c r="DE13" s="95" t="s">
        <v>413</v>
      </c>
      <c r="DF13" s="95" t="s">
        <v>120</v>
      </c>
      <c r="DG13" s="95">
        <v>240</v>
      </c>
      <c r="DH13" s="95" t="s">
        <v>121</v>
      </c>
      <c r="DO13" s="95" t="s">
        <v>120</v>
      </c>
      <c r="DP13" s="95">
        <v>240</v>
      </c>
      <c r="DQ13" s="95" t="s">
        <v>121</v>
      </c>
      <c r="DR13" s="95" t="s">
        <v>246</v>
      </c>
      <c r="DS13" s="95">
        <v>5</v>
      </c>
      <c r="DT13" s="95" t="s">
        <v>129</v>
      </c>
      <c r="DX13" s="95" t="s">
        <v>122</v>
      </c>
      <c r="DY13" s="95">
        <v>1</v>
      </c>
      <c r="EA13" s="95" t="s">
        <v>122</v>
      </c>
      <c r="EB13" s="95">
        <v>1</v>
      </c>
      <c r="ED13" s="95" t="s">
        <v>122</v>
      </c>
      <c r="EE13" s="95">
        <v>1</v>
      </c>
      <c r="EG13" s="95" t="s">
        <v>246</v>
      </c>
      <c r="EH13" s="95">
        <v>5</v>
      </c>
      <c r="EI13" s="95" t="s">
        <v>129</v>
      </c>
      <c r="EM13" s="95" t="s">
        <v>123</v>
      </c>
      <c r="EN13" s="95">
        <v>1</v>
      </c>
      <c r="EP13" s="95" t="s">
        <v>123</v>
      </c>
      <c r="EQ13" s="95">
        <v>1</v>
      </c>
      <c r="ES13" s="95" t="s">
        <v>123</v>
      </c>
      <c r="ET13" s="95">
        <v>1</v>
      </c>
      <c r="EV13" s="95" t="s">
        <v>246</v>
      </c>
      <c r="EW13" s="95">
        <v>5</v>
      </c>
      <c r="EX13" s="95" t="s">
        <v>129</v>
      </c>
      <c r="FB13" s="95" t="s">
        <v>320</v>
      </c>
      <c r="FC13" s="357">
        <v>1</v>
      </c>
      <c r="FE13" s="95" t="s">
        <v>320</v>
      </c>
      <c r="FF13" s="357">
        <v>1</v>
      </c>
      <c r="FH13" s="95" t="s">
        <v>320</v>
      </c>
      <c r="FI13" s="357">
        <v>1</v>
      </c>
      <c r="FK13" s="95" t="s">
        <v>246</v>
      </c>
      <c r="FL13" s="95">
        <v>5</v>
      </c>
      <c r="FM13" s="95" t="s">
        <v>129</v>
      </c>
      <c r="FT13" s="95" t="s">
        <v>312</v>
      </c>
      <c r="FU13" s="357">
        <v>1</v>
      </c>
      <c r="FW13" s="95" t="s">
        <v>312</v>
      </c>
      <c r="FX13" s="357">
        <v>1</v>
      </c>
      <c r="FZ13" s="95" t="s">
        <v>246</v>
      </c>
      <c r="GA13" s="95">
        <v>5</v>
      </c>
      <c r="GB13" s="95" t="s">
        <v>129</v>
      </c>
      <c r="GF13" s="95" t="s">
        <v>304</v>
      </c>
      <c r="GG13" s="95">
        <v>1</v>
      </c>
      <c r="GI13" s="95" t="s">
        <v>304</v>
      </c>
      <c r="GJ13" s="95">
        <v>1</v>
      </c>
      <c r="GL13" s="95" t="s">
        <v>304</v>
      </c>
      <c r="GM13" s="95">
        <v>1</v>
      </c>
      <c r="GO13" s="95" t="s">
        <v>246</v>
      </c>
      <c r="GP13" s="95">
        <v>5</v>
      </c>
      <c r="GQ13" s="95" t="s">
        <v>129</v>
      </c>
      <c r="GU13" s="95" t="s">
        <v>309</v>
      </c>
      <c r="GV13" s="95">
        <v>1</v>
      </c>
      <c r="GX13" s="95" t="s">
        <v>309</v>
      </c>
      <c r="GY13" s="95">
        <v>1</v>
      </c>
      <c r="HA13" s="95" t="s">
        <v>309</v>
      </c>
      <c r="HB13" s="95">
        <v>1</v>
      </c>
      <c r="HD13" s="95" t="s">
        <v>428</v>
      </c>
      <c r="HE13" s="354">
        <v>10</v>
      </c>
    </row>
    <row r="14" spans="1:214" s="95" customFormat="1" x14ac:dyDescent="0.2">
      <c r="A14" s="499"/>
      <c r="B14" s="500"/>
      <c r="C14" s="501"/>
      <c r="D14" s="95" t="s">
        <v>114</v>
      </c>
      <c r="E14" s="95">
        <v>24</v>
      </c>
      <c r="F14" s="95" t="s">
        <v>85</v>
      </c>
      <c r="G14" s="95" t="s">
        <v>406</v>
      </c>
      <c r="H14" s="354">
        <f>H5/(H9*(H22+H25)*H43)</f>
        <v>0.35689882756950642</v>
      </c>
      <c r="I14" s="95" t="s">
        <v>23</v>
      </c>
      <c r="J14" s="95" t="s">
        <v>142</v>
      </c>
      <c r="K14" s="354">
        <f>(K5/(K6*K19*(1/K48)))*K11</f>
        <v>20.131134956911577</v>
      </c>
      <c r="L14" s="95" t="s">
        <v>23</v>
      </c>
      <c r="M14" s="95" t="s">
        <v>124</v>
      </c>
      <c r="N14" s="95">
        <v>1.752</v>
      </c>
      <c r="O14" s="95" t="s">
        <v>127</v>
      </c>
      <c r="P14" s="95" t="s">
        <v>124</v>
      </c>
      <c r="Q14" s="95">
        <v>1.752</v>
      </c>
      <c r="R14" s="95" t="s">
        <v>127</v>
      </c>
      <c r="S14" s="95" t="s">
        <v>124</v>
      </c>
      <c r="T14" s="95">
        <v>1.752</v>
      </c>
      <c r="U14" s="95" t="s">
        <v>127</v>
      </c>
      <c r="V14" s="95" t="s">
        <v>115</v>
      </c>
      <c r="W14" s="354">
        <f>B26</f>
        <v>2.3899999999999998E-9</v>
      </c>
      <c r="X14" s="95" t="s">
        <v>116</v>
      </c>
      <c r="Y14" s="95" t="s">
        <v>115</v>
      </c>
      <c r="Z14" s="354">
        <f>B26</f>
        <v>2.3899999999999998E-9</v>
      </c>
      <c r="AA14" s="95" t="s">
        <v>116</v>
      </c>
      <c r="AB14" s="95" t="s">
        <v>126</v>
      </c>
      <c r="AF14" s="95">
        <v>8</v>
      </c>
      <c r="AG14" s="95">
        <v>8</v>
      </c>
      <c r="AH14" s="95" t="s">
        <v>85</v>
      </c>
      <c r="AI14" s="95" t="s">
        <v>124</v>
      </c>
      <c r="AJ14" s="95">
        <v>0</v>
      </c>
      <c r="AK14" s="95" t="s">
        <v>127</v>
      </c>
      <c r="AL14" s="95" t="s">
        <v>124</v>
      </c>
      <c r="AM14" s="95">
        <v>0</v>
      </c>
      <c r="AN14" s="95" t="s">
        <v>127</v>
      </c>
      <c r="AO14" s="95" t="s">
        <v>124</v>
      </c>
      <c r="AP14" s="95">
        <v>0</v>
      </c>
      <c r="AQ14" s="95" t="s">
        <v>127</v>
      </c>
      <c r="AR14" s="95" t="s">
        <v>124</v>
      </c>
      <c r="AS14" s="95">
        <v>5</v>
      </c>
      <c r="AT14" s="95" t="s">
        <v>127</v>
      </c>
      <c r="AU14" s="95" t="s">
        <v>124</v>
      </c>
      <c r="AV14" s="95">
        <v>5</v>
      </c>
      <c r="AW14" s="95" t="s">
        <v>127</v>
      </c>
      <c r="AX14" s="95" t="s">
        <v>126</v>
      </c>
      <c r="AY14" s="95">
        <v>5</v>
      </c>
      <c r="AZ14" s="95" t="s">
        <v>127</v>
      </c>
      <c r="BA14" s="95" t="s">
        <v>124</v>
      </c>
      <c r="BB14" s="95">
        <v>5</v>
      </c>
      <c r="BC14" s="95" t="s">
        <v>127</v>
      </c>
      <c r="BD14" s="95" t="s">
        <v>124</v>
      </c>
      <c r="BE14" s="95">
        <v>5</v>
      </c>
      <c r="BF14" s="95" t="s">
        <v>127</v>
      </c>
      <c r="BG14" s="95" t="s">
        <v>126</v>
      </c>
      <c r="BH14" s="95">
        <v>5</v>
      </c>
      <c r="BI14" s="95" t="s">
        <v>127</v>
      </c>
      <c r="BJ14" s="95" t="s">
        <v>113</v>
      </c>
      <c r="BK14" s="354">
        <f>B3</f>
        <v>0.74199999999999999</v>
      </c>
      <c r="BM14" s="95" t="s">
        <v>113</v>
      </c>
      <c r="BN14" s="354">
        <f>B6</f>
        <v>0.65300000000000002</v>
      </c>
      <c r="BP14" s="95" t="s">
        <v>113</v>
      </c>
      <c r="BQ14" s="354">
        <f>B10</f>
        <v>0.73599999999999999</v>
      </c>
      <c r="BS14" s="95" t="s">
        <v>436</v>
      </c>
      <c r="BT14" s="95">
        <v>1</v>
      </c>
      <c r="BU14" s="95" t="s">
        <v>85</v>
      </c>
      <c r="BV14" s="95" t="s">
        <v>105</v>
      </c>
      <c r="BW14" s="95">
        <v>0.05</v>
      </c>
      <c r="BX14" s="95" t="s">
        <v>95</v>
      </c>
      <c r="BY14" s="95" t="s">
        <v>134</v>
      </c>
      <c r="BZ14" s="354">
        <f>(BZ5/(BZ7*BZ17*(1/BZ9)*BZ35))*BZ10</f>
        <v>49548063.12073493</v>
      </c>
      <c r="CA14" s="95" t="s">
        <v>23</v>
      </c>
      <c r="CB14" s="95" t="s">
        <v>131</v>
      </c>
      <c r="CC14" s="354">
        <f>B21</f>
        <v>2.5399999999999998E-6</v>
      </c>
      <c r="CD14" s="95" t="s">
        <v>132</v>
      </c>
      <c r="CE14" s="95" t="s">
        <v>131</v>
      </c>
      <c r="CF14" s="354">
        <f>B23</f>
        <v>3.2400000000000002E-10</v>
      </c>
      <c r="CG14" s="95" t="s">
        <v>132</v>
      </c>
      <c r="CH14" s="95" t="s">
        <v>131</v>
      </c>
      <c r="CI14" s="354">
        <f>B25</f>
        <v>2.2699999999999999E-6</v>
      </c>
      <c r="CJ14" s="95" t="s">
        <v>132</v>
      </c>
      <c r="CT14" s="95" t="s">
        <v>142</v>
      </c>
      <c r="CU14" s="354">
        <f>(CU5/(CU6*CU25*(1/CU48)))*CU11</f>
        <v>14.119975731578242</v>
      </c>
      <c r="CV14" s="95" t="s">
        <v>23</v>
      </c>
      <c r="CW14" s="95" t="s">
        <v>181</v>
      </c>
      <c r="CX14" s="95">
        <v>5</v>
      </c>
      <c r="CY14" s="95" t="s">
        <v>85</v>
      </c>
      <c r="CZ14" s="95" t="s">
        <v>134</v>
      </c>
      <c r="DA14" s="354">
        <f>DA5/(DA7*DA25*DA43)</f>
        <v>1.4123296377374477</v>
      </c>
      <c r="DB14" s="95" t="s">
        <v>25</v>
      </c>
      <c r="DC14" s="95" t="s">
        <v>270</v>
      </c>
      <c r="DD14" s="95">
        <v>55</v>
      </c>
      <c r="DE14" s="95" t="s">
        <v>55</v>
      </c>
      <c r="DF14" s="95" t="s">
        <v>130</v>
      </c>
      <c r="DG14" s="95">
        <v>0.26</v>
      </c>
      <c r="DO14" s="95" t="s">
        <v>130</v>
      </c>
      <c r="DP14" s="95">
        <v>0.26</v>
      </c>
      <c r="DR14" s="95" t="s">
        <v>247</v>
      </c>
      <c r="DS14" s="95">
        <v>35</v>
      </c>
      <c r="DT14" s="95" t="s">
        <v>129</v>
      </c>
      <c r="ED14" s="95" t="s">
        <v>130</v>
      </c>
      <c r="EE14" s="95">
        <v>0.25</v>
      </c>
      <c r="EG14" s="95" t="s">
        <v>247</v>
      </c>
      <c r="EH14" s="95">
        <v>35</v>
      </c>
      <c r="EI14" s="95" t="s">
        <v>129</v>
      </c>
      <c r="ES14" s="95" t="s">
        <v>130</v>
      </c>
      <c r="ET14" s="95">
        <v>0.25</v>
      </c>
      <c r="EV14" s="95" t="s">
        <v>247</v>
      </c>
      <c r="EW14" s="95">
        <v>35</v>
      </c>
      <c r="EX14" s="95" t="s">
        <v>129</v>
      </c>
      <c r="FH14" s="95" t="s">
        <v>130</v>
      </c>
      <c r="FI14" s="95">
        <v>0.25</v>
      </c>
      <c r="FK14" s="95" t="s">
        <v>247</v>
      </c>
      <c r="FL14" s="95">
        <v>35</v>
      </c>
      <c r="FM14" s="95" t="s">
        <v>129</v>
      </c>
      <c r="FT14" s="95" t="s">
        <v>203</v>
      </c>
      <c r="FU14" s="354">
        <f>B34</f>
        <v>2000</v>
      </c>
      <c r="FW14" s="95" t="s">
        <v>130</v>
      </c>
      <c r="FX14" s="95">
        <v>0.25</v>
      </c>
      <c r="FZ14" s="95" t="s">
        <v>247</v>
      </c>
      <c r="GA14" s="95">
        <v>35</v>
      </c>
      <c r="GB14" s="95" t="s">
        <v>129</v>
      </c>
      <c r="GL14" s="95" t="s">
        <v>305</v>
      </c>
      <c r="GM14" s="95">
        <v>0.25</v>
      </c>
      <c r="GO14" s="95" t="s">
        <v>247</v>
      </c>
      <c r="GP14" s="95">
        <v>35</v>
      </c>
      <c r="GQ14" s="95" t="s">
        <v>129</v>
      </c>
      <c r="HA14" s="95" t="s">
        <v>130</v>
      </c>
      <c r="HB14" s="95">
        <v>0.25</v>
      </c>
      <c r="HD14" s="95" t="s">
        <v>128</v>
      </c>
      <c r="HE14" s="95">
        <v>8.1999999999999993</v>
      </c>
    </row>
    <row r="15" spans="1:214" s="95" customFormat="1" ht="13.5" thickBot="1" x14ac:dyDescent="0.25">
      <c r="A15" s="499"/>
      <c r="B15" s="500"/>
      <c r="C15" s="501"/>
      <c r="E15" s="95">
        <v>24</v>
      </c>
      <c r="F15" s="95" t="s">
        <v>85</v>
      </c>
      <c r="G15" s="95" t="s">
        <v>86</v>
      </c>
      <c r="H15" s="372">
        <f>H32*H29*H17+H33*H30*H18</f>
        <v>215460</v>
      </c>
      <c r="I15" s="95" t="s">
        <v>196</v>
      </c>
      <c r="J15" s="95" t="s">
        <v>134</v>
      </c>
      <c r="K15" s="354">
        <f>(K5/(K7*K20*(1/K10)*K47))*K11</f>
        <v>2170677.0510036256</v>
      </c>
      <c r="L15" s="95" t="s">
        <v>23</v>
      </c>
      <c r="M15" s="95" t="s">
        <v>131</v>
      </c>
      <c r="N15" s="354">
        <f>B21</f>
        <v>2.5399999999999998E-6</v>
      </c>
      <c r="O15" s="95" t="s">
        <v>132</v>
      </c>
      <c r="P15" s="95" t="s">
        <v>131</v>
      </c>
      <c r="Q15" s="354">
        <f>B23</f>
        <v>3.2400000000000002E-10</v>
      </c>
      <c r="R15" s="95" t="s">
        <v>132</v>
      </c>
      <c r="S15" s="95" t="s">
        <v>131</v>
      </c>
      <c r="T15" s="354">
        <f>B25</f>
        <v>2.2699999999999999E-6</v>
      </c>
      <c r="U15" s="95" t="s">
        <v>132</v>
      </c>
      <c r="V15" s="95" t="s">
        <v>414</v>
      </c>
      <c r="W15" s="354">
        <f>B2</f>
        <v>8.5099999999999995E-2</v>
      </c>
      <c r="Y15" s="95" t="s">
        <v>414</v>
      </c>
      <c r="Z15" s="354">
        <f>B2</f>
        <v>8.5099999999999995E-2</v>
      </c>
      <c r="AB15" s="95" t="s">
        <v>136</v>
      </c>
      <c r="AF15" s="95">
        <v>1</v>
      </c>
      <c r="AG15" s="95">
        <v>1</v>
      </c>
      <c r="AI15" s="95" t="s">
        <v>131</v>
      </c>
      <c r="AJ15" s="354">
        <f>B21</f>
        <v>2.5399999999999998E-6</v>
      </c>
      <c r="AK15" s="95" t="s">
        <v>132</v>
      </c>
      <c r="AL15" s="95" t="s">
        <v>131</v>
      </c>
      <c r="AM15" s="354">
        <f>B23</f>
        <v>3.2400000000000002E-10</v>
      </c>
      <c r="AN15" s="95" t="s">
        <v>132</v>
      </c>
      <c r="AO15" s="95" t="s">
        <v>131</v>
      </c>
      <c r="AP15" s="354">
        <f>B25</f>
        <v>2.2699999999999999E-6</v>
      </c>
      <c r="AQ15" s="95" t="s">
        <v>132</v>
      </c>
      <c r="AR15" s="95" t="s">
        <v>131</v>
      </c>
      <c r="AS15" s="354">
        <f>B21</f>
        <v>2.5399999999999998E-6</v>
      </c>
      <c r="AT15" s="95" t="s">
        <v>132</v>
      </c>
      <c r="AU15" s="95" t="s">
        <v>131</v>
      </c>
      <c r="AV15" s="354">
        <f>B23</f>
        <v>3.2400000000000002E-10</v>
      </c>
      <c r="AW15" s="95" t="s">
        <v>132</v>
      </c>
      <c r="AX15" s="95" t="s">
        <v>131</v>
      </c>
      <c r="AY15" s="354">
        <f>B25</f>
        <v>2.2699999999999999E-6</v>
      </c>
      <c r="AZ15" s="95" t="s">
        <v>132</v>
      </c>
      <c r="BA15" s="95" t="s">
        <v>131</v>
      </c>
      <c r="BB15" s="354">
        <f>B21</f>
        <v>2.5399999999999998E-6</v>
      </c>
      <c r="BC15" s="95" t="s">
        <v>132</v>
      </c>
      <c r="BD15" s="95" t="s">
        <v>131</v>
      </c>
      <c r="BE15" s="354">
        <f>B23</f>
        <v>3.2400000000000002E-10</v>
      </c>
      <c r="BF15" s="95" t="s">
        <v>132</v>
      </c>
      <c r="BG15" s="95" t="s">
        <v>131</v>
      </c>
      <c r="BH15" s="354">
        <f>B25</f>
        <v>2.2699999999999999E-6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17.464424693531825</v>
      </c>
      <c r="CA15" s="95" t="s">
        <v>23</v>
      </c>
      <c r="CT15" s="95" t="s">
        <v>134</v>
      </c>
      <c r="CU15" s="354">
        <f>(CU5/(CU7*CU26*(1/CU10)*CU47))*CU11</f>
        <v>1470748.8464243899</v>
      </c>
      <c r="CV15" s="95" t="s">
        <v>23</v>
      </c>
      <c r="CW15" s="95" t="s">
        <v>179</v>
      </c>
      <c r="CX15" s="95">
        <v>5</v>
      </c>
      <c r="CY15" s="95" t="s">
        <v>85</v>
      </c>
      <c r="CZ15" s="95" t="s">
        <v>256</v>
      </c>
      <c r="DA15" s="354">
        <f>DA5/(DA8*DA26*(DA44/DA45))</f>
        <v>176470.8015360212</v>
      </c>
      <c r="DB15" s="95" t="s">
        <v>25</v>
      </c>
      <c r="DC15" s="95" t="s">
        <v>269</v>
      </c>
      <c r="DD15" s="95">
        <v>55</v>
      </c>
      <c r="DE15" s="95" t="s">
        <v>55</v>
      </c>
      <c r="DF15" s="95" t="s">
        <v>137</v>
      </c>
      <c r="DG15" s="95">
        <v>0.42</v>
      </c>
      <c r="DH15" s="95" t="s">
        <v>80</v>
      </c>
      <c r="DO15" s="95" t="s">
        <v>137</v>
      </c>
      <c r="DP15" s="95">
        <v>0.42</v>
      </c>
      <c r="DQ15" s="95" t="s">
        <v>80</v>
      </c>
      <c r="ED15" s="95" t="s">
        <v>58</v>
      </c>
      <c r="EE15" s="95">
        <v>92</v>
      </c>
      <c r="EF15" s="95" t="s">
        <v>59</v>
      </c>
      <c r="ES15" s="95" t="s">
        <v>60</v>
      </c>
      <c r="ET15" s="95">
        <v>53</v>
      </c>
      <c r="EU15" s="95" t="s">
        <v>59</v>
      </c>
      <c r="FH15" s="95" t="s">
        <v>297</v>
      </c>
      <c r="FI15" s="95">
        <v>0.4</v>
      </c>
      <c r="FJ15" s="95" t="s">
        <v>59</v>
      </c>
      <c r="FT15" s="95" t="s">
        <v>322</v>
      </c>
      <c r="FU15" s="354">
        <v>8.1999999999999993</v>
      </c>
      <c r="FW15" s="95" t="s">
        <v>300</v>
      </c>
      <c r="FX15" s="357">
        <v>1</v>
      </c>
      <c r="FY15" s="95" t="s">
        <v>59</v>
      </c>
      <c r="GL15" s="95" t="s">
        <v>298</v>
      </c>
      <c r="GM15" s="95">
        <v>0.4</v>
      </c>
      <c r="GN15" s="95" t="s">
        <v>59</v>
      </c>
      <c r="HA15" s="95" t="s">
        <v>299</v>
      </c>
      <c r="HB15" s="95">
        <v>11.4</v>
      </c>
      <c r="HC15" s="95" t="s">
        <v>59</v>
      </c>
    </row>
    <row r="16" spans="1:214" s="95" customFormat="1" ht="14.25" thickTop="1" thickBot="1" x14ac:dyDescent="0.25">
      <c r="A16" s="502"/>
      <c r="B16" s="503"/>
      <c r="C16" s="504"/>
      <c r="D16" s="95" t="s">
        <v>133</v>
      </c>
      <c r="E16" s="95">
        <v>6</v>
      </c>
      <c r="F16" s="95" t="s">
        <v>62</v>
      </c>
      <c r="G16" s="95" t="s">
        <v>82</v>
      </c>
      <c r="H16" s="373">
        <f>H29*H19*H32+H30*H20*H33</f>
        <v>70000</v>
      </c>
      <c r="I16" s="95" t="s">
        <v>444</v>
      </c>
      <c r="J16" s="95" t="s">
        <v>197</v>
      </c>
      <c r="K16" s="354">
        <f>(K5/(K8*K44*((K39*K43*(1/K37))+(K40*K42*(1/K37)))*K32*(1/K46)*K33))*K11</f>
        <v>0.10117139521366274</v>
      </c>
      <c r="L16" s="95" t="s">
        <v>23</v>
      </c>
      <c r="M16" s="95" t="s">
        <v>151</v>
      </c>
      <c r="N16" s="95">
        <v>16.416</v>
      </c>
      <c r="O16" s="95" t="s">
        <v>127</v>
      </c>
      <c r="P16" s="95" t="s">
        <v>151</v>
      </c>
      <c r="Q16" s="95">
        <v>16.416</v>
      </c>
      <c r="R16" s="95" t="s">
        <v>127</v>
      </c>
      <c r="S16" s="95" t="s">
        <v>151</v>
      </c>
      <c r="T16" s="95">
        <v>16.416</v>
      </c>
      <c r="U16" s="95" t="s">
        <v>127</v>
      </c>
      <c r="V16" s="374" t="s">
        <v>134</v>
      </c>
      <c r="W16" s="375">
        <f>(W5)/((W11/W12)*W8*W9*W10*W13)</f>
        <v>1.8334606569900682</v>
      </c>
      <c r="X16" s="376" t="s">
        <v>37</v>
      </c>
      <c r="Y16" s="376" t="s">
        <v>134</v>
      </c>
      <c r="Z16" s="375">
        <f>(Z5)/((Z11/Z12)*Z8*Z9*Z10*Z13)</f>
        <v>1.8334606569900682</v>
      </c>
      <c r="AA16" s="377" t="s">
        <v>37</v>
      </c>
      <c r="AB16" s="95" t="s">
        <v>141</v>
      </c>
      <c r="AC16" s="95">
        <v>55</v>
      </c>
      <c r="AD16" s="95">
        <v>50</v>
      </c>
      <c r="AE16" s="95">
        <v>100</v>
      </c>
      <c r="AF16" s="95">
        <v>330</v>
      </c>
      <c r="AG16" s="95">
        <v>330</v>
      </c>
      <c r="AI16" s="95" t="s">
        <v>151</v>
      </c>
      <c r="AJ16" s="95">
        <v>8</v>
      </c>
      <c r="AK16" s="95" t="s">
        <v>127</v>
      </c>
      <c r="AL16" s="95" t="s">
        <v>151</v>
      </c>
      <c r="AM16" s="95">
        <v>8</v>
      </c>
      <c r="AN16" s="95" t="s">
        <v>127</v>
      </c>
      <c r="AO16" s="95" t="s">
        <v>151</v>
      </c>
      <c r="AP16" s="95">
        <v>8</v>
      </c>
      <c r="AQ16" s="95" t="s">
        <v>127</v>
      </c>
      <c r="AR16" s="95" t="s">
        <v>151</v>
      </c>
      <c r="AS16" s="95">
        <v>0</v>
      </c>
      <c r="AT16" s="95" t="s">
        <v>127</v>
      </c>
      <c r="AU16" s="95" t="s">
        <v>151</v>
      </c>
      <c r="AV16" s="95">
        <v>0</v>
      </c>
      <c r="AW16" s="95" t="s">
        <v>127</v>
      </c>
      <c r="AX16" s="95" t="s">
        <v>151</v>
      </c>
      <c r="AY16" s="95">
        <v>0</v>
      </c>
      <c r="AZ16" s="95" t="s">
        <v>127</v>
      </c>
      <c r="BA16" s="95" t="s">
        <v>151</v>
      </c>
      <c r="BB16" s="95">
        <v>0</v>
      </c>
      <c r="BC16" s="95" t="s">
        <v>127</v>
      </c>
      <c r="BD16" s="95" t="s">
        <v>151</v>
      </c>
      <c r="BE16" s="95">
        <v>0</v>
      </c>
      <c r="BF16" s="95" t="s">
        <v>127</v>
      </c>
      <c r="BG16" s="95" t="s">
        <v>151</v>
      </c>
      <c r="BH16" s="95">
        <v>0</v>
      </c>
      <c r="BI16" s="95" t="s">
        <v>127</v>
      </c>
      <c r="BJ16" s="95" t="s">
        <v>131</v>
      </c>
      <c r="BK16" s="354">
        <f>B21</f>
        <v>2.5399999999999998E-6</v>
      </c>
      <c r="BL16" s="95" t="s">
        <v>132</v>
      </c>
      <c r="BM16" s="95" t="s">
        <v>131</v>
      </c>
      <c r="BN16" s="354">
        <f>B23</f>
        <v>3.2400000000000002E-10</v>
      </c>
      <c r="BO16" s="95" t="s">
        <v>132</v>
      </c>
      <c r="BP16" s="95" t="s">
        <v>131</v>
      </c>
      <c r="BQ16" s="354">
        <f>B25</f>
        <v>2.2699999999999999E-6</v>
      </c>
      <c r="BR16" s="95" t="s">
        <v>132</v>
      </c>
      <c r="BS16" s="95" t="s">
        <v>182</v>
      </c>
      <c r="BT16" s="95">
        <v>1</v>
      </c>
      <c r="BU16" s="95" t="s">
        <v>85</v>
      </c>
      <c r="BV16" s="95" t="s">
        <v>263</v>
      </c>
      <c r="BW16" s="360">
        <f>((BW18*BW21*BW23*BW26)+(BW19*BW22*BW24*BW27))</f>
        <v>4160</v>
      </c>
      <c r="BX16" s="95" t="s">
        <v>445</v>
      </c>
      <c r="BY16" s="95" t="s">
        <v>87</v>
      </c>
      <c r="BZ16" s="360">
        <f>(BZ18*BZ22*BZ27+BZ19*BZ23*BZ26)</f>
        <v>256000</v>
      </c>
      <c r="CA16" s="95" t="s">
        <v>443</v>
      </c>
      <c r="CB16" s="378" t="s">
        <v>8</v>
      </c>
      <c r="CC16" s="42" t="s">
        <v>431</v>
      </c>
      <c r="CD16" s="43" t="s">
        <v>15</v>
      </c>
      <c r="CE16" s="41" t="s">
        <v>8</v>
      </c>
      <c r="CF16" s="42" t="s">
        <v>200</v>
      </c>
      <c r="CG16" s="43" t="s">
        <v>15</v>
      </c>
      <c r="CK16" s="379" t="s">
        <v>8</v>
      </c>
      <c r="CL16" s="380" t="s">
        <v>332</v>
      </c>
      <c r="CM16" s="381" t="s">
        <v>15</v>
      </c>
      <c r="CN16" s="42" t="s">
        <v>8</v>
      </c>
      <c r="CO16" s="42" t="s">
        <v>332</v>
      </c>
      <c r="CP16" s="43" t="s">
        <v>15</v>
      </c>
      <c r="CQ16" s="41" t="s">
        <v>8</v>
      </c>
      <c r="CR16" s="42" t="s">
        <v>332</v>
      </c>
      <c r="CS16" s="43" t="s">
        <v>15</v>
      </c>
      <c r="CT16" s="95" t="s">
        <v>197</v>
      </c>
      <c r="CU16" s="354">
        <f>(CU5/(CU8*CU44*((CU39*CU43*(1/CU37))+(CU40*CU42*(1/CU37)))*CU32*(1/CU46)*CU33))*CU11</f>
        <v>0.10095390814879221</v>
      </c>
      <c r="CV16" s="95" t="s">
        <v>23</v>
      </c>
      <c r="CW16" s="95" t="s">
        <v>133</v>
      </c>
      <c r="CX16" s="95">
        <v>5</v>
      </c>
      <c r="CY16" s="95" t="s">
        <v>62</v>
      </c>
      <c r="CZ16" s="95" t="s">
        <v>277</v>
      </c>
      <c r="DA16" s="354">
        <f>DG3</f>
        <v>9.8177885726213159</v>
      </c>
      <c r="DB16" s="95" t="s">
        <v>25</v>
      </c>
      <c r="DC16" s="95" t="s">
        <v>246</v>
      </c>
      <c r="DD16" s="95">
        <v>5</v>
      </c>
      <c r="DE16" s="95" t="s">
        <v>129</v>
      </c>
      <c r="DF16" s="95" t="s">
        <v>143</v>
      </c>
      <c r="DG16" s="95">
        <f>DG20+(0.693/DG22)</f>
        <v>4.9562999999999996E-2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4.25" thickTop="1" thickBot="1" x14ac:dyDescent="0.25">
      <c r="A17" s="95" t="s">
        <v>75</v>
      </c>
      <c r="B17" s="353">
        <v>1.1900000000000001E-11</v>
      </c>
      <c r="C17" s="95" t="s">
        <v>64</v>
      </c>
      <c r="D17" s="95" t="s">
        <v>138</v>
      </c>
      <c r="E17" s="95">
        <v>20</v>
      </c>
      <c r="F17" s="95" t="s">
        <v>62</v>
      </c>
      <c r="G17" s="95" t="s">
        <v>105</v>
      </c>
      <c r="H17" s="95">
        <f>B49</f>
        <v>100</v>
      </c>
      <c r="J17" s="95" t="s">
        <v>407</v>
      </c>
      <c r="K17" s="354">
        <f>K18/(K49+K50)</f>
        <v>1.1896627585650215</v>
      </c>
      <c r="L17" s="95" t="s">
        <v>23</v>
      </c>
      <c r="V17" s="383" t="s">
        <v>139</v>
      </c>
      <c r="W17" s="384">
        <f>(W5)/((W11/W12)*W8*W9*W14*(1/365))</f>
        <v>183.26359832635978</v>
      </c>
      <c r="X17" s="385" t="s">
        <v>37</v>
      </c>
      <c r="Y17" s="385" t="s">
        <v>139</v>
      </c>
      <c r="Z17" s="384">
        <f>(Z5)/((Z11/Z12)*Z8*Z9*Z14*(1/365))</f>
        <v>183.26359832635978</v>
      </c>
      <c r="AA17" s="386" t="s">
        <v>37</v>
      </c>
      <c r="BS17" s="95" t="s">
        <v>133</v>
      </c>
      <c r="BT17" s="95">
        <v>6</v>
      </c>
      <c r="BU17" s="95" t="s">
        <v>62</v>
      </c>
      <c r="BV17" s="95" t="s">
        <v>145</v>
      </c>
      <c r="BW17" s="95">
        <v>0.5</v>
      </c>
      <c r="BX17" s="95" t="s">
        <v>146</v>
      </c>
      <c r="BY17" s="95" t="s">
        <v>82</v>
      </c>
      <c r="BZ17" s="360">
        <f>(BZ27*BZ24*BZ20*(BZ29/24))+(BZ26*BZ23*BZ21*(BZ30/24))</f>
        <v>3066.6666666666665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f>DJ3</f>
        <v>0.380991278347656</v>
      </c>
      <c r="CV17" s="95" t="s">
        <v>23</v>
      </c>
      <c r="CW17" s="95" t="s">
        <v>138</v>
      </c>
      <c r="CX17" s="95">
        <v>35</v>
      </c>
      <c r="CY17" s="95" t="s">
        <v>62</v>
      </c>
      <c r="CZ17" s="95" t="s">
        <v>262</v>
      </c>
      <c r="DA17" s="354">
        <f>DD3</f>
        <v>0.11048747072082025</v>
      </c>
      <c r="DB17" s="95" t="s">
        <v>23</v>
      </c>
      <c r="DC17" s="95" t="s">
        <v>247</v>
      </c>
      <c r="DD17" s="95">
        <v>35</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261</v>
      </c>
      <c r="B18" s="353">
        <v>3.04E-11</v>
      </c>
      <c r="C18" s="95" t="s">
        <v>64</v>
      </c>
      <c r="D18" s="95" t="s">
        <v>115</v>
      </c>
      <c r="E18" s="354">
        <f>B26</f>
        <v>2.3899999999999998E-9</v>
      </c>
      <c r="F18" s="95" t="s">
        <v>116</v>
      </c>
      <c r="G18" s="95" t="s">
        <v>135</v>
      </c>
      <c r="H18" s="95">
        <f>B50</f>
        <v>0.78</v>
      </c>
      <c r="J18" s="95" t="s">
        <v>406</v>
      </c>
      <c r="K18" s="354">
        <f>K5/(K9*(K25+K28)*K38)</f>
        <v>0.35689882756950642</v>
      </c>
      <c r="L18" s="95" t="s">
        <v>23</v>
      </c>
      <c r="M18" s="21" t="s">
        <v>13</v>
      </c>
      <c r="N18" s="22" t="s">
        <v>158</v>
      </c>
      <c r="O18" s="22" t="s">
        <v>15</v>
      </c>
      <c r="P18" s="23" t="s">
        <v>13</v>
      </c>
      <c r="Q18" s="22" t="s">
        <v>200</v>
      </c>
      <c r="R18" s="24" t="s">
        <v>15</v>
      </c>
      <c r="V18" s="374" t="s">
        <v>134</v>
      </c>
      <c r="W18" s="375">
        <f>(W5*W6*W9)/((W11/W12)*(1-EXP(-W6*W9))*W10*W13*W8*W9)</f>
        <v>2.2894864068182397</v>
      </c>
      <c r="X18" s="376" t="s">
        <v>38</v>
      </c>
      <c r="Y18" s="376" t="s">
        <v>134</v>
      </c>
      <c r="Z18" s="375">
        <f>(Z5*Z6*Z9)/((Z11/Z12)*(1-EXP(-Z6*Z9))*Z10*Z13*Z8*Z9)</f>
        <v>2.2894864068182397</v>
      </c>
      <c r="AA18" s="377" t="s">
        <v>38</v>
      </c>
      <c r="AI18" s="33" t="s">
        <v>13</v>
      </c>
      <c r="AJ18" s="34" t="s">
        <v>158</v>
      </c>
      <c r="AK18" s="34" t="s">
        <v>15</v>
      </c>
      <c r="AL18" s="35" t="s">
        <v>13</v>
      </c>
      <c r="AM18" s="34" t="s">
        <v>200</v>
      </c>
      <c r="AN18" s="36" t="s">
        <v>15</v>
      </c>
      <c r="AR18" s="37" t="s">
        <v>13</v>
      </c>
      <c r="AS18" s="38" t="s">
        <v>158</v>
      </c>
      <c r="AT18" s="38" t="s">
        <v>15</v>
      </c>
      <c r="AU18" s="39" t="s">
        <v>13</v>
      </c>
      <c r="AV18" s="38" t="s">
        <v>200</v>
      </c>
      <c r="AW18" s="40" t="s">
        <v>15</v>
      </c>
      <c r="BA18" s="37" t="s">
        <v>13</v>
      </c>
      <c r="BB18" s="38" t="s">
        <v>158</v>
      </c>
      <c r="BC18" s="38" t="s">
        <v>15</v>
      </c>
      <c r="BD18" s="39" t="s">
        <v>13</v>
      </c>
      <c r="BE18" s="38" t="s">
        <v>200</v>
      </c>
      <c r="BF18" s="40" t="s">
        <v>15</v>
      </c>
      <c r="BJ18" s="37" t="s">
        <v>13</v>
      </c>
      <c r="BK18" s="38" t="s">
        <v>158</v>
      </c>
      <c r="BL18" s="38" t="s">
        <v>15</v>
      </c>
      <c r="BM18" s="39" t="s">
        <v>13</v>
      </c>
      <c r="BN18" s="38" t="s">
        <v>200</v>
      </c>
      <c r="BO18" s="40" t="s">
        <v>15</v>
      </c>
      <c r="BS18" s="95" t="s">
        <v>138</v>
      </c>
      <c r="BT18" s="95">
        <v>20</v>
      </c>
      <c r="BU18" s="95" t="s">
        <v>62</v>
      </c>
      <c r="BV18" s="95" t="s">
        <v>440</v>
      </c>
      <c r="BW18" s="95">
        <v>80</v>
      </c>
      <c r="BX18" s="95" t="s">
        <v>55</v>
      </c>
      <c r="BY18" s="95" t="s">
        <v>117</v>
      </c>
      <c r="BZ18" s="95">
        <v>200</v>
      </c>
      <c r="CA18" s="95" t="s">
        <v>96</v>
      </c>
      <c r="CB18" s="387" t="s">
        <v>39</v>
      </c>
      <c r="CC18" s="195">
        <f>(CC20*CC21*CC22)/((1-EXP(-CC22*CC21))*CC25*CC29*(CC24/365)*CC27*(CC28/24)*CC26)</f>
        <v>444.90685160245368</v>
      </c>
      <c r="CD18" s="129"/>
      <c r="CE18" s="126" t="s">
        <v>39</v>
      </c>
      <c r="CF18" s="195">
        <f>(CF20*CF21*CF22)/((1-EXP(-CF22*CF21))*CF25*CF29*(CF24/365)*CF27*(CF28/24)*CF26)</f>
        <v>52.746574840857768</v>
      </c>
      <c r="CG18" s="129"/>
      <c r="CK18" s="388" t="s">
        <v>17</v>
      </c>
      <c r="CL18" s="195">
        <f>CL20/(CL21*CL22*CL23*CL24)</f>
        <v>25.709584533113944</v>
      </c>
      <c r="CM18" s="389"/>
      <c r="CN18" s="127" t="s">
        <v>17</v>
      </c>
      <c r="CO18" s="195">
        <f>CL18/(CO20*((CO25*CO27*CO28*(CO21+CO22))+(CO26*CO27)))</f>
        <v>1182.0498635914457</v>
      </c>
      <c r="CP18" s="129"/>
      <c r="CQ18" s="126" t="s">
        <v>17</v>
      </c>
      <c r="CR18" s="195">
        <f>CL18/(CR20*CR21*(1/CR22))</f>
        <v>1713972.3022075961</v>
      </c>
      <c r="CS18" s="129"/>
      <c r="CT18" s="95" t="s">
        <v>406</v>
      </c>
      <c r="CU18" s="354">
        <f>DD3</f>
        <v>0.11048747072082025</v>
      </c>
      <c r="CV18" s="95" t="s">
        <v>23</v>
      </c>
      <c r="CW18" s="95" t="s">
        <v>115</v>
      </c>
      <c r="CX18" s="354">
        <f>B26</f>
        <v>2.3899999999999998E-9</v>
      </c>
      <c r="CY18" s="95" t="s">
        <v>116</v>
      </c>
      <c r="CZ18" s="95" t="s">
        <v>323</v>
      </c>
      <c r="DA18" s="354">
        <f>EZ3</f>
        <v>1381.0933840102527</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77</v>
      </c>
      <c r="B19" s="353">
        <v>4.3300000000000002E-11</v>
      </c>
      <c r="C19" s="95" t="s">
        <v>64</v>
      </c>
      <c r="D19" s="95" t="s">
        <v>414</v>
      </c>
      <c r="E19" s="354">
        <f>B2</f>
        <v>8.5099999999999995E-2</v>
      </c>
      <c r="G19" s="95" t="s">
        <v>240</v>
      </c>
      <c r="H19" s="95">
        <f>B44</f>
        <v>0</v>
      </c>
      <c r="J19" s="95" t="s">
        <v>87</v>
      </c>
      <c r="K19" s="390">
        <f>K21*K31*K35+K22*K32*K34</f>
        <v>1526000</v>
      </c>
      <c r="L19" s="95" t="s">
        <v>443</v>
      </c>
      <c r="M19" s="103" t="s">
        <v>33</v>
      </c>
      <c r="N19" s="104" t="s">
        <v>34</v>
      </c>
      <c r="O19" s="105" t="s">
        <v>162</v>
      </c>
      <c r="P19" s="106" t="s">
        <v>33</v>
      </c>
      <c r="Q19" s="104" t="s">
        <v>34</v>
      </c>
      <c r="R19" s="107" t="s">
        <v>23</v>
      </c>
      <c r="V19" s="383" t="s">
        <v>139</v>
      </c>
      <c r="W19" s="384">
        <f>(W5*W6*W9)/((W11/W12)*(1-EXP(-W6*W9))*W14*W8*W9*(1/365))</f>
        <v>228.84566169072235</v>
      </c>
      <c r="X19" s="385" t="s">
        <v>38</v>
      </c>
      <c r="Y19" s="385" t="s">
        <v>139</v>
      </c>
      <c r="Z19" s="384">
        <f>(Z5*Z6*Z9)/((Z11/Z12)*(1-EXP(-Z6*Z9))*Z14*Z8*Z9*(1/365))</f>
        <v>228.84566169072235</v>
      </c>
      <c r="AA19" s="386" t="s">
        <v>38</v>
      </c>
      <c r="AB19" s="95" t="s">
        <v>102</v>
      </c>
      <c r="AC19" s="354">
        <f>B2</f>
        <v>8.5099999999999995E-2</v>
      </c>
      <c r="AD19" s="354">
        <f>B2</f>
        <v>8.5099999999999995E-2</v>
      </c>
      <c r="AE19" s="354">
        <f>B2</f>
        <v>8.5099999999999995E-2</v>
      </c>
      <c r="AF19" s="354">
        <f>B2</f>
        <v>8.5099999999999995E-2</v>
      </c>
      <c r="AG19" s="354">
        <f>B2</f>
        <v>8.5099999999999995E-2</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2.3899999999999998E-9</v>
      </c>
      <c r="BU19" s="95" t="s">
        <v>116</v>
      </c>
      <c r="BV19" s="95" t="s">
        <v>441</v>
      </c>
      <c r="BW19" s="95">
        <v>80</v>
      </c>
      <c r="BX19" s="95" t="s">
        <v>55</v>
      </c>
      <c r="BY19" s="95" t="s">
        <v>140</v>
      </c>
      <c r="BZ19" s="95">
        <v>100</v>
      </c>
      <c r="CA19" s="95" t="s">
        <v>96</v>
      </c>
      <c r="CB19" s="391"/>
      <c r="CC19" s="285"/>
      <c r="CD19" s="287"/>
      <c r="CE19" s="284"/>
      <c r="CF19" s="285"/>
      <c r="CG19" s="287"/>
      <c r="CK19" s="392"/>
      <c r="CL19" s="393"/>
      <c r="CM19" s="394"/>
      <c r="CN19" s="395"/>
      <c r="CO19" s="285"/>
      <c r="CP19" s="287"/>
      <c r="CQ19" s="284"/>
      <c r="CR19" s="285"/>
      <c r="CS19" s="287"/>
      <c r="CT19" s="95" t="s">
        <v>323</v>
      </c>
      <c r="CU19" s="354">
        <f>FC3</f>
        <v>4.9324763714651896</v>
      </c>
      <c r="CV19" s="95" t="s">
        <v>23</v>
      </c>
      <c r="CW19" s="95" t="s">
        <v>414</v>
      </c>
      <c r="CX19" s="354">
        <f>B2</f>
        <v>8.5099999999999995E-2</v>
      </c>
      <c r="CZ19" s="95" t="s">
        <v>417</v>
      </c>
      <c r="DA19" s="354">
        <f>GS3</f>
        <v>80.765694971359849</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480</v>
      </c>
      <c r="B20" s="353">
        <v>3.1699999999999998E-11</v>
      </c>
      <c r="C20" s="95" t="s">
        <v>64</v>
      </c>
      <c r="D20" s="95" t="s">
        <v>134</v>
      </c>
      <c r="E20" s="354">
        <f>(E5)/((E14/E15)*E10*E11)</f>
        <v>1.2004801920768307</v>
      </c>
      <c r="F20" s="95" t="s">
        <v>37</v>
      </c>
      <c r="G20" s="95" t="s">
        <v>241</v>
      </c>
      <c r="H20" s="95">
        <f>B45</f>
        <v>10</v>
      </c>
      <c r="J20" s="95" t="s">
        <v>82</v>
      </c>
      <c r="K20" s="390">
        <f>K35*K31*K23+K34*K32*K24</f>
        <v>70000</v>
      </c>
      <c r="L20" s="95" t="s">
        <v>149</v>
      </c>
      <c r="M20" s="103" t="s">
        <v>39</v>
      </c>
      <c r="N20" s="185">
        <f>(N22*N23*N24)/((1-EXP(-N24*N23))*N27*N32*(N26/365)*N30*(((N31/24)*N29)+((N33/24)*N28)))</f>
        <v>6.3534326005732815</v>
      </c>
      <c r="O20" s="105"/>
      <c r="P20" s="106" t="s">
        <v>39</v>
      </c>
      <c r="Q20" s="185">
        <f>(Q22*Q23*Q24)/((1-EXP(-Q24*Q23))*Q27*Q32*(Q26/365)*Q30*(((Q31/24)*Q29)+((Q33/24)*Q28)))</f>
        <v>1.4099190787589515</v>
      </c>
      <c r="R20" s="107"/>
      <c r="AB20" s="95" t="s">
        <v>449</v>
      </c>
      <c r="AC20" s="95">
        <v>55</v>
      </c>
      <c r="AD20" s="95">
        <v>55</v>
      </c>
      <c r="AE20" s="95">
        <v>60</v>
      </c>
      <c r="AF20" s="95">
        <v>60</v>
      </c>
      <c r="AG20" s="95">
        <v>60</v>
      </c>
      <c r="AH20" s="95" t="s">
        <v>83</v>
      </c>
      <c r="AI20" s="116" t="s">
        <v>39</v>
      </c>
      <c r="AJ20" s="193">
        <f>(AJ22*AJ23*AJ24)/((1-EXP(-AJ24*AJ23))*AJ27*AJ32*(AJ26/365)*AJ30*((AJ31*AJ29)+((AJ33/24)*AJ28)))</f>
        <v>4.6847266021298335</v>
      </c>
      <c r="AK20" s="118"/>
      <c r="AL20" s="119" t="s">
        <v>39</v>
      </c>
      <c r="AM20" s="193">
        <f>(AM22*AM23*AM24)/((1-EXP(-AM24*AM23))*AM27*AM32*(AM26/365)*AM30*((AM31*AM29)+((AM33/24)*AM28)))</f>
        <v>1.0460814708338992</v>
      </c>
      <c r="AN20" s="120"/>
      <c r="AR20" s="121" t="s">
        <v>39</v>
      </c>
      <c r="AS20" s="194">
        <f>(AS22*AS23*AS24)/((1-EXP(-AS24*AS23))*AS27*AS32*(AS26/365)*AS30*(((AS31/24)*AS29)+(AS33*AS28)))</f>
        <v>86.873678816603331</v>
      </c>
      <c r="AT20" s="123"/>
      <c r="AU20" s="124" t="s">
        <v>39</v>
      </c>
      <c r="AV20" s="194">
        <f>(AV22*AV23*AV24)/((1-EXP(-AV24*AV23))*AV27*AV32*(AV26/365)*AV30*(((AV31/24)*AV29)+(AV33*AV28)))</f>
        <v>10.299434555562003</v>
      </c>
      <c r="AW20" s="125"/>
      <c r="BA20" s="121" t="s">
        <v>39</v>
      </c>
      <c r="BB20" s="194">
        <f>(BB22*BB23*BB24)/((1-EXP(-BB24*BB23))*BB27*BB32*(BB26/365)*BB30*(((BB31/24)*BB29)+(BB33*BB28)))</f>
        <v>86.873678816603331</v>
      </c>
      <c r="BC20" s="123"/>
      <c r="BD20" s="124" t="s">
        <v>39</v>
      </c>
      <c r="BE20" s="194">
        <f>(BE22*BE23*BE24)/((1-EXP(-BE24*BE23))*BE27*BE32*(BE26/365)*BE30*(((BE31/24)*BE29)+(BE33*BE28)))</f>
        <v>10.299434555562003</v>
      </c>
      <c r="BF20" s="125"/>
      <c r="BJ20" s="121" t="s">
        <v>39</v>
      </c>
      <c r="BK20" s="194">
        <f>(BK22*BK23*BK24)/((1-EXP(-BK24*BK23))*BK29*BK34*(BK26/365)*BK32*BK33*BK31)</f>
        <v>703.76584180488339</v>
      </c>
      <c r="BL20" s="123"/>
      <c r="BM20" s="124" t="s">
        <v>39</v>
      </c>
      <c r="BN20" s="194">
        <f>(BN22*BN23*BN24)/((1-EXP(-BN24*BN23))*BN29*BN34*(BN26/365)*BN32*BN33*BN31)</f>
        <v>83.435976567900141</v>
      </c>
      <c r="BO20" s="125"/>
      <c r="BS20" s="95" t="s">
        <v>414</v>
      </c>
      <c r="BT20" s="354">
        <f>B2</f>
        <v>8.5099999999999995E-2</v>
      </c>
      <c r="BV20" s="95" t="s">
        <v>108</v>
      </c>
      <c r="BW20" s="95">
        <v>26</v>
      </c>
      <c r="BX20" s="95" t="s">
        <v>129</v>
      </c>
      <c r="BY20" s="95" t="s">
        <v>240</v>
      </c>
      <c r="BZ20" s="95">
        <v>10</v>
      </c>
      <c r="CA20" s="95" t="s">
        <v>83</v>
      </c>
      <c r="CB20" s="95" t="s">
        <v>46</v>
      </c>
      <c r="CC20" s="354">
        <v>9.9999999999999995E-7</v>
      </c>
      <c r="CE20" s="95" t="s">
        <v>46</v>
      </c>
      <c r="CF20" s="354">
        <v>9.9999999999999995E-7</v>
      </c>
      <c r="CK20" s="95" t="s">
        <v>46</v>
      </c>
      <c r="CL20" s="354">
        <v>9.9999999999999995E-7</v>
      </c>
      <c r="CM20" s="355"/>
      <c r="CN20" s="95" t="s">
        <v>433</v>
      </c>
      <c r="CO20" s="354">
        <f>B40</f>
        <v>0.03</v>
      </c>
      <c r="CQ20" s="95" t="s">
        <v>433</v>
      </c>
      <c r="CR20" s="354">
        <f>B40</f>
        <v>0.03</v>
      </c>
      <c r="CT20" s="95" t="s">
        <v>417</v>
      </c>
      <c r="CU20" s="354">
        <f>GV3</f>
        <v>0.37051465701146963</v>
      </c>
      <c r="CV20" s="95" t="s">
        <v>23</v>
      </c>
      <c r="CW20" s="95" t="s">
        <v>134</v>
      </c>
      <c r="CX20" s="354">
        <f>(CX5)/((CX14/CX15)*CX10*CX11)</f>
        <v>3.3335648308910333</v>
      </c>
      <c r="CY20" s="95" t="s">
        <v>37</v>
      </c>
      <c r="CZ20" s="95" t="s">
        <v>326</v>
      </c>
      <c r="DA20" s="354">
        <f>EK3</f>
        <v>0.13897795059222676</v>
      </c>
      <c r="DD20" s="354">
        <v>1000</v>
      </c>
      <c r="DE20" s="95" t="s">
        <v>195</v>
      </c>
      <c r="DF20" s="95" t="s">
        <v>154</v>
      </c>
      <c r="DG20" s="354">
        <f>0.693/DG23</f>
        <v>6.3E-5</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131</v>
      </c>
      <c r="B21" s="353">
        <v>2.5399999999999998E-6</v>
      </c>
      <c r="C21" s="95" t="s">
        <v>163</v>
      </c>
      <c r="D21" s="95" t="s">
        <v>139</v>
      </c>
      <c r="E21" s="354">
        <f>(E5)/((E14/E15)*E8*E9*E18*(1/365)*E19)</f>
        <v>197.20776497200004</v>
      </c>
      <c r="F21" s="95" t="s">
        <v>37</v>
      </c>
      <c r="G21" s="95" t="s">
        <v>263</v>
      </c>
      <c r="H21" s="396">
        <f>(H29*H32*H38*H34)+(H30*H33*H39*H35)</f>
        <v>6104</v>
      </c>
      <c r="I21" s="95" t="s">
        <v>445</v>
      </c>
      <c r="J21" s="95" t="s">
        <v>117</v>
      </c>
      <c r="K21" s="95">
        <f>B47</f>
        <v>60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134.45378151260502</v>
      </c>
      <c r="BU21" s="95" t="s">
        <v>37</v>
      </c>
      <c r="BV21" s="95" t="s">
        <v>439</v>
      </c>
      <c r="BW21" s="95">
        <v>6</v>
      </c>
      <c r="BY21" s="95" t="s">
        <v>241</v>
      </c>
      <c r="BZ21" s="95">
        <v>20</v>
      </c>
      <c r="CA21" s="95" t="s">
        <v>83</v>
      </c>
      <c r="CB21" s="95" t="s">
        <v>61</v>
      </c>
      <c r="CC21" s="95">
        <v>26</v>
      </c>
      <c r="CD21" s="95" t="s">
        <v>62</v>
      </c>
      <c r="CE21" s="95" t="s">
        <v>61</v>
      </c>
      <c r="CF21" s="95">
        <v>26</v>
      </c>
      <c r="CG21" s="95" t="s">
        <v>62</v>
      </c>
      <c r="CK21" s="95" t="s">
        <v>415</v>
      </c>
      <c r="CL21" s="354">
        <f>E33</f>
        <v>3.7400000000000001E-11</v>
      </c>
      <c r="CM21" s="95" t="s">
        <v>23</v>
      </c>
      <c r="CN21" s="95" t="s">
        <v>50</v>
      </c>
      <c r="CO21" s="95">
        <f>CO23</f>
        <v>0.2</v>
      </c>
      <c r="CQ21" s="95" t="s">
        <v>346</v>
      </c>
      <c r="CR21" s="357">
        <v>0.5</v>
      </c>
      <c r="CS21" s="95" t="s">
        <v>59</v>
      </c>
      <c r="CT21" s="95" t="s">
        <v>326</v>
      </c>
      <c r="CU21" s="354">
        <f>EN3</f>
        <v>1.2953189802845366</v>
      </c>
      <c r="CV21" s="95" t="s">
        <v>23</v>
      </c>
      <c r="CW21" s="95" t="s">
        <v>139</v>
      </c>
      <c r="CX21" s="354">
        <f>(CX5)/((CX14/CX15)*CX8*CX9*CX18*(1/365)*CX19)</f>
        <v>128.18504723180004</v>
      </c>
      <c r="CY21" s="95" t="s">
        <v>37</v>
      </c>
      <c r="CZ21" s="95" t="s">
        <v>418</v>
      </c>
      <c r="DA21" s="354">
        <f>DV3</f>
        <v>0.30023769217614199</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15</v>
      </c>
      <c r="HF21" s="94" t="s">
        <v>159</v>
      </c>
    </row>
    <row r="22" spans="1:214" s="95" customFormat="1" ht="13.5" thickTop="1" x14ac:dyDescent="0.2">
      <c r="A22" s="95" t="s">
        <v>473</v>
      </c>
      <c r="B22" s="353">
        <v>5.0900000000000002E-7</v>
      </c>
      <c r="C22" s="95" t="s">
        <v>477</v>
      </c>
      <c r="D22" s="95" t="s">
        <v>134</v>
      </c>
      <c r="E22" s="354">
        <f>(E5*E9*E6)/((E14/E15)*(1-EXP(-E6*E9))*E10*E11)</f>
        <v>1.5968557589266479</v>
      </c>
      <c r="F22" s="95" t="s">
        <v>38</v>
      </c>
      <c r="G22" s="95" t="s">
        <v>403</v>
      </c>
      <c r="H22" s="360">
        <f>(H29*H32*H23)+(H30*H33*H24)</f>
        <v>108850</v>
      </c>
      <c r="I22" s="95" t="s">
        <v>230</v>
      </c>
      <c r="J22" s="95" t="s">
        <v>140</v>
      </c>
      <c r="K22" s="95">
        <f>B48</f>
        <v>200</v>
      </c>
      <c r="L22" s="95" t="s">
        <v>96</v>
      </c>
      <c r="M22" s="95" t="s">
        <v>46</v>
      </c>
      <c r="N22" s="354">
        <v>9.9999999999999995E-7</v>
      </c>
      <c r="P22" s="95" t="s">
        <v>46</v>
      </c>
      <c r="Q22" s="354">
        <v>9.9999999999999995E-7</v>
      </c>
      <c r="V22" s="25" t="s">
        <v>1</v>
      </c>
      <c r="W22" s="26" t="s">
        <v>5</v>
      </c>
      <c r="X22" s="26" t="s">
        <v>15</v>
      </c>
      <c r="Y22" s="27" t="s">
        <v>1</v>
      </c>
      <c r="Z22" s="26" t="s">
        <v>239</v>
      </c>
      <c r="AA22" s="28" t="s">
        <v>15</v>
      </c>
      <c r="AB22" s="95" t="s">
        <v>113</v>
      </c>
      <c r="AC22" s="354">
        <f>B3</f>
        <v>0.74199999999999999</v>
      </c>
      <c r="AD22" s="354">
        <f>B3</f>
        <v>0.74199999999999999</v>
      </c>
      <c r="AE22" s="354">
        <f>B3</f>
        <v>0.74199999999999999</v>
      </c>
      <c r="AF22" s="354">
        <f>B3</f>
        <v>0.74199999999999999</v>
      </c>
      <c r="AG22" s="354">
        <f>B3</f>
        <v>0.74199999999999999</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22087.269676864002</v>
      </c>
      <c r="BU22" s="95" t="s">
        <v>37</v>
      </c>
      <c r="BV22" s="95" t="s">
        <v>438</v>
      </c>
      <c r="BW22" s="95">
        <f>BW20-BW21</f>
        <v>20</v>
      </c>
      <c r="BY22" s="95" t="s">
        <v>238</v>
      </c>
      <c r="BZ22" s="95">
        <v>80</v>
      </c>
      <c r="CA22" s="95" t="s">
        <v>55</v>
      </c>
      <c r="CB22" s="95" t="s">
        <v>52</v>
      </c>
      <c r="CC22" s="354">
        <f>0.693/CC23</f>
        <v>2.3099999999999999E-2</v>
      </c>
      <c r="CE22" s="95" t="s">
        <v>52</v>
      </c>
      <c r="CF22" s="354">
        <f>0.693/CF23</f>
        <v>2.3099999999999999E-2</v>
      </c>
      <c r="CK22" s="95" t="s">
        <v>238</v>
      </c>
      <c r="CL22" s="95">
        <v>80</v>
      </c>
      <c r="CM22" s="95" t="s">
        <v>268</v>
      </c>
      <c r="CN22" s="95" t="s">
        <v>57</v>
      </c>
      <c r="CO22" s="95">
        <f>CO24</f>
        <v>0.25</v>
      </c>
      <c r="CR22" s="95">
        <v>1000</v>
      </c>
      <c r="CS22" s="95" t="s">
        <v>230</v>
      </c>
      <c r="CT22" s="95" t="s">
        <v>418</v>
      </c>
      <c r="CU22" s="354">
        <f>DY3</f>
        <v>3.4462717005870327</v>
      </c>
      <c r="CV22" s="95" t="s">
        <v>23</v>
      </c>
      <c r="CW22" s="95" t="s">
        <v>134</v>
      </c>
      <c r="CX22" s="354">
        <f>(CX5*CX9*CX6)/((CX14/CX15)*(1-EXP(-CX6*CX9))*CX10*CX11)</f>
        <v>5.1075404991071327</v>
      </c>
      <c r="CY22" s="95" t="s">
        <v>38</v>
      </c>
      <c r="CZ22" s="95" t="s">
        <v>324</v>
      </c>
      <c r="DA22" s="354">
        <f>GD3</f>
        <v>55.243735360410128</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476</v>
      </c>
      <c r="B23" s="353">
        <v>3.2400000000000002E-10</v>
      </c>
      <c r="C23" s="95" t="s">
        <v>163</v>
      </c>
      <c r="D23" s="95" t="s">
        <v>139</v>
      </c>
      <c r="E23" s="354">
        <f>(E5*E9*E6)/((E14/E15)*E8*E9*(1-EXP(-E6*E9))*E18*(1/365)*E19)</f>
        <v>262.32199188209245</v>
      </c>
      <c r="F23" s="95" t="s">
        <v>38</v>
      </c>
      <c r="G23" s="95" t="s">
        <v>404</v>
      </c>
      <c r="H23" s="354">
        <f>B51</f>
        <v>2.5</v>
      </c>
      <c r="I23" s="95" t="s">
        <v>413</v>
      </c>
      <c r="J23" s="95" t="s">
        <v>240</v>
      </c>
      <c r="K23" s="95">
        <f>B44</f>
        <v>0</v>
      </c>
      <c r="L23" s="95" t="s">
        <v>83</v>
      </c>
      <c r="M23" s="95" t="s">
        <v>61</v>
      </c>
      <c r="N23" s="95">
        <v>20</v>
      </c>
      <c r="O23" s="95" t="s">
        <v>62</v>
      </c>
      <c r="P23" s="95" t="s">
        <v>61</v>
      </c>
      <c r="Q23" s="95">
        <v>20</v>
      </c>
      <c r="R23" s="95" t="s">
        <v>62</v>
      </c>
      <c r="V23" s="108" t="s">
        <v>19</v>
      </c>
      <c r="W23" s="109" t="s">
        <v>17</v>
      </c>
      <c r="X23" s="109" t="s">
        <v>20</v>
      </c>
      <c r="Y23" s="110" t="s">
        <v>19</v>
      </c>
      <c r="Z23" s="109" t="s">
        <v>17</v>
      </c>
      <c r="AA23" s="111" t="s">
        <v>20</v>
      </c>
      <c r="AB23" s="95" t="s">
        <v>131</v>
      </c>
      <c r="AC23" s="354">
        <f>B21</f>
        <v>2.5399999999999998E-6</v>
      </c>
      <c r="AD23" s="354">
        <f>B21</f>
        <v>2.5399999999999998E-6</v>
      </c>
      <c r="AE23" s="354">
        <f>B21</f>
        <v>2.5399999999999998E-6</v>
      </c>
      <c r="AF23" s="354">
        <f>B21</f>
        <v>2.5399999999999998E-6</v>
      </c>
      <c r="AG23" s="354">
        <f>B21</f>
        <v>2.5399999999999998E-6</v>
      </c>
      <c r="AH23" s="95" t="s">
        <v>163</v>
      </c>
      <c r="AI23" s="95" t="s">
        <v>61</v>
      </c>
      <c r="AJ23" s="95">
        <v>25</v>
      </c>
      <c r="AK23" s="95" t="s">
        <v>62</v>
      </c>
      <c r="AL23" s="95" t="s">
        <v>61</v>
      </c>
      <c r="AM23" s="95">
        <v>25</v>
      </c>
      <c r="AN23" s="95" t="s">
        <v>62</v>
      </c>
      <c r="AR23" s="95" t="s">
        <v>61</v>
      </c>
      <c r="AS23" s="95">
        <v>20</v>
      </c>
      <c r="AT23" s="95" t="s">
        <v>62</v>
      </c>
      <c r="AU23" s="95" t="s">
        <v>61</v>
      </c>
      <c r="AV23" s="95">
        <v>20</v>
      </c>
      <c r="AW23" s="95" t="s">
        <v>62</v>
      </c>
      <c r="BA23" s="95" t="s">
        <v>61</v>
      </c>
      <c r="BB23" s="95">
        <v>20</v>
      </c>
      <c r="BC23" s="95" t="s">
        <v>62</v>
      </c>
      <c r="BD23" s="95" t="s">
        <v>61</v>
      </c>
      <c r="BE23" s="95">
        <v>20</v>
      </c>
      <c r="BF23" s="95" t="s">
        <v>62</v>
      </c>
      <c r="BJ23" s="95" t="s">
        <v>61</v>
      </c>
      <c r="BK23" s="95">
        <v>1</v>
      </c>
      <c r="BL23" s="95" t="s">
        <v>62</v>
      </c>
      <c r="BM23" s="95" t="s">
        <v>61</v>
      </c>
      <c r="BN23" s="95">
        <v>1</v>
      </c>
      <c r="BO23" s="95" t="s">
        <v>62</v>
      </c>
      <c r="BS23" s="95" t="s">
        <v>134</v>
      </c>
      <c r="BT23" s="354">
        <f>(BT5*BT28*BT6)/((1-EXP(-BT6*BT9))*BT10*BT11)</f>
        <v>178.84784499978457</v>
      </c>
      <c r="BU23" s="95" t="s">
        <v>38</v>
      </c>
      <c r="BV23" s="95" t="s">
        <v>436</v>
      </c>
      <c r="BW23" s="95">
        <v>2</v>
      </c>
      <c r="BX23" s="95" t="s">
        <v>180</v>
      </c>
      <c r="BY23" s="95" t="s">
        <v>78</v>
      </c>
      <c r="BZ23" s="95">
        <v>80</v>
      </c>
      <c r="CA23" s="95" t="s">
        <v>55</v>
      </c>
      <c r="CB23" s="95" t="s">
        <v>448</v>
      </c>
      <c r="CC23" s="354">
        <f>B29</f>
        <v>30</v>
      </c>
      <c r="CD23" s="95" t="s">
        <v>129</v>
      </c>
      <c r="CE23" s="95" t="s">
        <v>448</v>
      </c>
      <c r="CF23" s="354">
        <f>B29</f>
        <v>30</v>
      </c>
      <c r="CG23" s="95" t="s">
        <v>129</v>
      </c>
      <c r="CK23" s="95" t="s">
        <v>107</v>
      </c>
      <c r="CL23" s="95">
        <v>26</v>
      </c>
      <c r="CM23" s="95" t="s">
        <v>276</v>
      </c>
      <c r="CN23" s="95" t="s">
        <v>67</v>
      </c>
      <c r="CO23" s="354">
        <f>B43</f>
        <v>0.2</v>
      </c>
      <c r="CT23" s="95" t="s">
        <v>324</v>
      </c>
      <c r="CU23" s="354">
        <f>GG3</f>
        <v>0.19729905485860758</v>
      </c>
      <c r="CV23" s="95" t="s">
        <v>23</v>
      </c>
      <c r="CW23" s="95" t="s">
        <v>139</v>
      </c>
      <c r="CX23" s="354">
        <f>(CX5*CX9*CX6)/((CX14/CX15)*CX8*CX9*(1-EXP(-CX6*CX9))*CX18*(1/365)*CX19)</f>
        <v>196.39945623657806</v>
      </c>
      <c r="CY23" s="95" t="s">
        <v>38</v>
      </c>
      <c r="CZ23" s="95" t="s">
        <v>325</v>
      </c>
      <c r="DA23" s="354">
        <f>FO3</f>
        <v>0.11048747072082025</v>
      </c>
      <c r="DF23" s="95" t="s">
        <v>46</v>
      </c>
      <c r="DG23" s="354">
        <f>B33</f>
        <v>11000</v>
      </c>
      <c r="DH23" s="95" t="s">
        <v>416</v>
      </c>
      <c r="DO23" s="95" t="s">
        <v>49</v>
      </c>
      <c r="DP23" s="95">
        <f>DP25</f>
        <v>0.03</v>
      </c>
      <c r="ED23" s="95" t="s">
        <v>49</v>
      </c>
      <c r="EE23" s="95">
        <f>EE25</f>
        <v>0.2</v>
      </c>
      <c r="ES23" s="95" t="s">
        <v>49</v>
      </c>
      <c r="ET23" s="95">
        <f>ET25</f>
        <v>0.2</v>
      </c>
      <c r="FH23" s="95" t="s">
        <v>49</v>
      </c>
      <c r="FI23" s="95">
        <v>0.2</v>
      </c>
      <c r="FW23" s="95" t="s">
        <v>49</v>
      </c>
      <c r="FX23" s="95">
        <f>FX25</f>
        <v>0.2</v>
      </c>
      <c r="GL23" s="95" t="s">
        <v>49</v>
      </c>
      <c r="GM23" s="95">
        <f>GM25</f>
        <v>0.2</v>
      </c>
      <c r="HA23" s="95" t="s">
        <v>49</v>
      </c>
      <c r="HB23" s="95">
        <f>HB25</f>
        <v>0.2</v>
      </c>
      <c r="HD23" s="247">
        <f>(HE25*HE33*HE38*HE32*10^-3*HE31*HE27)/(HE30*HE41*(1-EXP(-HE27*HE31)))</f>
        <v>0.55845394219543287</v>
      </c>
      <c r="HE23" s="248"/>
      <c r="HF23" s="180" t="s">
        <v>40</v>
      </c>
    </row>
    <row r="24" spans="1:214" s="95" customFormat="1" ht="13.5" thickBot="1" x14ac:dyDescent="0.25">
      <c r="A24" s="95" t="s">
        <v>474</v>
      </c>
      <c r="B24" s="353">
        <v>1.46E-6</v>
      </c>
      <c r="C24" s="95" t="s">
        <v>163</v>
      </c>
      <c r="D24" s="95" t="s">
        <v>244</v>
      </c>
      <c r="E24" s="95">
        <v>350</v>
      </c>
      <c r="F24" s="95" t="s">
        <v>55</v>
      </c>
      <c r="G24" s="95" t="s">
        <v>405</v>
      </c>
      <c r="H24" s="354">
        <f>B52</f>
        <v>14.8</v>
      </c>
      <c r="I24" s="95" t="s">
        <v>413</v>
      </c>
      <c r="J24" s="95" t="s">
        <v>241</v>
      </c>
      <c r="K24" s="95">
        <f>B45</f>
        <v>10</v>
      </c>
      <c r="L24" s="95" t="s">
        <v>83</v>
      </c>
      <c r="M24" s="95" t="s">
        <v>52</v>
      </c>
      <c r="N24" s="354">
        <f>0.693/N25</f>
        <v>2.3099999999999999E-2</v>
      </c>
      <c r="P24" s="95" t="s">
        <v>52</v>
      </c>
      <c r="Q24" s="354">
        <f>0.693/Q25</f>
        <v>2.3099999999999999E-2</v>
      </c>
      <c r="V24" s="108" t="s">
        <v>38</v>
      </c>
      <c r="W24" s="186">
        <f>1/((1/W39)+(1/W40))</f>
        <v>1.854995534155921</v>
      </c>
      <c r="X24" s="187"/>
      <c r="Y24" s="188" t="s">
        <v>38</v>
      </c>
      <c r="Z24" s="186">
        <f>1/((1/Z37)+(1/Z38))</f>
        <v>197.96811471710143</v>
      </c>
      <c r="AA24" s="189"/>
      <c r="AB24" s="95" t="s">
        <v>75</v>
      </c>
      <c r="AC24" s="354">
        <f>B17</f>
        <v>1.1900000000000001E-11</v>
      </c>
      <c r="AD24" s="354">
        <f>B17</f>
        <v>1.1900000000000001E-11</v>
      </c>
      <c r="AE24" s="354">
        <f>B17</f>
        <v>1.1900000000000001E-11</v>
      </c>
      <c r="AF24" s="354">
        <f>B17</f>
        <v>1.1900000000000001E-11</v>
      </c>
      <c r="AG24" s="354">
        <f>B17</f>
        <v>1.1900000000000001E-11</v>
      </c>
      <c r="AH24" s="95" t="s">
        <v>64</v>
      </c>
      <c r="AI24" s="95" t="s">
        <v>52</v>
      </c>
      <c r="AJ24" s="354">
        <f>0.693/AJ25</f>
        <v>2.3099999999999999E-2</v>
      </c>
      <c r="AL24" s="95" t="s">
        <v>52</v>
      </c>
      <c r="AM24" s="354">
        <f>0.693/AM25</f>
        <v>2.3099999999999999E-2</v>
      </c>
      <c r="AR24" s="95" t="s">
        <v>52</v>
      </c>
      <c r="AS24" s="354">
        <f>0.693/AS25</f>
        <v>2.3099999999999999E-2</v>
      </c>
      <c r="AU24" s="95" t="s">
        <v>52</v>
      </c>
      <c r="AV24" s="354">
        <f>0.693/AV25</f>
        <v>2.3099999999999999E-2</v>
      </c>
      <c r="BA24" s="95" t="s">
        <v>52</v>
      </c>
      <c r="BB24" s="354">
        <f>0.693/BB25</f>
        <v>2.3099999999999999E-2</v>
      </c>
      <c r="BD24" s="95" t="s">
        <v>52</v>
      </c>
      <c r="BE24" s="354">
        <f>0.693/BE25</f>
        <v>2.3099999999999999E-2</v>
      </c>
      <c r="BJ24" s="95" t="s">
        <v>52</v>
      </c>
      <c r="BK24" s="354">
        <f>0.693/BK25</f>
        <v>2.3099999999999999E-2</v>
      </c>
      <c r="BM24" s="95" t="s">
        <v>52</v>
      </c>
      <c r="BN24" s="354">
        <f>0.693/BN25</f>
        <v>2.3099999999999999E-2</v>
      </c>
      <c r="BS24" s="95" t="s">
        <v>139</v>
      </c>
      <c r="BT24" s="354">
        <f>(BT5*BT9*BT6)/((BT14/24)*BT8*BT9*(1-EXP(-BT6*BT9))*BT19*(1/365)*BT20)</f>
        <v>29380.063090794345</v>
      </c>
      <c r="BU24" s="95" t="s">
        <v>38</v>
      </c>
      <c r="BV24" s="95" t="s">
        <v>435</v>
      </c>
      <c r="BW24" s="95">
        <v>2</v>
      </c>
      <c r="BX24" s="95" t="s">
        <v>180</v>
      </c>
      <c r="BY24" s="95" t="s">
        <v>70</v>
      </c>
      <c r="BZ24" s="95">
        <v>80</v>
      </c>
      <c r="CA24" s="95" t="s">
        <v>55</v>
      </c>
      <c r="CB24" s="95" t="s">
        <v>54</v>
      </c>
      <c r="CC24" s="95">
        <v>80</v>
      </c>
      <c r="CD24" s="95" t="s">
        <v>63</v>
      </c>
      <c r="CE24" s="95" t="s">
        <v>54</v>
      </c>
      <c r="CF24" s="95">
        <v>80</v>
      </c>
      <c r="CG24" s="95" t="s">
        <v>63</v>
      </c>
      <c r="CK24" s="95" t="s">
        <v>334</v>
      </c>
      <c r="CL24" s="357">
        <v>0.5</v>
      </c>
      <c r="CM24" s="95" t="s">
        <v>413</v>
      </c>
      <c r="CN24" s="95" t="s">
        <v>341</v>
      </c>
      <c r="CO24" s="357">
        <v>0.25</v>
      </c>
      <c r="CT24" s="95" t="s">
        <v>325</v>
      </c>
      <c r="CU24" s="354">
        <f>FR3</f>
        <v>9.0599725991072605E-4</v>
      </c>
      <c r="CV24" s="95" t="s">
        <v>23</v>
      </c>
      <c r="CW24" s="95" t="s">
        <v>244</v>
      </c>
      <c r="CX24" s="95">
        <v>55</v>
      </c>
      <c r="CY24" s="95" t="s">
        <v>55</v>
      </c>
      <c r="CZ24" s="95" t="s">
        <v>86</v>
      </c>
      <c r="DA24" s="360">
        <f>(DA31*DA33*DA27)+(DA32*DA34*DA28)</f>
        <v>219282</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5.3195546555352829E-3</v>
      </c>
      <c r="HE24" s="351"/>
      <c r="HF24" s="352" t="s">
        <v>45</v>
      </c>
    </row>
    <row r="25" spans="1:214" s="95" customFormat="1" ht="14.25" thickTop="1" thickBot="1" x14ac:dyDescent="0.25">
      <c r="A25" s="95" t="s">
        <v>475</v>
      </c>
      <c r="B25" s="353">
        <v>2.2699999999999999E-6</v>
      </c>
      <c r="C25" s="95" t="s">
        <v>163</v>
      </c>
      <c r="D25" s="95" t="s">
        <v>245</v>
      </c>
      <c r="E25" s="95">
        <v>350</v>
      </c>
      <c r="F25" s="95" t="s">
        <v>55</v>
      </c>
      <c r="G25" s="95" t="s">
        <v>402</v>
      </c>
      <c r="H25" s="360">
        <f>(H29*H32*H26)+(H30*H33*H27)</f>
        <v>190820</v>
      </c>
      <c r="I25" s="95" t="s">
        <v>230</v>
      </c>
      <c r="J25" s="95" t="s">
        <v>403</v>
      </c>
      <c r="K25" s="360">
        <f>(K31*K35*K26)+(K32*K34*K27)</f>
        <v>108850</v>
      </c>
      <c r="L25" s="95" t="s">
        <v>230</v>
      </c>
      <c r="M25" s="95" t="s">
        <v>448</v>
      </c>
      <c r="N25" s="354">
        <f>B29</f>
        <v>30</v>
      </c>
      <c r="O25" s="95" t="s">
        <v>129</v>
      </c>
      <c r="P25" s="95" t="s">
        <v>448</v>
      </c>
      <c r="Q25" s="354">
        <f>B29</f>
        <v>30</v>
      </c>
      <c r="R25" s="95" t="s">
        <v>129</v>
      </c>
      <c r="V25" s="263" t="s">
        <v>37</v>
      </c>
      <c r="W25" s="264">
        <f>1/((1/W37)+(1/W38))</f>
        <v>1.4091546213204733</v>
      </c>
      <c r="X25" s="265"/>
      <c r="Y25" s="266" t="s">
        <v>37</v>
      </c>
      <c r="Z25" s="398">
        <f>1/((1/Z39)+(1/Z40))</f>
        <v>16.793616373736089</v>
      </c>
      <c r="AA25" s="267"/>
      <c r="AC25" s="354"/>
      <c r="AD25" s="354"/>
      <c r="AE25" s="354"/>
      <c r="AI25" s="95" t="s">
        <v>448</v>
      </c>
      <c r="AJ25" s="354">
        <f>B29</f>
        <v>30</v>
      </c>
      <c r="AK25" s="95" t="s">
        <v>129</v>
      </c>
      <c r="AL25" s="95" t="s">
        <v>448</v>
      </c>
      <c r="AM25" s="354">
        <f>B29</f>
        <v>30</v>
      </c>
      <c r="AN25" s="95" t="s">
        <v>129</v>
      </c>
      <c r="AR25" s="95" t="s">
        <v>448</v>
      </c>
      <c r="AS25" s="354">
        <f>B29</f>
        <v>30</v>
      </c>
      <c r="AT25" s="95" t="s">
        <v>129</v>
      </c>
      <c r="AU25" s="95" t="s">
        <v>448</v>
      </c>
      <c r="AV25" s="354">
        <f>B29</f>
        <v>30</v>
      </c>
      <c r="AW25" s="95" t="s">
        <v>129</v>
      </c>
      <c r="BA25" s="95" t="s">
        <v>448</v>
      </c>
      <c r="BB25" s="354">
        <f>B29</f>
        <v>30</v>
      </c>
      <c r="BC25" s="95" t="s">
        <v>129</v>
      </c>
      <c r="BD25" s="95" t="s">
        <v>448</v>
      </c>
      <c r="BE25" s="354">
        <f>B29</f>
        <v>30</v>
      </c>
      <c r="BF25" s="95" t="s">
        <v>129</v>
      </c>
      <c r="BJ25" s="95" t="s">
        <v>448</v>
      </c>
      <c r="BK25" s="354">
        <f>B29</f>
        <v>30</v>
      </c>
      <c r="BL25" s="95" t="s">
        <v>129</v>
      </c>
      <c r="BM25" s="95" t="s">
        <v>448</v>
      </c>
      <c r="BN25" s="354">
        <f>B29</f>
        <v>30</v>
      </c>
      <c r="BO25" s="95" t="s">
        <v>129</v>
      </c>
      <c r="BS25" s="95" t="s">
        <v>244</v>
      </c>
      <c r="BT25" s="95">
        <v>75</v>
      </c>
      <c r="BU25" s="95" t="s">
        <v>55</v>
      </c>
      <c r="BV25" s="95" t="s">
        <v>437</v>
      </c>
      <c r="BW25" s="95">
        <v>2</v>
      </c>
      <c r="BX25" s="95" t="s">
        <v>85</v>
      </c>
      <c r="BY25" s="95" t="s">
        <v>107</v>
      </c>
      <c r="BZ25" s="95">
        <v>26</v>
      </c>
      <c r="CA25" s="95" t="s">
        <v>129</v>
      </c>
      <c r="CB25" s="95" t="s">
        <v>68</v>
      </c>
      <c r="CC25" s="95">
        <v>26</v>
      </c>
      <c r="CD25" s="95" t="s">
        <v>62</v>
      </c>
      <c r="CE25" s="95" t="s">
        <v>68</v>
      </c>
      <c r="CF25" s="95">
        <v>26</v>
      </c>
      <c r="CG25" s="95" t="s">
        <v>62</v>
      </c>
      <c r="CN25" s="95" t="s">
        <v>339</v>
      </c>
      <c r="CO25" s="357">
        <v>0.5</v>
      </c>
      <c r="CP25" s="95" t="s">
        <v>479</v>
      </c>
      <c r="CT25" s="95" t="s">
        <v>87</v>
      </c>
      <c r="CU25" s="399">
        <f>(CU27*CU31*CU35+CU28*CU32*CU34)</f>
        <v>2506000</v>
      </c>
      <c r="CV25" s="95" t="s">
        <v>443</v>
      </c>
      <c r="CW25" s="95" t="s">
        <v>245</v>
      </c>
      <c r="CX25" s="95">
        <v>55</v>
      </c>
      <c r="CY25" s="95" t="s">
        <v>55</v>
      </c>
      <c r="CZ25" s="95" t="s">
        <v>82</v>
      </c>
      <c r="DA25" s="360">
        <f>(DA31*DA33*DA29*(DA36/24))+(DA32*DA34*DA30*(DA37/24))</f>
        <v>119000</v>
      </c>
      <c r="DB25" s="95" t="s">
        <v>444</v>
      </c>
      <c r="DO25" s="95" t="s">
        <v>66</v>
      </c>
      <c r="DP25" s="95">
        <f>B40</f>
        <v>0.03</v>
      </c>
      <c r="ED25" s="95" t="s">
        <v>67</v>
      </c>
      <c r="EE25" s="354">
        <f>B43</f>
        <v>0.2</v>
      </c>
      <c r="ES25" s="95" t="s">
        <v>67</v>
      </c>
      <c r="ET25" s="354">
        <f>B43</f>
        <v>0.2</v>
      </c>
      <c r="FH25" s="95" t="s">
        <v>67</v>
      </c>
      <c r="FI25" s="354">
        <f>B43</f>
        <v>0.2</v>
      </c>
      <c r="FW25" s="95" t="s">
        <v>67</v>
      </c>
      <c r="FX25" s="354">
        <f>B43</f>
        <v>0.2</v>
      </c>
      <c r="GL25" s="95" t="s">
        <v>67</v>
      </c>
      <c r="GM25" s="354">
        <f>B43</f>
        <v>0.2</v>
      </c>
      <c r="HA25" s="95" t="s">
        <v>67</v>
      </c>
      <c r="HB25" s="354">
        <f>B43</f>
        <v>0.2</v>
      </c>
      <c r="HD25" s="355" t="s">
        <v>51</v>
      </c>
      <c r="HE25" s="354">
        <v>15</v>
      </c>
      <c r="HF25" s="95" t="s">
        <v>25</v>
      </c>
    </row>
    <row r="26" spans="1:214" s="95" customFormat="1" ht="14.25" thickTop="1" thickBot="1" x14ac:dyDescent="0.25">
      <c r="A26" s="95" t="s">
        <v>115</v>
      </c>
      <c r="B26" s="353">
        <v>2.3899999999999998E-9</v>
      </c>
      <c r="C26" s="95" t="s">
        <v>163</v>
      </c>
      <c r="G26" s="95" t="s">
        <v>400</v>
      </c>
      <c r="H26" s="354">
        <f>B53</f>
        <v>56.2</v>
      </c>
      <c r="I26" s="95" t="s">
        <v>413</v>
      </c>
      <c r="J26" s="95" t="s">
        <v>404</v>
      </c>
      <c r="K26" s="354">
        <f>B51</f>
        <v>2.5</v>
      </c>
      <c r="L26" s="95" t="s">
        <v>413</v>
      </c>
      <c r="M26" s="95" t="s">
        <v>54</v>
      </c>
      <c r="N26" s="95">
        <v>55</v>
      </c>
      <c r="O26" s="95" t="s">
        <v>63</v>
      </c>
      <c r="P26" s="95" t="s">
        <v>54</v>
      </c>
      <c r="Q26" s="95">
        <v>55</v>
      </c>
      <c r="R26" s="95" t="s">
        <v>63</v>
      </c>
      <c r="V26" s="95" t="s">
        <v>46</v>
      </c>
      <c r="W26" s="354">
        <v>9.9999999999999995E-7</v>
      </c>
      <c r="Y26" s="95" t="s">
        <v>46</v>
      </c>
      <c r="Z26" s="354">
        <v>9.9999999999999995E-7</v>
      </c>
      <c r="AC26" s="354"/>
      <c r="AD26" s="354"/>
      <c r="AE26" s="354"/>
      <c r="AI26" s="95" t="s">
        <v>54</v>
      </c>
      <c r="AJ26" s="95">
        <v>130</v>
      </c>
      <c r="AK26" s="95" t="s">
        <v>63</v>
      </c>
      <c r="AL26" s="95" t="s">
        <v>54</v>
      </c>
      <c r="AM26" s="95">
        <v>130</v>
      </c>
      <c r="AN26" s="95" t="s">
        <v>63</v>
      </c>
      <c r="AR26" s="95" t="s">
        <v>54</v>
      </c>
      <c r="AS26" s="95">
        <v>200</v>
      </c>
      <c r="AT26" s="95" t="s">
        <v>63</v>
      </c>
      <c r="AU26" s="95" t="s">
        <v>54</v>
      </c>
      <c r="AV26" s="95">
        <v>200</v>
      </c>
      <c r="AW26" s="95" t="s">
        <v>63</v>
      </c>
      <c r="BA26" s="95" t="s">
        <v>54</v>
      </c>
      <c r="BB26" s="95">
        <v>200</v>
      </c>
      <c r="BC26" s="95" t="s">
        <v>63</v>
      </c>
      <c r="BD26" s="95" t="s">
        <v>54</v>
      </c>
      <c r="BE26" s="95">
        <v>200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354">
        <f>B11</f>
        <v>2.6599999999999999E-2</v>
      </c>
      <c r="CE26" s="95" t="s">
        <v>102</v>
      </c>
      <c r="CF26" s="354">
        <f>B7</f>
        <v>5.0099999999999999E-2</v>
      </c>
      <c r="CN26" s="95" t="s">
        <v>342</v>
      </c>
      <c r="CO26" s="357">
        <v>0.5</v>
      </c>
      <c r="CP26" s="95" t="s">
        <v>479</v>
      </c>
      <c r="CT26" s="95" t="s">
        <v>82</v>
      </c>
      <c r="CU26" s="399">
        <f>((CU35*CU31*CU29*CU36/24))+(CU34*CU32*CU30*(CU37/24))</f>
        <v>119000</v>
      </c>
      <c r="CV26" s="95" t="s">
        <v>444</v>
      </c>
      <c r="CZ26" s="95" t="s">
        <v>263</v>
      </c>
      <c r="DA26" s="360">
        <f>(DA31*DA33*DA38*DA40)+(DA32*DA34*DA39*DA41)</f>
        <v>9583</v>
      </c>
      <c r="DB26" s="95" t="s">
        <v>445</v>
      </c>
      <c r="DF26" s="95" t="s">
        <v>67</v>
      </c>
      <c r="DG26" s="354">
        <f>B43</f>
        <v>0.2</v>
      </c>
      <c r="DO26" s="95" t="s">
        <v>73</v>
      </c>
      <c r="DP26" s="95">
        <v>0.26</v>
      </c>
      <c r="ED26" s="95" t="s">
        <v>73</v>
      </c>
      <c r="EE26" s="95">
        <v>0.25</v>
      </c>
      <c r="EJ26" s="95" t="s">
        <v>67</v>
      </c>
      <c r="EK26" s="354">
        <f>B43</f>
        <v>0.2</v>
      </c>
      <c r="ES26" s="95" t="s">
        <v>73</v>
      </c>
      <c r="ET26" s="95">
        <v>0.25</v>
      </c>
      <c r="FH26" s="95" t="s">
        <v>316</v>
      </c>
      <c r="FI26" s="95">
        <v>0.25</v>
      </c>
      <c r="FW26" s="95" t="s">
        <v>311</v>
      </c>
      <c r="FX26" s="95">
        <v>0.25</v>
      </c>
      <c r="GL26" s="95" t="s">
        <v>305</v>
      </c>
      <c r="GM26" s="95">
        <v>0.25</v>
      </c>
      <c r="HA26" s="95" t="s">
        <v>310</v>
      </c>
      <c r="HB26" s="95">
        <v>0.25</v>
      </c>
      <c r="HD26" s="95" t="s">
        <v>17</v>
      </c>
      <c r="HE26" s="354">
        <f>H3</f>
        <v>0.14288254375882853</v>
      </c>
      <c r="HF26" s="95" t="s">
        <v>25</v>
      </c>
    </row>
    <row r="27" spans="1:214" s="95" customFormat="1" ht="12.75" customHeight="1" thickTop="1" x14ac:dyDescent="0.2">
      <c r="A27" s="95" t="s">
        <v>409</v>
      </c>
      <c r="B27" s="353">
        <v>5.1800000000000001E-12</v>
      </c>
      <c r="C27" s="95" t="s">
        <v>64</v>
      </c>
      <c r="D27" s="401" t="s">
        <v>3</v>
      </c>
      <c r="E27" s="19"/>
      <c r="F27" s="20" t="s">
        <v>15</v>
      </c>
      <c r="G27" s="95" t="s">
        <v>401</v>
      </c>
      <c r="H27" s="354">
        <f>B54</f>
        <v>10.4</v>
      </c>
      <c r="I27" s="95" t="s">
        <v>413</v>
      </c>
      <c r="J27" s="95" t="s">
        <v>405</v>
      </c>
      <c r="K27" s="354">
        <f>B52</f>
        <v>14.8</v>
      </c>
      <c r="L27" s="95" t="s">
        <v>413</v>
      </c>
      <c r="M27" s="95" t="s">
        <v>68</v>
      </c>
      <c r="N27" s="95">
        <v>20</v>
      </c>
      <c r="O27" s="95" t="s">
        <v>62</v>
      </c>
      <c r="P27" s="95" t="s">
        <v>68</v>
      </c>
      <c r="Q27" s="95">
        <v>20</v>
      </c>
      <c r="R27" s="95" t="s">
        <v>62</v>
      </c>
      <c r="V27" s="95" t="s">
        <v>52</v>
      </c>
      <c r="W27" s="354">
        <f>0.693/W28</f>
        <v>2.3099999999999999E-2</v>
      </c>
      <c r="Y27" s="95" t="s">
        <v>52</v>
      </c>
      <c r="Z27" s="354">
        <f>0.693/Z28</f>
        <v>2.3099999999999999E-2</v>
      </c>
      <c r="AB27" s="95" t="s">
        <v>68</v>
      </c>
      <c r="AF27" s="95">
        <v>1</v>
      </c>
      <c r="AG27" s="95">
        <v>1</v>
      </c>
      <c r="AH27" s="95" t="s">
        <v>129</v>
      </c>
      <c r="AI27" s="95" t="s">
        <v>68</v>
      </c>
      <c r="AJ27" s="95">
        <v>25</v>
      </c>
      <c r="AK27" s="95" t="s">
        <v>62</v>
      </c>
      <c r="AL27" s="95" t="s">
        <v>68</v>
      </c>
      <c r="AM27" s="95">
        <v>25</v>
      </c>
      <c r="AN27" s="95" t="s">
        <v>62</v>
      </c>
      <c r="AR27" s="95" t="s">
        <v>68</v>
      </c>
      <c r="AS27" s="95">
        <v>20</v>
      </c>
      <c r="AT27" s="95" t="s">
        <v>62</v>
      </c>
      <c r="AU27" s="95" t="s">
        <v>68</v>
      </c>
      <c r="AV27" s="95">
        <v>20</v>
      </c>
      <c r="AW27" s="95" t="s">
        <v>62</v>
      </c>
      <c r="BA27" s="95" t="s">
        <v>68</v>
      </c>
      <c r="BB27" s="95">
        <v>20</v>
      </c>
      <c r="BC27" s="95" t="s">
        <v>62</v>
      </c>
      <c r="BD27" s="95" t="s">
        <v>68</v>
      </c>
      <c r="BE27" s="95">
        <v>20</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354">
        <f>B12</f>
        <v>0.46500000000000002</v>
      </c>
      <c r="CE27" s="95" t="s">
        <v>113</v>
      </c>
      <c r="CF27" s="354">
        <f>B8</f>
        <v>0.72599999999999998</v>
      </c>
      <c r="CN27" s="95" t="s">
        <v>343</v>
      </c>
      <c r="CO27" s="357">
        <v>1</v>
      </c>
      <c r="CP27" s="95" t="s">
        <v>80</v>
      </c>
      <c r="CT27" s="95" t="s">
        <v>117</v>
      </c>
      <c r="CU27" s="95">
        <f>B47</f>
        <v>60</v>
      </c>
      <c r="CV27" s="95" t="s">
        <v>96</v>
      </c>
      <c r="CZ27" s="95" t="s">
        <v>105</v>
      </c>
      <c r="DA27" s="95">
        <f>B49</f>
        <v>100</v>
      </c>
      <c r="DB27" s="95" t="s">
        <v>59</v>
      </c>
      <c r="EB27" s="354"/>
      <c r="ED27" s="95" t="s">
        <v>347</v>
      </c>
      <c r="EE27" s="354">
        <f>B35</f>
        <v>8.0000000000000002E-3</v>
      </c>
      <c r="EQ27" s="354"/>
      <c r="ES27" s="95" t="s">
        <v>348</v>
      </c>
      <c r="ET27" s="354">
        <f>B36</f>
        <v>0.03</v>
      </c>
      <c r="FH27" s="95" t="s">
        <v>349</v>
      </c>
      <c r="FI27" s="356">
        <f>B38</f>
        <v>0.4</v>
      </c>
      <c r="FW27" s="95" t="s">
        <v>350</v>
      </c>
      <c r="FX27" s="357">
        <v>1</v>
      </c>
      <c r="GL27" s="95" t="s">
        <v>351</v>
      </c>
      <c r="GM27" s="356">
        <f>B37</f>
        <v>10</v>
      </c>
      <c r="HA27" s="95" t="s">
        <v>352</v>
      </c>
      <c r="HB27" s="356">
        <f>B39</f>
        <v>0.24</v>
      </c>
      <c r="HD27" s="95" t="s">
        <v>52</v>
      </c>
      <c r="HE27" s="354">
        <f>0.693/HE28</f>
        <v>2.3099999999999999E-2</v>
      </c>
    </row>
    <row r="28" spans="1:214" s="95" customFormat="1" ht="14.25" x14ac:dyDescent="0.2">
      <c r="A28" s="95" t="s">
        <v>415</v>
      </c>
      <c r="B28" s="353">
        <v>3.7400000000000001E-11</v>
      </c>
      <c r="C28" s="95" t="s">
        <v>64</v>
      </c>
      <c r="D28" s="402" t="s">
        <v>166</v>
      </c>
      <c r="E28" s="101" t="s">
        <v>17</v>
      </c>
      <c r="F28" s="102" t="s">
        <v>23</v>
      </c>
      <c r="G28" s="95" t="s">
        <v>145</v>
      </c>
      <c r="H28" s="95">
        <v>0.5</v>
      </c>
      <c r="I28" s="95" t="s">
        <v>146</v>
      </c>
      <c r="J28" s="95" t="s">
        <v>402</v>
      </c>
      <c r="K28" s="360">
        <f>(K31*K35*K29)+(K32*K34*K30)</f>
        <v>190820</v>
      </c>
      <c r="L28" s="95" t="s">
        <v>230</v>
      </c>
      <c r="M28" s="95" t="s">
        <v>91</v>
      </c>
      <c r="N28" s="95">
        <v>0.4</v>
      </c>
      <c r="P28" s="95" t="s">
        <v>91</v>
      </c>
      <c r="Q28" s="95">
        <v>0.4</v>
      </c>
      <c r="V28" s="95" t="s">
        <v>448</v>
      </c>
      <c r="W28" s="354">
        <f>B29</f>
        <v>30</v>
      </c>
      <c r="X28" s="95" t="s">
        <v>129</v>
      </c>
      <c r="Y28" s="95" t="s">
        <v>448</v>
      </c>
      <c r="Z28" s="354">
        <f>B29</f>
        <v>30</v>
      </c>
      <c r="AA28" s="95" t="s">
        <v>129</v>
      </c>
      <c r="AB28" s="95" t="s">
        <v>171</v>
      </c>
      <c r="AC28" s="354">
        <v>5</v>
      </c>
      <c r="AD28" s="354">
        <v>8</v>
      </c>
      <c r="AE28" s="354">
        <v>8</v>
      </c>
      <c r="AF28" s="354">
        <f t="shared" ref="AF28:AF29" si="0">8/24</f>
        <v>0.33333333333333331</v>
      </c>
      <c r="AG28" s="354">
        <f>8/24</f>
        <v>0.33333333333333331</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2</v>
      </c>
      <c r="CA28" s="95" t="s">
        <v>85</v>
      </c>
      <c r="CB28" s="95" t="s">
        <v>182</v>
      </c>
      <c r="CC28" s="95">
        <v>2</v>
      </c>
      <c r="CD28" s="95" t="s">
        <v>127</v>
      </c>
      <c r="CE28" s="95" t="s">
        <v>182</v>
      </c>
      <c r="CF28" s="95">
        <v>2</v>
      </c>
      <c r="CG28" s="95" t="s">
        <v>127</v>
      </c>
      <c r="CN28" s="95" t="s">
        <v>344</v>
      </c>
      <c r="CO28" s="357">
        <v>1</v>
      </c>
      <c r="CP28" s="95" t="s">
        <v>80</v>
      </c>
      <c r="CT28" s="95" t="s">
        <v>140</v>
      </c>
      <c r="CU28" s="95">
        <f>B48</f>
        <v>200</v>
      </c>
      <c r="CV28" s="95" t="s">
        <v>96</v>
      </c>
      <c r="CZ28" s="95" t="s">
        <v>135</v>
      </c>
      <c r="DA28" s="95">
        <f>B50</f>
        <v>0.78</v>
      </c>
      <c r="DB28" s="95" t="s">
        <v>59</v>
      </c>
      <c r="FW28" s="95" t="s">
        <v>203</v>
      </c>
      <c r="FX28" s="354">
        <v>30</v>
      </c>
      <c r="HD28" s="95" t="s">
        <v>448</v>
      </c>
      <c r="HE28" s="354">
        <f>B29</f>
        <v>30</v>
      </c>
      <c r="HF28" s="95" t="s">
        <v>129</v>
      </c>
    </row>
    <row r="29" spans="1:214" s="95" customFormat="1" ht="15" x14ac:dyDescent="0.2">
      <c r="A29" s="95" t="s">
        <v>448</v>
      </c>
      <c r="B29" s="353">
        <v>30</v>
      </c>
      <c r="C29" s="95" t="s">
        <v>454</v>
      </c>
      <c r="D29" s="402" t="s">
        <v>166</v>
      </c>
      <c r="E29" s="403">
        <f>E36</f>
        <v>0.10309607832827648</v>
      </c>
      <c r="F29" s="184"/>
      <c r="G29" s="95" t="s">
        <v>70</v>
      </c>
      <c r="H29" s="95">
        <v>350</v>
      </c>
      <c r="I29" s="95" t="s">
        <v>55</v>
      </c>
      <c r="J29" s="95" t="s">
        <v>400</v>
      </c>
      <c r="K29" s="354">
        <f>B53</f>
        <v>56.2</v>
      </c>
      <c r="L29" s="95" t="s">
        <v>413</v>
      </c>
      <c r="M29" s="95" t="s">
        <v>102</v>
      </c>
      <c r="N29" s="354">
        <f>B11</f>
        <v>2.6599999999999999E-2</v>
      </c>
      <c r="P29" s="95" t="s">
        <v>102</v>
      </c>
      <c r="Q29" s="354">
        <f>B7</f>
        <v>5.0099999999999999E-2</v>
      </c>
      <c r="V29" s="95" t="s">
        <v>54</v>
      </c>
      <c r="W29" s="95">
        <v>130</v>
      </c>
      <c r="X29" s="95" t="s">
        <v>63</v>
      </c>
      <c r="Y29" s="95" t="s">
        <v>54</v>
      </c>
      <c r="Z29" s="95">
        <f>Z41*Z42</f>
        <v>250</v>
      </c>
      <c r="AA29" s="95" t="s">
        <v>63</v>
      </c>
      <c r="AB29" s="95" t="s">
        <v>174</v>
      </c>
      <c r="AC29" s="354">
        <v>5</v>
      </c>
      <c r="AD29" s="354">
        <v>8</v>
      </c>
      <c r="AE29" s="354">
        <v>8</v>
      </c>
      <c r="AF29" s="354">
        <f t="shared" si="0"/>
        <v>0.33333333333333331</v>
      </c>
      <c r="AG29" s="354">
        <f>8/24</f>
        <v>0.33333333333333331</v>
      </c>
      <c r="AI29" s="95" t="s">
        <v>102</v>
      </c>
      <c r="AJ29" s="354">
        <f>B11</f>
        <v>2.6599999999999999E-2</v>
      </c>
      <c r="AL29" s="95" t="s">
        <v>102</v>
      </c>
      <c r="AM29" s="354">
        <f>B7</f>
        <v>5.0099999999999999E-2</v>
      </c>
      <c r="AR29" s="95" t="s">
        <v>102</v>
      </c>
      <c r="AS29" s="354">
        <f>B11</f>
        <v>2.6599999999999999E-2</v>
      </c>
      <c r="AU29" s="95" t="s">
        <v>102</v>
      </c>
      <c r="AV29" s="354">
        <f>B7</f>
        <v>5.0099999999999999E-2</v>
      </c>
      <c r="BA29" s="95" t="s">
        <v>102</v>
      </c>
      <c r="BB29" s="354">
        <f>B11</f>
        <v>2.6599999999999999E-2</v>
      </c>
      <c r="BD29" s="95" t="s">
        <v>102</v>
      </c>
      <c r="BE29" s="354">
        <f>B7</f>
        <v>5.0099999999999999E-2</v>
      </c>
      <c r="BJ29" s="95" t="s">
        <v>68</v>
      </c>
      <c r="BK29" s="95">
        <v>1</v>
      </c>
      <c r="BL29" s="95" t="s">
        <v>62</v>
      </c>
      <c r="BM29" s="95" t="s">
        <v>68</v>
      </c>
      <c r="BN29" s="95">
        <v>1</v>
      </c>
      <c r="BO29" s="95" t="s">
        <v>62</v>
      </c>
      <c r="BT29" s="404"/>
      <c r="BU29" s="355"/>
      <c r="BW29" s="95">
        <v>1000</v>
      </c>
      <c r="BX29" s="95" t="s">
        <v>173</v>
      </c>
      <c r="BY29" s="95" t="s">
        <v>259</v>
      </c>
      <c r="BZ29" s="95">
        <v>2</v>
      </c>
      <c r="CA29" s="95" t="s">
        <v>85</v>
      </c>
      <c r="CB29" s="95" t="s">
        <v>131</v>
      </c>
      <c r="CC29" s="354">
        <f>B22</f>
        <v>5.0900000000000002E-7</v>
      </c>
      <c r="CD29" s="95" t="s">
        <v>132</v>
      </c>
      <c r="CE29" s="95" t="s">
        <v>131</v>
      </c>
      <c r="CF29" s="354">
        <f>B24</f>
        <v>1.46E-6</v>
      </c>
      <c r="CG29" s="95" t="s">
        <v>132</v>
      </c>
      <c r="CT29" s="95" t="s">
        <v>240</v>
      </c>
      <c r="CU29" s="95">
        <f>B44</f>
        <v>0</v>
      </c>
      <c r="CV29" s="95" t="s">
        <v>83</v>
      </c>
      <c r="CZ29" s="95" t="s">
        <v>240</v>
      </c>
      <c r="DA29" s="95">
        <f>B44</f>
        <v>0</v>
      </c>
      <c r="DB29" s="95" t="s">
        <v>264</v>
      </c>
      <c r="FW29" s="95" t="s">
        <v>322</v>
      </c>
      <c r="FX29" s="354">
        <v>8.1999999999999993</v>
      </c>
      <c r="HD29" s="95" t="s">
        <v>172</v>
      </c>
      <c r="HE29" s="95">
        <v>0.3</v>
      </c>
    </row>
    <row r="30" spans="1:214" s="95" customFormat="1" ht="15.75" thickBot="1" x14ac:dyDescent="0.25">
      <c r="A30" s="95" t="s">
        <v>164</v>
      </c>
      <c r="B30" s="353">
        <f>PEF!D3</f>
        <v>1359344473.5814338</v>
      </c>
      <c r="D30" s="405"/>
      <c r="E30" s="256" t="s">
        <v>34</v>
      </c>
      <c r="F30" s="257"/>
      <c r="G30" s="95" t="s">
        <v>78</v>
      </c>
      <c r="H30" s="95">
        <v>350</v>
      </c>
      <c r="I30" s="95" t="s">
        <v>55</v>
      </c>
      <c r="J30" s="95" t="s">
        <v>401</v>
      </c>
      <c r="K30" s="354">
        <f>B54</f>
        <v>10.4</v>
      </c>
      <c r="L30" s="95" t="s">
        <v>413</v>
      </c>
      <c r="M30" s="95" t="s">
        <v>113</v>
      </c>
      <c r="N30" s="354">
        <f>B12</f>
        <v>0.46500000000000002</v>
      </c>
      <c r="P30" s="95" t="s">
        <v>113</v>
      </c>
      <c r="Q30" s="354">
        <f>B8</f>
        <v>0.72599999999999998</v>
      </c>
      <c r="V30" s="95" t="s">
        <v>68</v>
      </c>
      <c r="W30" s="95">
        <v>25</v>
      </c>
      <c r="X30" s="95" t="s">
        <v>62</v>
      </c>
      <c r="Y30" s="95" t="s">
        <v>68</v>
      </c>
      <c r="Z30" s="95">
        <v>1</v>
      </c>
      <c r="AA30" s="95" t="s">
        <v>62</v>
      </c>
      <c r="AB30" s="95" t="s">
        <v>177</v>
      </c>
      <c r="AC30" s="95">
        <v>0.4</v>
      </c>
      <c r="AD30" s="95">
        <v>0.4</v>
      </c>
      <c r="AE30" s="95">
        <v>0.4</v>
      </c>
      <c r="AF30" s="95">
        <v>0.4</v>
      </c>
      <c r="AG30" s="95">
        <v>0.4</v>
      </c>
      <c r="AI30" s="95" t="s">
        <v>113</v>
      </c>
      <c r="AJ30" s="354">
        <f>B12</f>
        <v>0.46500000000000002</v>
      </c>
      <c r="AL30" s="95" t="s">
        <v>113</v>
      </c>
      <c r="AM30" s="354">
        <f>B8</f>
        <v>0.72599999999999998</v>
      </c>
      <c r="AR30" s="95" t="s">
        <v>113</v>
      </c>
      <c r="AS30" s="354">
        <f>B12</f>
        <v>0.46500000000000002</v>
      </c>
      <c r="AU30" s="95" t="s">
        <v>113</v>
      </c>
      <c r="AV30" s="354">
        <f>B8</f>
        <v>0.72599999999999998</v>
      </c>
      <c r="BA30" s="95" t="s">
        <v>113</v>
      </c>
      <c r="BB30" s="354">
        <f>B12</f>
        <v>0.46500000000000002</v>
      </c>
      <c r="BD30" s="95" t="s">
        <v>113</v>
      </c>
      <c r="BE30" s="354">
        <f>B8</f>
        <v>0.72599999999999998</v>
      </c>
      <c r="BT30" s="354"/>
      <c r="BW30" s="95">
        <v>1000</v>
      </c>
      <c r="BX30" s="95" t="s">
        <v>408</v>
      </c>
      <c r="BY30" s="95" t="s">
        <v>260</v>
      </c>
      <c r="BZ30" s="95">
        <v>2</v>
      </c>
      <c r="CA30" s="95" t="s">
        <v>85</v>
      </c>
      <c r="CT30" s="95" t="s">
        <v>241</v>
      </c>
      <c r="CU30" s="95">
        <f>B45</f>
        <v>10</v>
      </c>
      <c r="CV30" s="95" t="s">
        <v>83</v>
      </c>
      <c r="CZ30" s="95" t="s">
        <v>241</v>
      </c>
      <c r="DA30" s="95">
        <f>B45</f>
        <v>10</v>
      </c>
      <c r="DB30" s="95" t="s">
        <v>264</v>
      </c>
      <c r="FX30" s="95">
        <v>1000</v>
      </c>
      <c r="FY30" s="95" t="s">
        <v>230</v>
      </c>
      <c r="HD30" s="95" t="s">
        <v>175</v>
      </c>
      <c r="HE30" s="354">
        <v>1.5</v>
      </c>
    </row>
    <row r="31" spans="1:214" s="95" customFormat="1" ht="13.5" thickTop="1" x14ac:dyDescent="0.2">
      <c r="A31" s="95" t="s">
        <v>201</v>
      </c>
      <c r="B31" s="353">
        <f>PEF!G3</f>
        <v>773681.6396651821</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B17</f>
        <v>1.1900000000000001E-11</v>
      </c>
      <c r="X31" s="95" t="s">
        <v>76</v>
      </c>
      <c r="Y31" s="95" t="s">
        <v>75</v>
      </c>
      <c r="Z31" s="354">
        <f>B17</f>
        <v>1.1900000000000001E-11</v>
      </c>
      <c r="AA31" s="95" t="s">
        <v>76</v>
      </c>
      <c r="AB31" s="95" t="s">
        <v>160</v>
      </c>
      <c r="AC31" s="95">
        <v>20</v>
      </c>
      <c r="AD31" s="95">
        <v>25</v>
      </c>
      <c r="AE31" s="95">
        <v>25</v>
      </c>
      <c r="AF31" s="95">
        <v>1</v>
      </c>
      <c r="AG31" s="95">
        <v>1</v>
      </c>
      <c r="AH31" s="95" t="s">
        <v>94</v>
      </c>
      <c r="AI31" s="95" t="s">
        <v>124</v>
      </c>
      <c r="AJ31" s="95">
        <v>0</v>
      </c>
      <c r="AK31" s="95" t="s">
        <v>127</v>
      </c>
      <c r="AL31" s="95" t="s">
        <v>124</v>
      </c>
      <c r="AM31" s="95">
        <v>0</v>
      </c>
      <c r="AN31" s="95" t="s">
        <v>127</v>
      </c>
      <c r="AR31" s="95" t="s">
        <v>126</v>
      </c>
      <c r="AS31" s="95">
        <v>5</v>
      </c>
      <c r="AT31" s="95" t="s">
        <v>127</v>
      </c>
      <c r="AU31" s="95" t="s">
        <v>124</v>
      </c>
      <c r="AV31" s="95">
        <v>5</v>
      </c>
      <c r="AW31" s="95" t="s">
        <v>127</v>
      </c>
      <c r="BA31" s="95" t="s">
        <v>126</v>
      </c>
      <c r="BB31" s="95">
        <v>5</v>
      </c>
      <c r="BC31" s="95" t="s">
        <v>127</v>
      </c>
      <c r="BD31" s="95" t="s">
        <v>124</v>
      </c>
      <c r="BE31" s="95">
        <v>5</v>
      </c>
      <c r="BF31" s="95" t="s">
        <v>127</v>
      </c>
      <c r="BJ31" s="95" t="s">
        <v>102</v>
      </c>
      <c r="BK31" s="354">
        <f>B11</f>
        <v>2.6599999999999999E-2</v>
      </c>
      <c r="BM31" s="95" t="s">
        <v>102</v>
      </c>
      <c r="BN31" s="354">
        <f>B7</f>
        <v>5.0099999999999999E-2</v>
      </c>
      <c r="BW31" s="95">
        <v>365</v>
      </c>
      <c r="BX31" s="95" t="s">
        <v>55</v>
      </c>
      <c r="BY31" s="95" t="s">
        <v>243</v>
      </c>
      <c r="BZ31" s="354">
        <f>B2</f>
        <v>8.5099999999999995E-2</v>
      </c>
      <c r="CT31" s="95" t="s">
        <v>70</v>
      </c>
      <c r="CU31" s="95">
        <v>350</v>
      </c>
      <c r="CV31" s="95" t="s">
        <v>55</v>
      </c>
      <c r="CZ31" s="95" t="s">
        <v>269</v>
      </c>
      <c r="DA31" s="95">
        <v>350</v>
      </c>
      <c r="DB31" s="95" t="s">
        <v>268</v>
      </c>
      <c r="HD31" s="95" t="s">
        <v>61</v>
      </c>
      <c r="HE31" s="95">
        <v>26</v>
      </c>
    </row>
    <row r="32" spans="1:214" s="95" customFormat="1" x14ac:dyDescent="0.2">
      <c r="A32" s="95" t="s">
        <v>202</v>
      </c>
      <c r="B32" s="353">
        <f>PEF!J3</f>
        <v>36055860.959050171</v>
      </c>
      <c r="D32" s="95" t="s">
        <v>54</v>
      </c>
      <c r="E32" s="95">
        <v>350</v>
      </c>
      <c r="F32" s="95" t="s">
        <v>55</v>
      </c>
      <c r="G32" s="95" t="s">
        <v>88</v>
      </c>
      <c r="H32" s="95">
        <v>6</v>
      </c>
      <c r="J32" s="95" t="s">
        <v>78</v>
      </c>
      <c r="K32" s="95">
        <v>350</v>
      </c>
      <c r="L32" s="95" t="s">
        <v>55</v>
      </c>
      <c r="M32" s="95" t="s">
        <v>131</v>
      </c>
      <c r="N32" s="354">
        <f>B22</f>
        <v>5.0900000000000002E-7</v>
      </c>
      <c r="O32" s="95" t="s">
        <v>132</v>
      </c>
      <c r="P32" s="95" t="s">
        <v>131</v>
      </c>
      <c r="Q32" s="354">
        <f>B24</f>
        <v>1.46E-6</v>
      </c>
      <c r="R32" s="95" t="s">
        <v>132</v>
      </c>
      <c r="V32" s="95" t="s">
        <v>84</v>
      </c>
      <c r="W32" s="95">
        <v>8</v>
      </c>
      <c r="X32" s="95" t="s">
        <v>85</v>
      </c>
      <c r="Y32" s="95" t="s">
        <v>84</v>
      </c>
      <c r="Z32" s="95">
        <v>8</v>
      </c>
      <c r="AA32" s="95" t="s">
        <v>85</v>
      </c>
      <c r="AB32" s="95" t="s">
        <v>52</v>
      </c>
      <c r="AC32" s="354">
        <f>0.693/AC33</f>
        <v>2.3099999999999999E-2</v>
      </c>
      <c r="AD32" s="354">
        <f>0.693/AD33</f>
        <v>2.3099999999999999E-2</v>
      </c>
      <c r="AE32" s="354">
        <f>0.693/AE33</f>
        <v>2.3099999999999999E-2</v>
      </c>
      <c r="AF32" s="354">
        <f>0.693/AF33</f>
        <v>2.3099999999999999E-2</v>
      </c>
      <c r="AG32" s="354">
        <f>0.693/AG33</f>
        <v>2.3099999999999999E-2</v>
      </c>
      <c r="AI32" s="95" t="s">
        <v>131</v>
      </c>
      <c r="AJ32" s="354">
        <f>B22</f>
        <v>5.0900000000000002E-7</v>
      </c>
      <c r="AK32" s="95" t="s">
        <v>132</v>
      </c>
      <c r="AL32" s="95" t="s">
        <v>131</v>
      </c>
      <c r="AM32" s="354">
        <f>B24</f>
        <v>1.46E-6</v>
      </c>
      <c r="AN32" s="95" t="s">
        <v>132</v>
      </c>
      <c r="AR32" s="95" t="s">
        <v>131</v>
      </c>
      <c r="AS32" s="354">
        <f>B22</f>
        <v>5.0900000000000002E-7</v>
      </c>
      <c r="AT32" s="95" t="s">
        <v>132</v>
      </c>
      <c r="AU32" s="95" t="s">
        <v>131</v>
      </c>
      <c r="AV32" s="354">
        <f>B24</f>
        <v>1.46E-6</v>
      </c>
      <c r="AW32" s="95" t="s">
        <v>132</v>
      </c>
      <c r="BA32" s="95" t="s">
        <v>131</v>
      </c>
      <c r="BB32" s="354">
        <f>B22</f>
        <v>5.0900000000000002E-7</v>
      </c>
      <c r="BC32" s="95" t="s">
        <v>132</v>
      </c>
      <c r="BD32" s="95" t="s">
        <v>131</v>
      </c>
      <c r="BE32" s="354">
        <f>B24</f>
        <v>1.46E-6</v>
      </c>
      <c r="BF32" s="95" t="s">
        <v>132</v>
      </c>
      <c r="BJ32" s="95" t="s">
        <v>113</v>
      </c>
      <c r="BK32" s="354">
        <f>B12</f>
        <v>0.46500000000000002</v>
      </c>
      <c r="BM32" s="95" t="s">
        <v>113</v>
      </c>
      <c r="BN32" s="354">
        <f>B8</f>
        <v>0.72599999999999998</v>
      </c>
      <c r="BT32" s="354"/>
      <c r="BW32" s="95">
        <v>8760</v>
      </c>
      <c r="BX32" s="95" t="s">
        <v>258</v>
      </c>
      <c r="BY32" s="95" t="s">
        <v>113</v>
      </c>
      <c r="BZ32" s="354">
        <f>B3</f>
        <v>0.74199999999999999</v>
      </c>
      <c r="CT32" s="95" t="s">
        <v>78</v>
      </c>
      <c r="CU32" s="95">
        <v>350</v>
      </c>
      <c r="CV32" s="95" t="s">
        <v>55</v>
      </c>
      <c r="CZ32" s="95" t="s">
        <v>270</v>
      </c>
      <c r="DA32" s="95">
        <v>350</v>
      </c>
      <c r="DB32" s="95" t="s">
        <v>268</v>
      </c>
      <c r="DY32" s="406"/>
      <c r="HD32" s="95" t="s">
        <v>68</v>
      </c>
      <c r="HE32" s="354">
        <v>70</v>
      </c>
    </row>
    <row r="33" spans="1:214" s="95" customFormat="1" ht="13.15" customHeight="1" x14ac:dyDescent="0.2">
      <c r="A33" s="95" t="s">
        <v>448</v>
      </c>
      <c r="B33" s="353">
        <v>11000</v>
      </c>
      <c r="C33" s="95" t="s">
        <v>416</v>
      </c>
      <c r="D33" s="95" t="s">
        <v>415</v>
      </c>
      <c r="E33" s="354">
        <f>B28</f>
        <v>3.7400000000000001E-11</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B29</f>
        <v>30</v>
      </c>
      <c r="AD33" s="354">
        <f>B29</f>
        <v>30</v>
      </c>
      <c r="AE33" s="354">
        <f>B29</f>
        <v>30</v>
      </c>
      <c r="AF33" s="354">
        <f>B29</f>
        <v>30</v>
      </c>
      <c r="AG33" s="354">
        <f>B29</f>
        <v>30</v>
      </c>
      <c r="AH33" s="95" t="s">
        <v>129</v>
      </c>
      <c r="AI33" s="95" t="s">
        <v>151</v>
      </c>
      <c r="AJ33" s="95">
        <v>8</v>
      </c>
      <c r="AK33" s="95" t="s">
        <v>127</v>
      </c>
      <c r="AL33" s="95" t="s">
        <v>151</v>
      </c>
      <c r="AM33" s="95">
        <v>8</v>
      </c>
      <c r="AN33" s="95" t="s">
        <v>127</v>
      </c>
      <c r="AR33" s="95" t="s">
        <v>151</v>
      </c>
      <c r="AS33" s="95">
        <v>0</v>
      </c>
      <c r="AT33" s="95" t="s">
        <v>127</v>
      </c>
      <c r="AU33" s="95" t="s">
        <v>151</v>
      </c>
      <c r="AV33" s="95">
        <v>0</v>
      </c>
      <c r="AW33" s="95" t="s">
        <v>127</v>
      </c>
      <c r="BA33" s="95" t="s">
        <v>151</v>
      </c>
      <c r="BB33" s="95">
        <v>0</v>
      </c>
      <c r="BC33" s="95" t="s">
        <v>127</v>
      </c>
      <c r="BD33" s="95" t="s">
        <v>151</v>
      </c>
      <c r="BE33" s="95">
        <v>0</v>
      </c>
      <c r="BF33" s="95" t="s">
        <v>127</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246</v>
      </c>
      <c r="DA33" s="95">
        <v>6</v>
      </c>
      <c r="DB33" s="95" t="s">
        <v>129</v>
      </c>
      <c r="DY33" s="406"/>
      <c r="HD33" s="95" t="s">
        <v>428</v>
      </c>
      <c r="HE33" s="354">
        <f>1+((HE35*HE36*HE37)/(HE38*HE39))</f>
        <v>16.660043458695149</v>
      </c>
    </row>
    <row r="34" spans="1:214" s="95" customFormat="1" ht="13.15" customHeight="1" x14ac:dyDescent="0.2">
      <c r="A34" s="95" t="s">
        <v>203</v>
      </c>
      <c r="B34" s="353">
        <v>2000</v>
      </c>
      <c r="C34" s="95" t="s">
        <v>48</v>
      </c>
      <c r="D34" s="95" t="s">
        <v>68</v>
      </c>
      <c r="E34" s="95">
        <v>26</v>
      </c>
      <c r="F34" s="95" t="s">
        <v>129</v>
      </c>
      <c r="G34" s="95" t="s">
        <v>179</v>
      </c>
      <c r="H34" s="95">
        <v>0.54</v>
      </c>
      <c r="I34" s="95" t="s">
        <v>180</v>
      </c>
      <c r="J34" s="95" t="s">
        <v>106</v>
      </c>
      <c r="K34" s="95">
        <v>20</v>
      </c>
      <c r="L34" s="95" t="s">
        <v>129</v>
      </c>
      <c r="V34" s="95" t="s">
        <v>104</v>
      </c>
      <c r="W34" s="95">
        <v>55</v>
      </c>
      <c r="X34" s="95" t="s">
        <v>83</v>
      </c>
      <c r="Y34" s="95" t="s">
        <v>484</v>
      </c>
      <c r="Z34" s="95">
        <v>60</v>
      </c>
      <c r="AA34" s="95" t="s">
        <v>83</v>
      </c>
      <c r="AC34" s="95">
        <v>365</v>
      </c>
      <c r="AD34" s="95">
        <v>365</v>
      </c>
      <c r="AE34" s="95">
        <v>365</v>
      </c>
      <c r="AF34" s="95">
        <v>365</v>
      </c>
      <c r="AG34" s="95">
        <v>365</v>
      </c>
      <c r="AH34" s="95" t="s">
        <v>189</v>
      </c>
      <c r="BJ34" s="95" t="s">
        <v>131</v>
      </c>
      <c r="BK34" s="354">
        <f>B22</f>
        <v>5.0900000000000002E-7</v>
      </c>
      <c r="BL34" s="95" t="s">
        <v>132</v>
      </c>
      <c r="BM34" s="95" t="s">
        <v>131</v>
      </c>
      <c r="BN34" s="354">
        <f>B24</f>
        <v>1.46E-6</v>
      </c>
      <c r="BO34" s="95" t="s">
        <v>132</v>
      </c>
      <c r="BZ34" s="95">
        <v>365</v>
      </c>
      <c r="CA34" s="95" t="s">
        <v>189</v>
      </c>
      <c r="CH34" s="483" t="s">
        <v>430</v>
      </c>
      <c r="CI34" s="483"/>
      <c r="CJ34" s="483"/>
      <c r="CK34" s="483"/>
      <c r="CL34" s="483"/>
      <c r="CT34" s="95" t="s">
        <v>106</v>
      </c>
      <c r="CU34" s="95">
        <v>34</v>
      </c>
      <c r="CV34" s="95" t="s">
        <v>129</v>
      </c>
      <c r="CZ34" s="95" t="s">
        <v>247</v>
      </c>
      <c r="DA34" s="95">
        <v>34</v>
      </c>
      <c r="DB34" s="95" t="s">
        <v>129</v>
      </c>
      <c r="DS34" s="354"/>
      <c r="DY34" s="406"/>
      <c r="EH34" s="354"/>
      <c r="HD34" s="95" t="s">
        <v>183</v>
      </c>
      <c r="HE34" s="95">
        <v>8.1999999999999993</v>
      </c>
    </row>
    <row r="35" spans="1:214" s="95" customFormat="1" ht="13.15" customHeight="1" x14ac:dyDescent="0.2">
      <c r="A35" s="95" t="s">
        <v>458</v>
      </c>
      <c r="B35" s="353">
        <v>8.0000000000000002E-3</v>
      </c>
      <c r="D35" s="95" t="s">
        <v>178</v>
      </c>
      <c r="E35" s="95">
        <f>B55</f>
        <v>28.5</v>
      </c>
      <c r="F35" s="95" t="s">
        <v>96</v>
      </c>
      <c r="G35" s="95" t="s">
        <v>181</v>
      </c>
      <c r="H35" s="95">
        <v>0.71</v>
      </c>
      <c r="I35" s="95" t="s">
        <v>180</v>
      </c>
      <c r="J35" s="95" t="s">
        <v>88</v>
      </c>
      <c r="K35" s="95">
        <v>6</v>
      </c>
      <c r="L35" s="95" t="s">
        <v>129</v>
      </c>
      <c r="M35" s="407"/>
      <c r="N35" s="407"/>
      <c r="O35" s="407"/>
      <c r="P35" s="407"/>
      <c r="Q35" s="407"/>
      <c r="R35" s="407"/>
      <c r="V35" s="95" t="s">
        <v>115</v>
      </c>
      <c r="W35" s="354">
        <f>B26</f>
        <v>2.3899999999999998E-9</v>
      </c>
      <c r="X35" s="95" t="s">
        <v>116</v>
      </c>
      <c r="Y35" s="95" t="s">
        <v>115</v>
      </c>
      <c r="Z35" s="354">
        <f>B26</f>
        <v>2.3899999999999998E-9</v>
      </c>
      <c r="AA35" s="95" t="s">
        <v>116</v>
      </c>
      <c r="AB35" s="95" t="s">
        <v>38</v>
      </c>
      <c r="AC35" s="95">
        <f>(AC31*AC32)/(1-EXP(-AC32*AC31))</f>
        <v>1.2487240443854486</v>
      </c>
      <c r="AD35" s="95">
        <f>(AD31*AD32)/(1-EXP(-AD32*AD31))</f>
        <v>1.3163889228973786</v>
      </c>
      <c r="AE35" s="95">
        <f>(AE31*AE32)/(1-EXP(-AE32*AE31))</f>
        <v>1.3163889228973786</v>
      </c>
      <c r="AF35" s="95">
        <f>(AF31*AF32)/(1-EXP(-AF32*AF31))</f>
        <v>1.0115944671045347</v>
      </c>
      <c r="AG35" s="95">
        <f>(AG31*AG32)/(1-EXP(-AG32*AG31))</f>
        <v>1.0115944671045347</v>
      </c>
      <c r="BT35" s="354"/>
      <c r="BZ35" s="95">
        <v>1000</v>
      </c>
      <c r="CA35" s="95" t="s">
        <v>195</v>
      </c>
      <c r="CH35" s="483"/>
      <c r="CI35" s="483"/>
      <c r="CJ35" s="483"/>
      <c r="CK35" s="483"/>
      <c r="CL35" s="483"/>
      <c r="CT35" s="95" t="s">
        <v>88</v>
      </c>
      <c r="CU35" s="95">
        <v>6</v>
      </c>
      <c r="CV35" s="95" t="s">
        <v>129</v>
      </c>
      <c r="CZ35" s="95" t="s">
        <v>248</v>
      </c>
      <c r="DA35" s="95">
        <v>40</v>
      </c>
      <c r="DB35" s="95" t="s">
        <v>129</v>
      </c>
      <c r="DS35" s="354"/>
      <c r="DY35" s="406"/>
      <c r="EH35" s="354"/>
      <c r="HD35" s="95" t="s">
        <v>145</v>
      </c>
      <c r="HE35" s="408">
        <v>5</v>
      </c>
      <c r="HF35" s="95" t="s">
        <v>186</v>
      </c>
    </row>
    <row r="36" spans="1:214" s="95" customFormat="1" ht="13.15" customHeight="1" thickBot="1" x14ac:dyDescent="0.25">
      <c r="A36" s="95" t="s">
        <v>455</v>
      </c>
      <c r="B36" s="353">
        <v>0.03</v>
      </c>
      <c r="D36" s="95" t="s">
        <v>142</v>
      </c>
      <c r="E36" s="354">
        <f>E31/(E33*E32*E34*E35)</f>
        <v>0.10309607832827648</v>
      </c>
      <c r="F36" s="95" t="s">
        <v>23</v>
      </c>
      <c r="G36" s="95" t="s">
        <v>184</v>
      </c>
      <c r="H36" s="95">
        <v>24</v>
      </c>
      <c r="I36" s="95" t="s">
        <v>85</v>
      </c>
      <c r="J36" s="95" t="s">
        <v>259</v>
      </c>
      <c r="K36" s="95">
        <v>24</v>
      </c>
      <c r="L36" s="95" t="s">
        <v>85</v>
      </c>
      <c r="M36" s="407"/>
      <c r="N36" s="407"/>
      <c r="O36" s="407"/>
      <c r="P36" s="407"/>
      <c r="Q36" s="407"/>
      <c r="R36" s="407"/>
      <c r="V36" s="95" t="s">
        <v>414</v>
      </c>
      <c r="W36" s="354">
        <f>B2</f>
        <v>8.5099999999999995E-2</v>
      </c>
      <c r="Y36" s="95" t="s">
        <v>414</v>
      </c>
      <c r="Z36" s="354">
        <f>B2</f>
        <v>8.5099999999999995E-2</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446</v>
      </c>
      <c r="DA36" s="95">
        <v>24</v>
      </c>
      <c r="DB36" s="95" t="s">
        <v>85</v>
      </c>
      <c r="DS36" s="354"/>
      <c r="DY36" s="409"/>
      <c r="EH36" s="354"/>
      <c r="HD36" s="95" t="s">
        <v>187</v>
      </c>
      <c r="HE36" s="408">
        <v>5</v>
      </c>
      <c r="HF36" s="95" t="s">
        <v>188</v>
      </c>
    </row>
    <row r="37" spans="1:214" s="95" customFormat="1" ht="13.5" thickBot="1" x14ac:dyDescent="0.25">
      <c r="A37" s="95" t="s">
        <v>456</v>
      </c>
      <c r="B37" s="353">
        <v>10</v>
      </c>
      <c r="G37" s="95" t="s">
        <v>184</v>
      </c>
      <c r="H37" s="95">
        <v>24</v>
      </c>
      <c r="I37" s="95" t="s">
        <v>85</v>
      </c>
      <c r="J37" s="95" t="s">
        <v>260</v>
      </c>
      <c r="K37" s="95">
        <v>24</v>
      </c>
      <c r="L37" s="95" t="s">
        <v>85</v>
      </c>
      <c r="V37" s="374" t="s">
        <v>134</v>
      </c>
      <c r="W37" s="375">
        <f>W26/((W32/W33)*W29*W30*W31*W34)</f>
        <v>1.4103543515308221</v>
      </c>
      <c r="X37" s="376" t="s">
        <v>37</v>
      </c>
      <c r="Y37" s="376" t="s">
        <v>134</v>
      </c>
      <c r="Z37" s="375">
        <f>(Z26*Z45*Z27)/((1-EXP(-Z27*Z45))*Z31*Z29*Z30*(Z32/Z33)*Z36*Z34)</f>
        <v>199.78363904147068</v>
      </c>
      <c r="AA37" s="377" t="s">
        <v>38</v>
      </c>
      <c r="AB37" s="374" t="s">
        <v>142</v>
      </c>
      <c r="AC37" s="375">
        <f>(AC5/(AC8*AC16*AC7*AC11*(1/AC6)))*AC35</f>
        <v>179.05420768360318</v>
      </c>
      <c r="AD37" s="375">
        <f>(AD5/(AD8*AD16*AD7*AD11*(1/AD6)))*AD35</f>
        <v>255.5474735059216</v>
      </c>
      <c r="AE37" s="375">
        <f>(AE5/(AE8*AE16*AE7*AE11*(1/AE6)))*AE35</f>
        <v>127.7737367529608</v>
      </c>
      <c r="AF37" s="410">
        <f>(AF5/(AF8*AF16*AF7*AF11*(1/AF6)))*AF35</f>
        <v>743.85774790212349</v>
      </c>
      <c r="AG37" s="354">
        <f>(AG5/(AG8*AG16*AG7*AG11*(1/AG6)))*AG35</f>
        <v>743.85774790212349</v>
      </c>
      <c r="BK37" s="483"/>
      <c r="BL37" s="483"/>
      <c r="BM37" s="483"/>
      <c r="BN37" s="483"/>
      <c r="BO37" s="483"/>
      <c r="CH37" s="483"/>
      <c r="CI37" s="483"/>
      <c r="CJ37" s="483"/>
      <c r="CK37" s="483"/>
      <c r="CL37" s="483"/>
      <c r="CT37" s="95" t="s">
        <v>260</v>
      </c>
      <c r="CU37" s="95">
        <v>24</v>
      </c>
      <c r="CV37" s="95" t="s">
        <v>85</v>
      </c>
      <c r="CZ37" s="95" t="s">
        <v>447</v>
      </c>
      <c r="DA37" s="95">
        <v>24</v>
      </c>
      <c r="DB37" s="95" t="s">
        <v>85</v>
      </c>
      <c r="DS37" s="354"/>
      <c r="DY37" s="406"/>
      <c r="EH37" s="354"/>
      <c r="HD37" s="95" t="s">
        <v>191</v>
      </c>
      <c r="HE37" s="408">
        <f>(0.0112*HE39*HE39)^0.5+HE40*(1-EXP((-HE38*HE39)/(HE35*HE36*HE40)))</f>
        <v>6.2013772096432787</v>
      </c>
      <c r="HF37" s="95" t="s">
        <v>192</v>
      </c>
    </row>
    <row r="38" spans="1:214" s="95" customFormat="1" ht="14.25" thickTop="1" thickBot="1" x14ac:dyDescent="0.25">
      <c r="A38" s="95" t="s">
        <v>349</v>
      </c>
      <c r="B38" s="353">
        <v>0.4</v>
      </c>
      <c r="D38" s="19" t="s">
        <v>3</v>
      </c>
      <c r="E38" s="19"/>
      <c r="F38" s="20" t="s">
        <v>15</v>
      </c>
      <c r="G38" s="95" t="s">
        <v>167</v>
      </c>
      <c r="H38" s="95">
        <v>1</v>
      </c>
      <c r="I38" s="95" t="s">
        <v>168</v>
      </c>
      <c r="J38" s="95" t="s">
        <v>399</v>
      </c>
      <c r="K38" s="95">
        <v>0.25</v>
      </c>
      <c r="V38" s="383" t="s">
        <v>139</v>
      </c>
      <c r="W38" s="384">
        <f>(W26)/((W32/W33)*W29*W30*W35*(1/365)*W36)</f>
        <v>1656.5452257648003</v>
      </c>
      <c r="X38" s="385" t="s">
        <v>37</v>
      </c>
      <c r="Y38" s="385" t="s">
        <v>139</v>
      </c>
      <c r="Z38" s="384">
        <f>(Z26*Z30*Z27)/((1-EXP(-Z27*Z30))*Z35*Z29*Z43*(Z32/Z33)*Z36*(Z43/Z44))</f>
        <v>21784.775803597357</v>
      </c>
      <c r="AA38" s="386" t="s">
        <v>38</v>
      </c>
      <c r="AB38" s="411" t="s">
        <v>134</v>
      </c>
      <c r="AC38" s="354">
        <f>(AC5/(AC24*AC20*AC7*(AC29/24)*AC11*(1/AC40)*AC36))*AC35</f>
        <v>3112200.6944481884</v>
      </c>
      <c r="AD38" s="354">
        <f>(AD5/(AD24*AD20*AD7*(AD29/24)*AD11*(1/AD40)*AD36))*AD35</f>
        <v>2523724.7563133817</v>
      </c>
      <c r="AE38" s="354">
        <f>(AE5/(AE24*AE20*AE7*(AE29/24)*AE11*(1/AE40)*AE36))*AE35</f>
        <v>2313414.3599539339</v>
      </c>
      <c r="AF38" s="413">
        <f>(AF5*AF31*AF32)/((1-EXP(-AF32*AF31))*AF9*AF7*AF11*(AF14/24)*AF20*(1/AF41)*AF36)</f>
        <v>25295.800452025294</v>
      </c>
      <c r="AG38" s="354">
        <f>(AG5*AG31*AG32)/((1-EXP(-AG32*AG31))*AG9*AG7*AG15*(AG14/24)*AG20*(1/AG42)*AG36)</f>
        <v>1178859.3876168572</v>
      </c>
      <c r="BK38" s="483"/>
      <c r="BL38" s="483"/>
      <c r="BM38" s="483"/>
      <c r="BN38" s="483"/>
      <c r="BO38" s="483"/>
      <c r="CT38" s="95" t="s">
        <v>420</v>
      </c>
      <c r="CU38" s="95">
        <v>1</v>
      </c>
      <c r="CZ38" s="95" t="s">
        <v>167</v>
      </c>
      <c r="DA38" s="95">
        <v>1</v>
      </c>
      <c r="DB38" s="95" t="s">
        <v>271</v>
      </c>
      <c r="DY38" s="406"/>
      <c r="HD38" s="95" t="s">
        <v>194</v>
      </c>
      <c r="HE38" s="408">
        <v>0.18</v>
      </c>
      <c r="HF38" s="95" t="s">
        <v>186</v>
      </c>
    </row>
    <row r="39" spans="1:214" s="95" customFormat="1" ht="13.5" thickBot="1" x14ac:dyDescent="0.25">
      <c r="A39" s="95" t="s">
        <v>457</v>
      </c>
      <c r="B39" s="353">
        <v>0.24</v>
      </c>
      <c r="D39" s="101" t="s">
        <v>166</v>
      </c>
      <c r="E39" s="101" t="s">
        <v>17</v>
      </c>
      <c r="F39" s="102" t="s">
        <v>25</v>
      </c>
      <c r="G39" s="95" t="s">
        <v>169</v>
      </c>
      <c r="H39" s="95">
        <v>1</v>
      </c>
      <c r="I39" s="95" t="s">
        <v>168</v>
      </c>
      <c r="J39" s="95" t="s">
        <v>171</v>
      </c>
      <c r="K39" s="95">
        <v>1.752</v>
      </c>
      <c r="L39" s="95" t="s">
        <v>127</v>
      </c>
      <c r="V39" s="374" t="s">
        <v>134</v>
      </c>
      <c r="W39" s="375">
        <f>(W26*W27*W30)/((W32/W33)*(1-EXP(-W27*W30))*W31*W34*W29*W30)</f>
        <v>1.8565748457152897</v>
      </c>
      <c r="X39" s="376" t="s">
        <v>38</v>
      </c>
      <c r="Y39" s="376" t="s">
        <v>134</v>
      </c>
      <c r="Z39" s="375">
        <f>Z26/((Z31*Z29*Z43*(Z32/Z33)*Z34))</f>
        <v>16.806722689075631</v>
      </c>
      <c r="AA39" s="377" t="s">
        <v>37</v>
      </c>
      <c r="AB39" s="385" t="s">
        <v>197</v>
      </c>
      <c r="AC39" s="384">
        <f>(AC5/(AC23*AC22*(AC29/24)*AC19*AC7*(1/AC34)*AC11))*AC35</f>
        <v>3.4101493741398512</v>
      </c>
      <c r="AD39" s="384">
        <f>(AD5/(AD23*AD22*(AD29/24)*AD21*AD7*(1/AD34)*AD11))*AD35</f>
        <v>0.58832508214927737</v>
      </c>
      <c r="AE39" s="384">
        <f>(AE5/(AE23*AE22*(AE29/24)*AE19*AE7*(1/AE34)*AE11))*AE35</f>
        <v>2.7653352862480722</v>
      </c>
      <c r="AF39" s="414">
        <f>(AF5*AF31*AF32)/((1-EXP(-AF32*AF31))*AF10*AF7*(1/365)*AF15*(AF14/24)*AF19*AF22)</f>
        <v>53.126356250028252</v>
      </c>
      <c r="AG39" s="354">
        <f>(AG5*AG31*AG32)/((1-EXP(-AG32*AG31))*AG10*AG7*AG15*(AG14/24)*AG19*AG22*(1/365))</f>
        <v>53.126356250028245</v>
      </c>
      <c r="BK39" s="483"/>
      <c r="BL39" s="483"/>
      <c r="BM39" s="483"/>
      <c r="BN39" s="483"/>
      <c r="BO39" s="483"/>
      <c r="BT39" s="404"/>
      <c r="BU39" s="355"/>
      <c r="CT39" s="95" t="s">
        <v>171</v>
      </c>
      <c r="CU39" s="95">
        <v>12.167999999999999</v>
      </c>
      <c r="CV39" s="95" t="s">
        <v>127</v>
      </c>
      <c r="CZ39" s="95" t="s">
        <v>169</v>
      </c>
      <c r="DA39" s="95">
        <v>1</v>
      </c>
      <c r="DB39" s="95" t="s">
        <v>271</v>
      </c>
      <c r="DY39" s="406"/>
      <c r="HD39" s="95" t="s">
        <v>196</v>
      </c>
      <c r="HE39" s="408">
        <v>55</v>
      </c>
      <c r="HF39" s="95" t="s">
        <v>192</v>
      </c>
    </row>
    <row r="40" spans="1:214" s="95" customFormat="1" ht="15" customHeight="1" thickBot="1" x14ac:dyDescent="0.25">
      <c r="A40" s="95" t="s">
        <v>433</v>
      </c>
      <c r="B40" s="353">
        <f>B36</f>
        <v>0.03</v>
      </c>
      <c r="D40" s="101" t="s">
        <v>193</v>
      </c>
      <c r="E40" s="403">
        <f>E50</f>
        <v>5.1548039164138242E-2</v>
      </c>
      <c r="F40" s="184"/>
      <c r="H40" s="95">
        <f>1/1000</f>
        <v>1E-3</v>
      </c>
      <c r="I40" s="95" t="s">
        <v>170</v>
      </c>
      <c r="J40" s="95" t="s">
        <v>174</v>
      </c>
      <c r="K40" s="95">
        <v>16.416</v>
      </c>
      <c r="L40" s="95" t="s">
        <v>127</v>
      </c>
      <c r="V40" s="383" t="s">
        <v>139</v>
      </c>
      <c r="W40" s="384">
        <f>(W26*W30*W27)/((1-EXP(-W27*W30))*W35*W29*(1/365)*W30*(W32/W33)*W36)</f>
        <v>2180.6577854753205</v>
      </c>
      <c r="X40" s="385" t="s">
        <v>38</v>
      </c>
      <c r="Y40" s="385" t="s">
        <v>139</v>
      </c>
      <c r="Z40" s="384">
        <f>Z26/(Z35*Z29*(1/Z44)*Z43*(Z32/Z33)*Z36)</f>
        <v>21535.087934942403</v>
      </c>
      <c r="AA40" s="386" t="s">
        <v>37</v>
      </c>
      <c r="AB40" s="95" t="s">
        <v>164</v>
      </c>
      <c r="AC40" s="354">
        <f>B30</f>
        <v>1359344473.5814338</v>
      </c>
      <c r="AD40" s="354">
        <f>B30</f>
        <v>1359344473.5814338</v>
      </c>
      <c r="AE40" s="354">
        <f>B30</f>
        <v>1359344473.5814338</v>
      </c>
      <c r="AG40" s="354">
        <f>(AG5/(AG23*AG22*(AG28+AG29*AG21)*AG7*(1/AG34)*AG11))*AG35</f>
        <v>3.2293235120552874</v>
      </c>
      <c r="BT40" s="404"/>
      <c r="BU40" s="355"/>
      <c r="CT40" s="95" t="s">
        <v>174</v>
      </c>
      <c r="CU40" s="95">
        <v>10.007999999999999</v>
      </c>
      <c r="CV40" s="95" t="s">
        <v>127</v>
      </c>
      <c r="CZ40" s="95" t="s">
        <v>272</v>
      </c>
      <c r="DA40" s="95">
        <v>0.54</v>
      </c>
      <c r="DB40" s="95" t="s">
        <v>274</v>
      </c>
      <c r="DY40" s="406"/>
      <c r="HD40" s="95" t="s">
        <v>198</v>
      </c>
      <c r="HE40" s="408">
        <v>5</v>
      </c>
      <c r="HF40" s="95" t="s">
        <v>192</v>
      </c>
    </row>
    <row r="41" spans="1:214" s="95" customFormat="1" ht="15" thickBot="1" x14ac:dyDescent="0.25">
      <c r="A41" s="95" t="s">
        <v>432</v>
      </c>
      <c r="B41" s="353">
        <f>B37</f>
        <v>10</v>
      </c>
      <c r="D41" s="433" t="s">
        <v>10</v>
      </c>
      <c r="E41" s="256" t="s">
        <v>34</v>
      </c>
      <c r="F41" s="257"/>
      <c r="H41" s="95">
        <v>1000</v>
      </c>
      <c r="I41" s="95" t="s">
        <v>173</v>
      </c>
      <c r="J41" s="95" t="s">
        <v>177</v>
      </c>
      <c r="K41" s="95">
        <v>0.4</v>
      </c>
      <c r="Y41" s="95" t="s">
        <v>411</v>
      </c>
      <c r="Z41" s="95">
        <v>50</v>
      </c>
      <c r="AA41" s="95" t="s">
        <v>211</v>
      </c>
      <c r="AB41" s="415" t="s">
        <v>201</v>
      </c>
      <c r="AF41" s="416">
        <f>B31</f>
        <v>773681.6396651821</v>
      </c>
      <c r="AH41" s="415" t="s">
        <v>165</v>
      </c>
      <c r="BT41" s="354"/>
      <c r="CT41" s="95" t="s">
        <v>177</v>
      </c>
      <c r="CU41" s="95">
        <v>0.4</v>
      </c>
      <c r="CZ41" s="95" t="s">
        <v>273</v>
      </c>
      <c r="DA41" s="95">
        <v>0.71</v>
      </c>
      <c r="DB41" s="95" t="s">
        <v>274</v>
      </c>
      <c r="DY41" s="406"/>
      <c r="HD41" s="95" t="s">
        <v>199</v>
      </c>
      <c r="HE41" s="408">
        <v>5</v>
      </c>
      <c r="HF41" s="95" t="s">
        <v>192</v>
      </c>
    </row>
    <row r="42" spans="1:214" s="95" customFormat="1" ht="13.9" customHeight="1" thickTop="1" x14ac:dyDescent="0.2">
      <c r="A42" s="95" t="s">
        <v>66</v>
      </c>
      <c r="B42" s="353">
        <v>0.04</v>
      </c>
      <c r="D42" s="95" t="s">
        <v>46</v>
      </c>
      <c r="E42" s="354">
        <v>9.9999999999999995E-7</v>
      </c>
      <c r="H42" s="95">
        <v>1000</v>
      </c>
      <c r="I42" s="95" t="s">
        <v>408</v>
      </c>
      <c r="J42" s="95" t="s">
        <v>242</v>
      </c>
      <c r="K42" s="95">
        <v>0.4</v>
      </c>
      <c r="Y42" s="95" t="s">
        <v>410</v>
      </c>
      <c r="Z42" s="95">
        <v>5</v>
      </c>
      <c r="AA42" s="95" t="s">
        <v>327</v>
      </c>
      <c r="AB42" s="415" t="s">
        <v>202</v>
      </c>
      <c r="AF42" s="415"/>
      <c r="AG42" s="416">
        <f>B32</f>
        <v>36055860.959050171</v>
      </c>
      <c r="AH42" s="415"/>
      <c r="AI42" s="415"/>
      <c r="AJ42" s="415"/>
      <c r="AK42" s="415"/>
      <c r="CT42" s="95" t="s">
        <v>242</v>
      </c>
      <c r="CU42" s="95">
        <v>0.4</v>
      </c>
      <c r="DA42" s="95">
        <v>365</v>
      </c>
      <c r="DB42" s="95" t="s">
        <v>268</v>
      </c>
    </row>
    <row r="43" spans="1:214" s="95" customFormat="1" ht="13.15" customHeight="1" x14ac:dyDescent="0.2">
      <c r="A43" s="95" t="s">
        <v>67</v>
      </c>
      <c r="B43" s="353">
        <v>0.2</v>
      </c>
      <c r="D43" s="95" t="s">
        <v>54</v>
      </c>
      <c r="E43" s="95">
        <v>350</v>
      </c>
      <c r="F43" s="95" t="s">
        <v>55</v>
      </c>
      <c r="G43" s="95" t="s">
        <v>399</v>
      </c>
      <c r="H43" s="95">
        <v>0.25</v>
      </c>
      <c r="J43" s="95" t="s">
        <v>243</v>
      </c>
      <c r="K43" s="354">
        <f>B2</f>
        <v>8.5099999999999995E-2</v>
      </c>
      <c r="Y43" s="95" t="s">
        <v>328</v>
      </c>
      <c r="Z43" s="95">
        <v>1</v>
      </c>
      <c r="AA43" s="95" t="s">
        <v>276</v>
      </c>
      <c r="AF43" s="483" t="s">
        <v>429</v>
      </c>
      <c r="AG43" s="483"/>
      <c r="AH43" s="483"/>
      <c r="AI43" s="415"/>
      <c r="AJ43" s="415"/>
      <c r="AK43" s="415"/>
      <c r="BT43" s="354"/>
      <c r="CT43" s="95" t="s">
        <v>243</v>
      </c>
      <c r="CU43" s="354">
        <f>B2</f>
        <v>8.5099999999999995E-2</v>
      </c>
      <c r="CZ43" s="95" t="s">
        <v>145</v>
      </c>
      <c r="DA43" s="95">
        <v>0.5</v>
      </c>
      <c r="DB43" s="95" t="s">
        <v>275</v>
      </c>
    </row>
    <row r="44" spans="1:214" s="95" customFormat="1" x14ac:dyDescent="0.2">
      <c r="D44" s="95" t="s">
        <v>415</v>
      </c>
      <c r="E44" s="354">
        <f>B28</f>
        <v>3.7400000000000001E-11</v>
      </c>
      <c r="F44" s="95" t="s">
        <v>176</v>
      </c>
      <c r="H44" s="95">
        <v>365</v>
      </c>
      <c r="I44" s="95" t="s">
        <v>55</v>
      </c>
      <c r="J44" s="95" t="s">
        <v>113</v>
      </c>
      <c r="K44" s="354">
        <f>B3</f>
        <v>0.74199999999999999</v>
      </c>
      <c r="Z44" s="95">
        <v>365</v>
      </c>
      <c r="AA44" s="95" t="s">
        <v>161</v>
      </c>
      <c r="AF44" s="483"/>
      <c r="AG44" s="483"/>
      <c r="AH44" s="483"/>
      <c r="CT44" s="95" t="s">
        <v>113</v>
      </c>
      <c r="CU44" s="354">
        <f>B3</f>
        <v>0.74199999999999999</v>
      </c>
      <c r="DA44" s="95">
        <v>1</v>
      </c>
      <c r="DB44" s="95" t="s">
        <v>276</v>
      </c>
    </row>
    <row r="45" spans="1:214" s="95" customFormat="1" ht="12.75" customHeight="1" x14ac:dyDescent="0.2">
      <c r="A45" s="95" t="s">
        <v>93</v>
      </c>
      <c r="B45" s="397">
        <v>10</v>
      </c>
      <c r="C45" s="95" t="s">
        <v>83</v>
      </c>
      <c r="D45" s="95" t="s">
        <v>68</v>
      </c>
      <c r="E45" s="95">
        <v>26</v>
      </c>
      <c r="F45" s="95" t="s">
        <v>129</v>
      </c>
      <c r="H45" s="95">
        <v>8760</v>
      </c>
      <c r="I45" s="95" t="s">
        <v>258</v>
      </c>
      <c r="J45" s="95" t="s">
        <v>185</v>
      </c>
      <c r="K45" s="95">
        <v>26</v>
      </c>
      <c r="L45" s="95" t="s">
        <v>94</v>
      </c>
      <c r="Y45" s="95" t="s">
        <v>483</v>
      </c>
      <c r="Z45" s="95">
        <v>1</v>
      </c>
      <c r="AA45" s="95" t="s">
        <v>276</v>
      </c>
      <c r="AB45" s="415"/>
      <c r="AC45" s="415"/>
      <c r="AF45" s="483"/>
      <c r="AG45" s="483"/>
      <c r="AH45" s="483"/>
      <c r="AI45" s="415"/>
      <c r="AJ45" s="415"/>
      <c r="AK45" s="415"/>
      <c r="CT45" s="95" t="s">
        <v>329</v>
      </c>
      <c r="CU45" s="95">
        <v>40</v>
      </c>
      <c r="CV45" s="95" t="s">
        <v>94</v>
      </c>
      <c r="DA45" s="95">
        <v>8760</v>
      </c>
      <c r="DB45" s="95" t="s">
        <v>258</v>
      </c>
    </row>
    <row r="46" spans="1:214" s="95" customFormat="1" x14ac:dyDescent="0.2">
      <c r="A46" s="95" t="s">
        <v>103</v>
      </c>
      <c r="B46" s="397">
        <v>20</v>
      </c>
      <c r="C46" s="95" t="s">
        <v>83</v>
      </c>
      <c r="D46" s="95" t="s">
        <v>178</v>
      </c>
      <c r="E46" s="95">
        <f>B55</f>
        <v>28.5</v>
      </c>
      <c r="F46" s="95" t="s">
        <v>96</v>
      </c>
      <c r="G46" s="95" t="s">
        <v>49</v>
      </c>
      <c r="H46" s="95">
        <f>H48</f>
        <v>0.03</v>
      </c>
      <c r="K46" s="95">
        <v>365</v>
      </c>
      <c r="L46" s="95" t="s">
        <v>189</v>
      </c>
      <c r="AB46" s="415"/>
      <c r="AC46" s="417"/>
      <c r="AI46" s="415"/>
      <c r="AJ46" s="415"/>
      <c r="AK46" s="415"/>
      <c r="CU46" s="95">
        <v>365</v>
      </c>
      <c r="CV46" s="95" t="s">
        <v>189</v>
      </c>
      <c r="DA46" s="95">
        <v>1000</v>
      </c>
      <c r="DB46" s="95" t="s">
        <v>195</v>
      </c>
    </row>
    <row r="47" spans="1:214" s="95" customFormat="1" x14ac:dyDescent="0.2">
      <c r="A47" s="95" t="s">
        <v>104</v>
      </c>
      <c r="B47" s="397">
        <v>60</v>
      </c>
      <c r="C47" s="95" t="s">
        <v>83</v>
      </c>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row>
    <row r="48" spans="1:214" s="95" customFormat="1" x14ac:dyDescent="0.2">
      <c r="A48" s="95" t="s">
        <v>117</v>
      </c>
      <c r="B48" s="397">
        <v>200</v>
      </c>
      <c r="C48" s="95" t="s">
        <v>96</v>
      </c>
      <c r="D48" s="95" t="s">
        <v>203</v>
      </c>
      <c r="E48" s="95">
        <f>B34</f>
        <v>2000</v>
      </c>
      <c r="F48" s="95" t="s">
        <v>48</v>
      </c>
      <c r="G48" s="95" t="s">
        <v>66</v>
      </c>
      <c r="H48" s="95">
        <f>B40</f>
        <v>0.03</v>
      </c>
      <c r="K48" s="95">
        <v>1000</v>
      </c>
      <c r="L48" s="95" t="s">
        <v>53</v>
      </c>
      <c r="W48" s="404"/>
      <c r="X48" s="355"/>
      <c r="Y48" s="355"/>
      <c r="Z48" s="355"/>
      <c r="AA48" s="355"/>
      <c r="AB48" s="415"/>
      <c r="AC48" s="415"/>
      <c r="AF48" s="418"/>
      <c r="AG48" s="415"/>
      <c r="AH48" s="415"/>
      <c r="AI48" s="415"/>
      <c r="AJ48" s="415"/>
      <c r="AK48" s="415"/>
      <c r="CU48" s="95">
        <v>1000</v>
      </c>
      <c r="CV48" s="95" t="s">
        <v>53</v>
      </c>
    </row>
    <row r="49" spans="1:105" s="95" customFormat="1" x14ac:dyDescent="0.2">
      <c r="A49" s="95" t="s">
        <v>140</v>
      </c>
      <c r="B49" s="397">
        <v>100</v>
      </c>
      <c r="C49" s="95" t="s">
        <v>96</v>
      </c>
      <c r="D49" s="95" t="s">
        <v>205</v>
      </c>
      <c r="E49" s="95">
        <v>1</v>
      </c>
      <c r="F49" s="95" t="s">
        <v>206</v>
      </c>
      <c r="G49" s="95" t="s">
        <v>73</v>
      </c>
      <c r="H49" s="95">
        <v>0.26</v>
      </c>
      <c r="J49" s="95" t="s">
        <v>49</v>
      </c>
      <c r="K49" s="95">
        <f>K51</f>
        <v>0.04</v>
      </c>
      <c r="W49" s="354"/>
      <c r="AB49" s="415"/>
      <c r="AC49" s="415"/>
      <c r="AF49" s="418"/>
      <c r="AG49" s="415"/>
      <c r="AH49" s="415"/>
      <c r="AI49" s="415"/>
      <c r="AJ49" s="415"/>
      <c r="AK49" s="415"/>
      <c r="BT49" s="354"/>
    </row>
    <row r="50" spans="1:105" s="95" customFormat="1" x14ac:dyDescent="0.2">
      <c r="A50" s="95" t="s">
        <v>451</v>
      </c>
      <c r="B50" s="397">
        <v>0.78</v>
      </c>
      <c r="D50" s="95" t="s">
        <v>142</v>
      </c>
      <c r="E50" s="354">
        <f>E42/(E44*E43*E45*E46*E48*E49*(1/E47))</f>
        <v>5.1548039164138242E-2</v>
      </c>
      <c r="G50" s="95" t="s">
        <v>47</v>
      </c>
      <c r="H50" s="354">
        <f>(H53*H54*H55*((1-EXP(-H56*H57))))/(H58*H56)</f>
        <v>1.0503822937671079</v>
      </c>
      <c r="I50" s="95" t="s">
        <v>48</v>
      </c>
      <c r="J50" s="95" t="s">
        <v>57</v>
      </c>
      <c r="K50" s="95">
        <f>K52</f>
        <v>0.26</v>
      </c>
      <c r="W50" s="354"/>
      <c r="AB50" s="415"/>
      <c r="AC50" s="415"/>
      <c r="AF50" s="418"/>
      <c r="AG50" s="415"/>
      <c r="AH50" s="415"/>
      <c r="AI50" s="415"/>
      <c r="AJ50" s="415"/>
      <c r="AK50" s="415"/>
      <c r="BW50" s="354"/>
    </row>
    <row r="51" spans="1:105" s="95" customFormat="1" x14ac:dyDescent="0.2">
      <c r="A51" s="95" t="s">
        <v>452</v>
      </c>
      <c r="B51" s="397">
        <v>2.5</v>
      </c>
      <c r="G51" s="95" t="s">
        <v>56</v>
      </c>
      <c r="H51" s="354">
        <f>(H53*H54*H59*((1-EXP(-H56*H57))))/(H58*H56)</f>
        <v>6.8274849094862002</v>
      </c>
      <c r="I51" s="95" t="s">
        <v>48</v>
      </c>
      <c r="J51" s="95" t="s">
        <v>66</v>
      </c>
      <c r="K51" s="354">
        <f>B42</f>
        <v>0.04</v>
      </c>
      <c r="AB51" s="415"/>
      <c r="AC51" s="415"/>
      <c r="AF51" s="418"/>
      <c r="AG51" s="415"/>
      <c r="BW51" s="354"/>
    </row>
    <row r="52" spans="1:105" s="95" customFormat="1" x14ac:dyDescent="0.2">
      <c r="A52" s="95" t="s">
        <v>404</v>
      </c>
      <c r="B52" s="353">
        <v>14.8</v>
      </c>
      <c r="C52" s="95" t="s">
        <v>413</v>
      </c>
      <c r="G52" s="95" t="s">
        <v>65</v>
      </c>
      <c r="H52" s="354">
        <f>(H53*H54*H60*H66*((1-EXP(-H61*H62))))/(H63*H61)</f>
        <v>3.6385326157733249</v>
      </c>
      <c r="I52" s="95" t="s">
        <v>48</v>
      </c>
      <c r="J52" s="95" t="s">
        <v>73</v>
      </c>
      <c r="K52" s="95">
        <v>0.26</v>
      </c>
      <c r="AB52" s="415"/>
      <c r="AC52" s="415"/>
      <c r="AF52" s="418"/>
      <c r="AG52" s="415"/>
      <c r="BW52" s="354"/>
    </row>
    <row r="53" spans="1:105" s="95" customFormat="1" x14ac:dyDescent="0.2">
      <c r="A53" s="95" t="s">
        <v>405</v>
      </c>
      <c r="B53" s="353">
        <v>56.2</v>
      </c>
      <c r="C53" s="95" t="s">
        <v>413</v>
      </c>
      <c r="G53" s="95" t="s">
        <v>71</v>
      </c>
      <c r="H53" s="95">
        <v>3.62</v>
      </c>
      <c r="I53" s="95" t="s">
        <v>72</v>
      </c>
      <c r="W53" s="354"/>
      <c r="AB53" s="415"/>
      <c r="AC53" s="415"/>
      <c r="AF53" s="418"/>
      <c r="AG53" s="415"/>
    </row>
    <row r="54" spans="1:105" s="95" customFormat="1" x14ac:dyDescent="0.2">
      <c r="A54" s="95" t="s">
        <v>400</v>
      </c>
      <c r="B54" s="353">
        <v>10.4</v>
      </c>
      <c r="C54" s="95" t="s">
        <v>413</v>
      </c>
      <c r="G54" s="95" t="s">
        <v>79</v>
      </c>
      <c r="H54" s="95">
        <v>0.25</v>
      </c>
      <c r="I54" s="95" t="s">
        <v>80</v>
      </c>
      <c r="AB54" s="415"/>
      <c r="AC54" s="415"/>
      <c r="AF54" s="418"/>
      <c r="AG54" s="415"/>
    </row>
    <row r="55" spans="1:105" s="95" customFormat="1" x14ac:dyDescent="0.2">
      <c r="A55" s="95" t="s">
        <v>401</v>
      </c>
      <c r="B55" s="353">
        <v>28.5</v>
      </c>
      <c r="C55" s="95" t="s">
        <v>413</v>
      </c>
      <c r="G55" s="95" t="s">
        <v>66</v>
      </c>
      <c r="H55" s="354">
        <f>B42</f>
        <v>0.04</v>
      </c>
      <c r="AB55" s="415"/>
      <c r="AC55" s="415"/>
      <c r="AD55" s="415"/>
      <c r="AF55" s="418"/>
      <c r="AG55" s="415"/>
      <c r="AH55" s="415"/>
      <c r="AI55" s="415"/>
      <c r="AJ55" s="415"/>
      <c r="AK55" s="415"/>
    </row>
    <row r="56" spans="1:105" s="95" customFormat="1" x14ac:dyDescent="0.2">
      <c r="A56" s="95" t="s">
        <v>178</v>
      </c>
      <c r="B56" s="397">
        <v>54</v>
      </c>
      <c r="C56" s="95" t="s">
        <v>96</v>
      </c>
      <c r="G56" s="95" t="s">
        <v>99</v>
      </c>
      <c r="H56" s="95">
        <f>H64+H65</f>
        <v>8.9999999999999992E-5</v>
      </c>
      <c r="AB56" s="415"/>
      <c r="AC56" s="415"/>
      <c r="AD56" s="415"/>
      <c r="AF56" s="418"/>
      <c r="AG56" s="415"/>
      <c r="AH56" s="415"/>
      <c r="AI56" s="415"/>
      <c r="AJ56" s="415"/>
      <c r="AK56" s="415"/>
    </row>
    <row r="57" spans="1:105" s="95" customFormat="1" x14ac:dyDescent="0.2">
      <c r="A57" s="95" t="s">
        <v>278</v>
      </c>
      <c r="B57" s="397">
        <v>256</v>
      </c>
      <c r="C57" s="95" t="s">
        <v>413</v>
      </c>
      <c r="G57" s="95" t="s">
        <v>109</v>
      </c>
      <c r="H57" s="95">
        <v>10950</v>
      </c>
      <c r="I57" s="95" t="s">
        <v>110</v>
      </c>
      <c r="AB57" s="415"/>
      <c r="AC57" s="415"/>
      <c r="AD57" s="415"/>
      <c r="AF57" s="418"/>
      <c r="AG57" s="415"/>
      <c r="AH57" s="415"/>
      <c r="AI57" s="415"/>
      <c r="AJ57" s="415"/>
      <c r="AK57" s="415"/>
    </row>
    <row r="58" spans="1:105" s="95" customFormat="1" x14ac:dyDescent="0.2">
      <c r="A58" s="95" t="s">
        <v>279</v>
      </c>
      <c r="B58" s="397">
        <v>615</v>
      </c>
      <c r="C58" s="95" t="s">
        <v>413</v>
      </c>
      <c r="G58" s="95" t="s">
        <v>120</v>
      </c>
      <c r="H58" s="95">
        <v>240</v>
      </c>
      <c r="I58" s="95" t="s">
        <v>121</v>
      </c>
      <c r="AB58" s="415"/>
      <c r="AC58" s="415"/>
      <c r="AF58" s="418"/>
      <c r="AG58" s="415"/>
      <c r="AH58" s="415"/>
      <c r="AI58" s="415"/>
      <c r="AJ58" s="415"/>
      <c r="AK58" s="415"/>
    </row>
    <row r="59" spans="1:105" s="95" customFormat="1" x14ac:dyDescent="0.2">
      <c r="G59" s="95" t="s">
        <v>130</v>
      </c>
      <c r="H59" s="95">
        <v>0.26</v>
      </c>
      <c r="AB59" s="415"/>
      <c r="AC59" s="415"/>
      <c r="AF59" s="415"/>
      <c r="AG59" s="415"/>
      <c r="AH59" s="415"/>
      <c r="AI59" s="415"/>
      <c r="AJ59" s="415"/>
      <c r="AK59" s="415"/>
    </row>
    <row r="60" spans="1:105" s="95" customFormat="1" x14ac:dyDescent="0.2">
      <c r="G60" s="95" t="s">
        <v>137</v>
      </c>
      <c r="H60" s="95">
        <v>0.42</v>
      </c>
      <c r="I60" s="95" t="s">
        <v>80</v>
      </c>
      <c r="AB60" s="415"/>
      <c r="AC60" s="415"/>
      <c r="AF60" s="415"/>
      <c r="AG60" s="415"/>
      <c r="AH60" s="415"/>
      <c r="AI60" s="415"/>
      <c r="AJ60" s="415"/>
      <c r="AK60" s="415"/>
    </row>
    <row r="61" spans="1:105" s="95" customFormat="1" x14ac:dyDescent="0.2">
      <c r="G61" s="95" t="s">
        <v>143</v>
      </c>
      <c r="H61" s="95">
        <f>H65+(0.693/H67)</f>
        <v>4.9562999999999996E-2</v>
      </c>
      <c r="I61" s="95" t="s">
        <v>144</v>
      </c>
      <c r="AB61" s="415"/>
      <c r="AC61" s="415"/>
      <c r="AD61" s="415"/>
      <c r="AF61" s="415"/>
      <c r="AG61" s="415"/>
      <c r="AH61" s="415"/>
      <c r="AI61" s="415"/>
      <c r="AJ61" s="415"/>
      <c r="AK61" s="415"/>
      <c r="DA61" s="354"/>
    </row>
    <row r="62" spans="1:105" s="95" customFormat="1" x14ac:dyDescent="0.2">
      <c r="G62" s="95" t="s">
        <v>148</v>
      </c>
      <c r="H62" s="95">
        <v>60</v>
      </c>
      <c r="I62" s="95" t="s">
        <v>110</v>
      </c>
      <c r="AB62" s="415"/>
      <c r="AC62" s="415"/>
      <c r="AD62" s="415"/>
      <c r="AF62" s="418"/>
      <c r="AG62" s="415"/>
      <c r="AH62" s="415"/>
      <c r="AI62" s="415"/>
      <c r="AJ62" s="415"/>
      <c r="AK62" s="415"/>
    </row>
    <row r="63" spans="1:105" s="95" customFormat="1" x14ac:dyDescent="0.2">
      <c r="G63" s="95" t="s">
        <v>150</v>
      </c>
      <c r="H63" s="95">
        <v>2</v>
      </c>
      <c r="I63" s="95" t="s">
        <v>121</v>
      </c>
      <c r="AB63" s="415"/>
      <c r="AC63" s="415"/>
      <c r="AD63" s="415"/>
      <c r="AF63" s="418"/>
      <c r="AG63" s="415"/>
      <c r="AH63" s="415"/>
      <c r="AI63" s="415"/>
      <c r="AJ63" s="415"/>
      <c r="AK63" s="415"/>
    </row>
    <row r="64" spans="1:105"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6.3E-5</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B43</f>
        <v>0.2</v>
      </c>
      <c r="AB68" s="415"/>
      <c r="AC68" s="420"/>
      <c r="AD68" s="415"/>
      <c r="AF68" s="418"/>
      <c r="AG68" s="415"/>
      <c r="AH68" s="415"/>
      <c r="AI68" s="415"/>
      <c r="AJ68" s="415"/>
      <c r="AK68" s="415"/>
    </row>
    <row r="69" spans="7:105" s="95" customFormat="1" x14ac:dyDescent="0.2">
      <c r="G69" s="95" t="s">
        <v>453</v>
      </c>
      <c r="H69" s="354">
        <f>B33</f>
        <v>11000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hYkiaRM11kqdBV5SqODJFzcHKUZnUFf6yOGN5f8b78UDYHqwxgfAINNYWinfOrZoBxjo5Nij1gC86NMI7H3VPQ==" saltValue="DTINtuhvh+brUAf+7DbIAg==" spinCount="100000" sheet="1" objects="1" scenarios="1" formatColumns="0" formatRows="0"/>
  <mergeCells count="6">
    <mergeCell ref="CH34:CL37"/>
    <mergeCell ref="BK36:BO39"/>
    <mergeCell ref="AF43:AH45"/>
    <mergeCell ref="A13:C16"/>
    <mergeCell ref="A1:C1"/>
    <mergeCell ref="A4:C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F86"/>
  <sheetViews>
    <sheetView workbookViewId="0">
      <pane xSplit="3" topLeftCell="D1" activePane="topRight" state="frozen"/>
      <selection pane="topRight" activeCell="D1" sqref="D1"/>
    </sheetView>
  </sheetViews>
  <sheetFormatPr defaultRowHeight="12.75" x14ac:dyDescent="0.2"/>
  <cols>
    <col min="1" max="1" width="14.42578125" bestFit="1" customWidth="1"/>
    <col min="2" max="2" width="9.4257812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0" width="10.28515625" bestFit="1" customWidth="1"/>
    <col min="81" max="81" width="11.5703125" bestFit="1" customWidth="1"/>
    <col min="82" max="82" width="15.7109375" bestFit="1"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9" customHeight="1" thickTop="1" thickBot="1" x14ac:dyDescent="0.25">
      <c r="A1" s="493" t="s">
        <v>462</v>
      </c>
      <c r="B1" s="494"/>
      <c r="C1" s="495"/>
      <c r="D1" s="14" t="s">
        <v>3</v>
      </c>
      <c r="E1" s="15"/>
      <c r="F1" s="15" t="s">
        <v>459</v>
      </c>
      <c r="G1" s="16" t="s">
        <v>3</v>
      </c>
      <c r="H1" s="17"/>
      <c r="I1" s="17" t="s">
        <v>459</v>
      </c>
      <c r="J1" s="18" t="s">
        <v>3</v>
      </c>
      <c r="K1" s="19"/>
      <c r="L1" s="20" t="s">
        <v>459</v>
      </c>
      <c r="M1" s="21" t="s">
        <v>13</v>
      </c>
      <c r="N1" s="22" t="s">
        <v>14</v>
      </c>
      <c r="O1" s="22" t="s">
        <v>459</v>
      </c>
      <c r="P1" s="23" t="s">
        <v>13</v>
      </c>
      <c r="Q1" s="22" t="s">
        <v>157</v>
      </c>
      <c r="R1" s="22" t="s">
        <v>459</v>
      </c>
      <c r="S1" s="23" t="s">
        <v>13</v>
      </c>
      <c r="T1" s="22" t="s">
        <v>16</v>
      </c>
      <c r="U1" s="24" t="s">
        <v>459</v>
      </c>
      <c r="V1" s="25" t="s">
        <v>1</v>
      </c>
      <c r="W1" s="26" t="s">
        <v>2</v>
      </c>
      <c r="X1" s="26" t="s">
        <v>459</v>
      </c>
      <c r="Y1" s="27" t="s">
        <v>1</v>
      </c>
      <c r="Z1" s="26" t="s">
        <v>4</v>
      </c>
      <c r="AA1" s="28" t="s">
        <v>459</v>
      </c>
      <c r="AB1" s="29" t="s">
        <v>1</v>
      </c>
      <c r="AC1" s="30" t="s">
        <v>4</v>
      </c>
      <c r="AD1" s="31" t="s">
        <v>5</v>
      </c>
      <c r="AE1" s="30" t="s">
        <v>2</v>
      </c>
      <c r="AF1" s="30" t="s">
        <v>7</v>
      </c>
      <c r="AG1" s="31" t="s">
        <v>6</v>
      </c>
      <c r="AH1" s="32" t="s">
        <v>15</v>
      </c>
      <c r="AI1" s="33" t="s">
        <v>13</v>
      </c>
      <c r="AJ1" s="34" t="s">
        <v>14</v>
      </c>
      <c r="AK1" s="34" t="s">
        <v>459</v>
      </c>
      <c r="AL1" s="35" t="s">
        <v>13</v>
      </c>
      <c r="AM1" s="34" t="s">
        <v>157</v>
      </c>
      <c r="AN1" s="34" t="s">
        <v>459</v>
      </c>
      <c r="AO1" s="35" t="s">
        <v>13</v>
      </c>
      <c r="AP1" s="34" t="s">
        <v>16</v>
      </c>
      <c r="AQ1" s="36" t="s">
        <v>459</v>
      </c>
      <c r="AR1" s="37" t="s">
        <v>13</v>
      </c>
      <c r="AS1" s="38" t="s">
        <v>14</v>
      </c>
      <c r="AT1" s="38" t="s">
        <v>459</v>
      </c>
      <c r="AU1" s="39" t="s">
        <v>13</v>
      </c>
      <c r="AV1" s="38" t="s">
        <v>157</v>
      </c>
      <c r="AW1" s="38" t="s">
        <v>459</v>
      </c>
      <c r="AX1" s="39" t="s">
        <v>13</v>
      </c>
      <c r="AY1" s="38" t="s">
        <v>16</v>
      </c>
      <c r="AZ1" s="40" t="s">
        <v>459</v>
      </c>
      <c r="BA1" s="37" t="s">
        <v>13</v>
      </c>
      <c r="BB1" s="38" t="s">
        <v>14</v>
      </c>
      <c r="BC1" s="38" t="s">
        <v>459</v>
      </c>
      <c r="BD1" s="39" t="s">
        <v>13</v>
      </c>
      <c r="BE1" s="38" t="s">
        <v>157</v>
      </c>
      <c r="BF1" s="38" t="s">
        <v>459</v>
      </c>
      <c r="BG1" s="39" t="s">
        <v>13</v>
      </c>
      <c r="BH1" s="38" t="s">
        <v>16</v>
      </c>
      <c r="BI1" s="40" t="s">
        <v>459</v>
      </c>
      <c r="BJ1" s="37" t="s">
        <v>13</v>
      </c>
      <c r="BK1" s="38" t="s">
        <v>14</v>
      </c>
      <c r="BL1" s="38" t="s">
        <v>459</v>
      </c>
      <c r="BM1" s="39" t="s">
        <v>13</v>
      </c>
      <c r="BN1" s="38" t="s">
        <v>157</v>
      </c>
      <c r="BO1" s="38" t="s">
        <v>459</v>
      </c>
      <c r="BP1" s="39" t="s">
        <v>13</v>
      </c>
      <c r="BQ1" s="38" t="s">
        <v>16</v>
      </c>
      <c r="BR1" s="40" t="s">
        <v>459</v>
      </c>
      <c r="BS1" s="41" t="s">
        <v>8</v>
      </c>
      <c r="BT1" s="42"/>
      <c r="BU1" s="42" t="s">
        <v>459</v>
      </c>
      <c r="BV1" s="41" t="s">
        <v>8</v>
      </c>
      <c r="BW1" s="42"/>
      <c r="BX1" s="42" t="s">
        <v>459</v>
      </c>
      <c r="BY1" s="41" t="s">
        <v>434</v>
      </c>
      <c r="BZ1" s="42"/>
      <c r="CA1" s="42" t="s">
        <v>459</v>
      </c>
      <c r="CB1" s="41" t="s">
        <v>8</v>
      </c>
      <c r="CC1" s="42" t="s">
        <v>14</v>
      </c>
      <c r="CD1" s="42" t="s">
        <v>459</v>
      </c>
      <c r="CE1" s="41" t="s">
        <v>8</v>
      </c>
      <c r="CF1" s="42" t="s">
        <v>157</v>
      </c>
      <c r="CG1" s="42" t="s">
        <v>459</v>
      </c>
      <c r="CH1" s="41" t="s">
        <v>8</v>
      </c>
      <c r="CI1" s="42" t="s">
        <v>16</v>
      </c>
      <c r="CJ1" s="43" t="s">
        <v>459</v>
      </c>
      <c r="CK1" s="41" t="s">
        <v>8</v>
      </c>
      <c r="CL1" s="42" t="s">
        <v>331</v>
      </c>
      <c r="CM1" s="43" t="s">
        <v>459</v>
      </c>
      <c r="CN1" s="41" t="s">
        <v>8</v>
      </c>
      <c r="CO1" s="42" t="s">
        <v>331</v>
      </c>
      <c r="CP1" s="43" t="s">
        <v>459</v>
      </c>
      <c r="CQ1" s="41" t="s">
        <v>8</v>
      </c>
      <c r="CR1" s="42" t="s">
        <v>331</v>
      </c>
      <c r="CS1" s="43" t="s">
        <v>459</v>
      </c>
      <c r="CT1" s="44" t="s">
        <v>321</v>
      </c>
      <c r="CU1" s="45"/>
      <c r="CV1" s="46" t="s">
        <v>459</v>
      </c>
      <c r="CW1" s="47" t="s">
        <v>321</v>
      </c>
      <c r="CX1" s="48"/>
      <c r="CY1" s="48" t="s">
        <v>459</v>
      </c>
      <c r="CZ1" s="49" t="s">
        <v>9</v>
      </c>
      <c r="DA1" s="50"/>
      <c r="DB1" s="51" t="s">
        <v>459</v>
      </c>
      <c r="DC1" s="52" t="s">
        <v>9</v>
      </c>
      <c r="DD1" s="52"/>
      <c r="DE1" s="52" t="s">
        <v>459</v>
      </c>
      <c r="DF1" s="53" t="s">
        <v>9</v>
      </c>
      <c r="DG1" s="54" t="s">
        <v>10</v>
      </c>
      <c r="DH1" s="54" t="s">
        <v>459</v>
      </c>
      <c r="DI1" s="55" t="s">
        <v>9</v>
      </c>
      <c r="DJ1" s="54" t="s">
        <v>11</v>
      </c>
      <c r="DK1" s="54" t="s">
        <v>459</v>
      </c>
      <c r="DL1" s="55" t="s">
        <v>9</v>
      </c>
      <c r="DM1" s="54" t="s">
        <v>12</v>
      </c>
      <c r="DN1" s="54" t="s">
        <v>459</v>
      </c>
      <c r="DO1" s="55" t="s">
        <v>9</v>
      </c>
      <c r="DP1" s="54" t="s">
        <v>12</v>
      </c>
      <c r="DQ1" s="56" t="s">
        <v>459</v>
      </c>
      <c r="DR1" s="57" t="s">
        <v>9</v>
      </c>
      <c r="DS1" s="57"/>
      <c r="DT1" s="57" t="s">
        <v>459</v>
      </c>
      <c r="DU1" s="58" t="s">
        <v>9</v>
      </c>
      <c r="DV1" s="59" t="s">
        <v>10</v>
      </c>
      <c r="DW1" s="59" t="s">
        <v>459</v>
      </c>
      <c r="DX1" s="60" t="s">
        <v>9</v>
      </c>
      <c r="DY1" s="59" t="s">
        <v>11</v>
      </c>
      <c r="DZ1" s="59" t="s">
        <v>459</v>
      </c>
      <c r="EA1" s="60" t="s">
        <v>9</v>
      </c>
      <c r="EB1" s="59" t="s">
        <v>12</v>
      </c>
      <c r="EC1" s="59" t="s">
        <v>459</v>
      </c>
      <c r="ED1" s="60" t="s">
        <v>9</v>
      </c>
      <c r="EE1" s="59" t="s">
        <v>12</v>
      </c>
      <c r="EF1" s="61" t="s">
        <v>459</v>
      </c>
      <c r="EG1" s="62" t="s">
        <v>9</v>
      </c>
      <c r="EH1" s="62"/>
      <c r="EI1" s="62" t="s">
        <v>459</v>
      </c>
      <c r="EJ1" s="63" t="s">
        <v>9</v>
      </c>
      <c r="EK1" s="64" t="s">
        <v>10</v>
      </c>
      <c r="EL1" s="64" t="s">
        <v>459</v>
      </c>
      <c r="EM1" s="65" t="s">
        <v>9</v>
      </c>
      <c r="EN1" s="64" t="s">
        <v>11</v>
      </c>
      <c r="EO1" s="64" t="s">
        <v>459</v>
      </c>
      <c r="EP1" s="65" t="s">
        <v>9</v>
      </c>
      <c r="EQ1" s="64" t="s">
        <v>12</v>
      </c>
      <c r="ER1" s="64" t="s">
        <v>459</v>
      </c>
      <c r="ES1" s="65" t="s">
        <v>9</v>
      </c>
      <c r="ET1" s="64" t="s">
        <v>12</v>
      </c>
      <c r="EU1" s="66" t="s">
        <v>459</v>
      </c>
      <c r="EV1" s="67" t="s">
        <v>9</v>
      </c>
      <c r="EW1" s="67"/>
      <c r="EX1" s="67" t="s">
        <v>459</v>
      </c>
      <c r="EY1" s="68" t="s">
        <v>9</v>
      </c>
      <c r="EZ1" s="69" t="s">
        <v>10</v>
      </c>
      <c r="FA1" s="69" t="s">
        <v>459</v>
      </c>
      <c r="FB1" s="70" t="s">
        <v>9</v>
      </c>
      <c r="FC1" s="69" t="s">
        <v>11</v>
      </c>
      <c r="FD1" s="69" t="s">
        <v>459</v>
      </c>
      <c r="FE1" s="70" t="s">
        <v>9</v>
      </c>
      <c r="FF1" s="69" t="s">
        <v>12</v>
      </c>
      <c r="FG1" s="69" t="s">
        <v>459</v>
      </c>
      <c r="FH1" s="70" t="s">
        <v>9</v>
      </c>
      <c r="FI1" s="69" t="s">
        <v>12</v>
      </c>
      <c r="FJ1" s="71" t="s">
        <v>459</v>
      </c>
      <c r="FK1" s="72" t="s">
        <v>9</v>
      </c>
      <c r="FL1" s="73"/>
      <c r="FM1" s="74" t="s">
        <v>459</v>
      </c>
      <c r="FN1" s="75" t="s">
        <v>9</v>
      </c>
      <c r="FO1" s="76" t="s">
        <v>10</v>
      </c>
      <c r="FP1" s="76" t="s">
        <v>459</v>
      </c>
      <c r="FQ1" s="77" t="s">
        <v>9</v>
      </c>
      <c r="FR1" s="76" t="s">
        <v>11</v>
      </c>
      <c r="FS1" s="76" t="s">
        <v>459</v>
      </c>
      <c r="FT1" s="77" t="s">
        <v>9</v>
      </c>
      <c r="FU1" s="76" t="s">
        <v>12</v>
      </c>
      <c r="FV1" s="76" t="s">
        <v>459</v>
      </c>
      <c r="FW1" s="77" t="s">
        <v>9</v>
      </c>
      <c r="FX1" s="76" t="s">
        <v>12</v>
      </c>
      <c r="FY1" s="78" t="s">
        <v>459</v>
      </c>
      <c r="FZ1" s="79" t="s">
        <v>9</v>
      </c>
      <c r="GA1" s="80"/>
      <c r="GB1" s="81" t="s">
        <v>459</v>
      </c>
      <c r="GC1" s="82" t="s">
        <v>9</v>
      </c>
      <c r="GD1" s="83" t="s">
        <v>10</v>
      </c>
      <c r="GE1" s="83" t="s">
        <v>459</v>
      </c>
      <c r="GF1" s="84" t="s">
        <v>9</v>
      </c>
      <c r="GG1" s="83" t="s">
        <v>11</v>
      </c>
      <c r="GH1" s="83" t="s">
        <v>459</v>
      </c>
      <c r="GI1" s="84" t="s">
        <v>9</v>
      </c>
      <c r="GJ1" s="83" t="s">
        <v>12</v>
      </c>
      <c r="GK1" s="83" t="s">
        <v>459</v>
      </c>
      <c r="GL1" s="84" t="s">
        <v>9</v>
      </c>
      <c r="GM1" s="83" t="s">
        <v>12</v>
      </c>
      <c r="GN1" s="85" t="s">
        <v>459</v>
      </c>
      <c r="GO1" s="86" t="s">
        <v>9</v>
      </c>
      <c r="GP1" s="87"/>
      <c r="GQ1" s="88" t="s">
        <v>459</v>
      </c>
      <c r="GR1" s="89" t="s">
        <v>9</v>
      </c>
      <c r="GS1" s="90" t="s">
        <v>10</v>
      </c>
      <c r="GT1" s="90" t="s">
        <v>459</v>
      </c>
      <c r="GU1" s="91" t="s">
        <v>9</v>
      </c>
      <c r="GV1" s="90" t="s">
        <v>11</v>
      </c>
      <c r="GW1" s="90" t="s">
        <v>459</v>
      </c>
      <c r="GX1" s="91" t="s">
        <v>9</v>
      </c>
      <c r="GY1" s="90" t="s">
        <v>12</v>
      </c>
      <c r="GZ1" s="90" t="s">
        <v>459</v>
      </c>
      <c r="HA1" s="91" t="s">
        <v>9</v>
      </c>
      <c r="HB1" s="90" t="s">
        <v>12</v>
      </c>
      <c r="HC1" s="90" t="s">
        <v>459</v>
      </c>
      <c r="HD1" s="92" t="s">
        <v>17</v>
      </c>
      <c r="HE1" s="93" t="s">
        <v>459</v>
      </c>
      <c r="HF1" s="94" t="s">
        <v>18</v>
      </c>
    </row>
    <row r="2" spans="1:214" s="95" customFormat="1" ht="13.5" thickTop="1" x14ac:dyDescent="0.2">
      <c r="A2" s="423" t="s">
        <v>243</v>
      </c>
      <c r="B2" s="424">
        <v>0.124</v>
      </c>
      <c r="C2" s="425"/>
      <c r="D2" s="97"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ht="13.5" thickBot="1" x14ac:dyDescent="0.25">
      <c r="A3" s="426" t="s">
        <v>113</v>
      </c>
      <c r="B3" s="427">
        <v>0.79200000000000004</v>
      </c>
      <c r="C3" s="428"/>
      <c r="D3" s="97" t="s">
        <v>37</v>
      </c>
      <c r="E3" s="181">
        <f>1/((1/E20)+(1/E21))</f>
        <v>1.2314901941476446E-3</v>
      </c>
      <c r="F3" s="182"/>
      <c r="G3" s="98"/>
      <c r="H3" s="181">
        <f>1/((1/H10)+(1/H11)+(1/H12)+(1/H13))</f>
        <v>2.0419860360625861E-3</v>
      </c>
      <c r="I3" s="183"/>
      <c r="J3" s="100"/>
      <c r="K3" s="181">
        <f>1/((1/K14)+(1/K15)+(1/K16+(1/K17)))</f>
        <v>1.6721998346206097E-2</v>
      </c>
      <c r="L3" s="184"/>
      <c r="M3" s="103" t="s">
        <v>39</v>
      </c>
      <c r="N3" s="185">
        <f>(N5*N6*N7)/((1-EXP(-N7*N6))*N10*N15*(N9/365)*N13*(((N14/24)*N12)+((N16/24)*N11)))</f>
        <v>0.17534562111176577</v>
      </c>
      <c r="O3" s="105"/>
      <c r="P3" s="106" t="s">
        <v>39</v>
      </c>
      <c r="Q3" s="185">
        <f>(Q5*Q6*Q7)/((1-EXP(-Q7*Q6))*Q10*Q15*(Q9/365)*Q13*(((Q14/24)*Q12)+((Q16/24)*Q11)))</f>
        <v>1947.5172572261358</v>
      </c>
      <c r="R3" s="105"/>
      <c r="S3" s="106" t="s">
        <v>39</v>
      </c>
      <c r="T3" s="185">
        <f>(T5*T6*T7)/((1-EXP(-T7*T6))*T10*T15*(T9/365)*T13*(((T14/24)*T12)+((T16/24)*T11)))</f>
        <v>0.2193526257266703</v>
      </c>
      <c r="U3" s="107"/>
      <c r="V3" s="108" t="s">
        <v>38</v>
      </c>
      <c r="W3" s="186">
        <f>1/((1/W18)+(1/W19))</f>
        <v>1.8889722171396132E-3</v>
      </c>
      <c r="X3" s="187"/>
      <c r="Y3" s="188" t="s">
        <v>38</v>
      </c>
      <c r="Z3" s="186">
        <f>1/((1/Z18)+(1/Z19))</f>
        <v>1.8889722171396132E-3</v>
      </c>
      <c r="AA3" s="189"/>
      <c r="AB3" s="112"/>
      <c r="AC3" s="190">
        <f>1/((1/AC37)+(1/AC38)+(1/AC39))</f>
        <v>0.51009772550318799</v>
      </c>
      <c r="AD3" s="191">
        <f>1/((1/AD37)+(1/AD38)+(1/AD39))</f>
        <v>0.12518705835908173</v>
      </c>
      <c r="AE3" s="190">
        <f>1/((1/AE37)+(1/AE38)+(1/AE39))</f>
        <v>0.39104253560381236</v>
      </c>
      <c r="AF3" s="190">
        <f>1/((1/AF37)+(1/AF38)+(1/AF39))</f>
        <v>6.6403879989162258</v>
      </c>
      <c r="AG3" s="191">
        <f>1/((1/AG37)+(1/AG39)+(1/AG40))</f>
        <v>0.81367808826832178</v>
      </c>
      <c r="AH3" s="192"/>
      <c r="AI3" s="116" t="s">
        <v>39</v>
      </c>
      <c r="AJ3" s="193">
        <f>(AJ5*AJ6*AJ7)/((1-EXP(-AJ7*AJ6))*AJ10*AJ15*(AJ9/365)*AJ13*((AJ14*AJ12)+((AJ16/24)*AJ11)))</f>
        <v>0.12594678063171694</v>
      </c>
      <c r="AK3" s="118"/>
      <c r="AL3" s="119" t="s">
        <v>39</v>
      </c>
      <c r="AM3" s="193">
        <f>(AM5*AM6*AM7)/((1-EXP(-AM7*AM6))*AM10*AM15*(AM9/365)*AM13*((AM14*AM12)+((AM16/24)*AM11)))</f>
        <v>1375.0490815052658</v>
      </c>
      <c r="AN3" s="118"/>
      <c r="AO3" s="119" t="s">
        <v>39</v>
      </c>
      <c r="AP3" s="193">
        <f>(AP5*AP6*AP7)/((1-EXP(-AP7*AP6))*AP10*AP15*(AP9/365)*AP13*((AP14*AP12)+((AP16/24)*AP11)))</f>
        <v>0.15662010443669833</v>
      </c>
      <c r="AQ3" s="120"/>
      <c r="AR3" s="121" t="s">
        <v>39</v>
      </c>
      <c r="AS3" s="194">
        <f>(AS5*AS6*AS7)/((1-EXP(-AS7*AS6))*AS10*AS15*(AS9/365)*AS13*(((AS14/24)*AS12)+(AS16*AS11)))</f>
        <v>0.52759325369352683</v>
      </c>
      <c r="AT3" s="123"/>
      <c r="AU3" s="124" t="s">
        <v>39</v>
      </c>
      <c r="AV3" s="194">
        <f>(AV5*AV6*AV7)/((1-EXP(-AV7*AV6))*AV10*AV15*(AV9/365)*AV13*(((AV14/24)*AV12)+(AV16*AV11)))</f>
        <v>12293.510482041134</v>
      </c>
      <c r="AW3" s="123"/>
      <c r="AX3" s="124" t="s">
        <v>39</v>
      </c>
      <c r="AY3" s="194">
        <f>(AY5*AY6*AY7)/((1-EXP(-AY7*AY6))*AY10*AY15*(AY9/365)*AY13*(((AY14/24)*AY12)+(AY16*AY11)))</f>
        <v>0.80548968521738284</v>
      </c>
      <c r="AZ3" s="125"/>
      <c r="BA3" s="121" t="s">
        <v>39</v>
      </c>
      <c r="BB3" s="194">
        <f>(BB5*BB6*BB7)/((1-EXP(-BB7*BB6))*BB10*BB15*(BB9/365)*BB13*(((BB14/24)*BB12)+(BB16*BB11)))</f>
        <v>0.52759325369352683</v>
      </c>
      <c r="BC3" s="123"/>
      <c r="BD3" s="124" t="s">
        <v>39</v>
      </c>
      <c r="BE3" s="194">
        <f>(BE5*BE6*BE7)/((1-EXP(-BE7*BE6))*BE10*BE15*(BE9/365)*BE13*(((BE14/24)*BE12)+(BE16*BE11)))</f>
        <v>12293.510482041134</v>
      </c>
      <c r="BF3" s="123"/>
      <c r="BG3" s="124" t="s">
        <v>39</v>
      </c>
      <c r="BH3" s="194">
        <f>(BH5*BH6*BH7)/((1-EXP(-BH7*BH6))*BH10*BH15*(BH9/365)*BH13*(((BH14/24)*BH12)+(BH16*BH11)))</f>
        <v>0.80548968521738284</v>
      </c>
      <c r="BI3" s="125"/>
      <c r="BJ3" s="121" t="s">
        <v>39</v>
      </c>
      <c r="BK3" s="194">
        <f>(BK5*BK6*BK7)/((1-EXP(-BK7*BK6))*BK12*BK16*(BK9/365)*BK14*BK15*BK13)</f>
        <v>5.2542847116235976</v>
      </c>
      <c r="BL3" s="123"/>
      <c r="BM3" s="124" t="s">
        <v>39</v>
      </c>
      <c r="BN3" s="194">
        <f>(BN5*BN6*BN7)/((1-EXP(-BN7*BN6))*BN12*BN16*(BN9/365)*BN14*BN15*BN13)</f>
        <v>122430.68637775817</v>
      </c>
      <c r="BO3" s="123"/>
      <c r="BP3" s="124" t="s">
        <v>39</v>
      </c>
      <c r="BQ3" s="194">
        <f>(BQ5*BQ6*BQ7)/((1-EXP(-BQ7*BQ6))*BQ12*BQ16*(BQ9/365)*BQ14*BQ15*BQ13)</f>
        <v>8.0218465812049224</v>
      </c>
      <c r="BR3" s="125"/>
      <c r="BS3" s="126" t="s">
        <v>37</v>
      </c>
      <c r="BT3" s="195">
        <f>1/((1/BT21)+(1/BT22))</f>
        <v>0.1379269017445362</v>
      </c>
      <c r="BU3" s="128"/>
      <c r="BV3" s="126"/>
      <c r="BW3" s="195">
        <f>1/((1/BW10)+(1/BW12))</f>
        <v>44.280539723367028</v>
      </c>
      <c r="BX3" s="128"/>
      <c r="BY3" s="126"/>
      <c r="BZ3" s="195">
        <f>1/((1/BZ13)+(1/BZ14)+(1/BZ15))</f>
        <v>1.7253584050312611</v>
      </c>
      <c r="CA3" s="128"/>
      <c r="CB3" s="126" t="s">
        <v>39</v>
      </c>
      <c r="CC3" s="195">
        <f>(CC5*CC6*CC7)/((1-EXP(-CC7*CC6))*CC10*CC14*(CC9/365)*CC12*(CC13/24)*CC11)</f>
        <v>2.539798562828735</v>
      </c>
      <c r="CD3" s="128"/>
      <c r="CE3" s="126" t="s">
        <v>39</v>
      </c>
      <c r="CF3" s="195">
        <f>(CF5*CF6*CF7)/((1-EXP(-CF7*CF6))*CF10*CF14*(CF9/365)*CF12*(CF13/24)*CF11)</f>
        <v>59180.135522629702</v>
      </c>
      <c r="CG3" s="128"/>
      <c r="CH3" s="126" t="s">
        <v>39</v>
      </c>
      <c r="CI3" s="195">
        <f>(CI5*CI6*CI7)/((1-EXP(-CI7*CI6))*CI10*CI14*(CI9/365)*CI12*(CI13/24)*CI11)</f>
        <v>3.8775733589589287</v>
      </c>
      <c r="CJ3" s="129"/>
      <c r="CK3" s="126" t="s">
        <v>17</v>
      </c>
      <c r="CL3" s="195">
        <f>CL5/(CL6*CL7*CL8*CL9)</f>
        <v>1.8670649738610903</v>
      </c>
      <c r="CM3" s="129"/>
      <c r="CN3" s="126" t="s">
        <v>17</v>
      </c>
      <c r="CO3" s="195" t="e">
        <f>CL3/(CO5*((CO10*CO12*CO13*(CO6+CO7))+(CO11*CO12)))</f>
        <v>#DIV/0!</v>
      </c>
      <c r="CP3" s="129"/>
      <c r="CQ3" s="126" t="s">
        <v>17</v>
      </c>
      <c r="CR3" s="195" t="e">
        <f>CL3/(CR5*CR6*(1/CR7))</f>
        <v>#DIV/0!</v>
      </c>
      <c r="CS3" s="129"/>
      <c r="CT3" s="130"/>
      <c r="CU3" s="196">
        <f>1/((1/CU14)+(1/CU15)+(1/CU16+(1/CU17)))</f>
        <v>1.0744998593947737E-2</v>
      </c>
      <c r="CV3" s="197"/>
      <c r="CW3" s="133" t="s">
        <v>37</v>
      </c>
      <c r="CX3" s="198">
        <f>1/((1/CX20)+(1/CX21))</f>
        <v>3.4193400192769389E-3</v>
      </c>
      <c r="CY3" s="199"/>
      <c r="CZ3" s="200"/>
      <c r="DA3" s="201">
        <f>1/((1/DA13)+(1/DA14)+(1/DA15)+(1/DA16))</f>
        <v>1.2879088921947013E-3</v>
      </c>
      <c r="DB3" s="202"/>
      <c r="DC3" s="138"/>
      <c r="DD3" s="203">
        <f>DD7</f>
        <v>8.023750300890635E-3</v>
      </c>
      <c r="DE3" s="204" t="s">
        <v>421</v>
      </c>
      <c r="DF3" s="139"/>
      <c r="DG3" s="205">
        <f>DD7/((1/DG24)*(DG5+DG6+DG7))</f>
        <v>0.6212847702629265</v>
      </c>
      <c r="DH3" s="206" t="s">
        <v>421</v>
      </c>
      <c r="DI3" s="141"/>
      <c r="DJ3" s="205">
        <f>DD7/(DJ5+DJ6)</f>
        <v>3.0742338317588637E-2</v>
      </c>
      <c r="DK3" s="206" t="s">
        <v>421</v>
      </c>
      <c r="DL3" s="141"/>
      <c r="DM3" s="205">
        <f>(DD7)/(DM5+DM6)</f>
        <v>3.0742338317588637E-2</v>
      </c>
      <c r="DN3" s="206"/>
      <c r="DO3" s="141"/>
      <c r="DP3" s="205">
        <f>-(DP5+DP6+DP7)/(DP23+DP24)</f>
        <v>-49.702044174744607</v>
      </c>
      <c r="DQ3" s="207"/>
      <c r="DR3" s="143"/>
      <c r="DS3" s="208">
        <f>DS7</f>
        <v>1.604750060178127E-2</v>
      </c>
      <c r="DT3" s="209" t="s">
        <v>421</v>
      </c>
      <c r="DU3" s="144"/>
      <c r="DV3" s="210">
        <f>DS7/(DV5*DV6)</f>
        <v>0.17442935436718771</v>
      </c>
      <c r="DW3" s="211"/>
      <c r="DX3" s="146"/>
      <c r="DY3" s="210">
        <f>DS7/(DY9*((DY10*DY12*DY13*(DY5+DY6))+(DY11*DY12)))</f>
        <v>2.0021834811954173</v>
      </c>
      <c r="DZ3" s="211" t="s">
        <v>421</v>
      </c>
      <c r="EA3" s="146"/>
      <c r="EB3" s="210">
        <f>DS7/(EB9*((EB10*EB12*EB13*(EB5+EB6))+(EB11*EB12)))</f>
        <v>2.0021834811954173</v>
      </c>
      <c r="EC3" s="211"/>
      <c r="ED3" s="146"/>
      <c r="EE3" s="210">
        <f>-EE15/((EE10*EE12*EE13*(EE5+EE6))+(EE11*EE12))</f>
        <v>-11.478477854023707</v>
      </c>
      <c r="EF3" s="212"/>
      <c r="EG3" s="148"/>
      <c r="EH3" s="213">
        <f>EH7</f>
        <v>1.604750060178127E-2</v>
      </c>
      <c r="EI3" s="214" t="s">
        <v>421</v>
      </c>
      <c r="EJ3" s="149"/>
      <c r="EK3" s="215">
        <f>EH7/(EK5*EK6)</f>
        <v>0.30278303022228814</v>
      </c>
      <c r="EL3" s="216"/>
      <c r="EM3" s="151"/>
      <c r="EN3" s="215">
        <f>EH7/(EN9*((EN10*EN12*EN13*(EN5+EN6))+(EN11*EN12)))</f>
        <v>2.822034749280097</v>
      </c>
      <c r="EO3" s="216" t="s">
        <v>421</v>
      </c>
      <c r="EP3" s="151"/>
      <c r="EQ3" s="215">
        <f>EH7/(EQ9*((EQ10*EQ12*EQ13*(EQ5+EQ6))+(EQ11*EQ12)))</f>
        <v>2.822034749280097</v>
      </c>
      <c r="ER3" s="216"/>
      <c r="ES3" s="151"/>
      <c r="ET3" s="215">
        <f>-ET15/((ET10*ET12*ET13*(ET5+ET6))+(ET11*ET12))</f>
        <v>-9.3203200562736317</v>
      </c>
      <c r="EU3" s="217"/>
      <c r="EV3" s="218"/>
      <c r="EW3" s="219">
        <f>EW7</f>
        <v>1.604750060178127E-2</v>
      </c>
      <c r="EX3" s="218" t="s">
        <v>421</v>
      </c>
      <c r="EY3" s="220"/>
      <c r="EZ3" s="221" t="e">
        <f>EW7/(EZ5*EZ6*(1/EZ7))</f>
        <v>#DIV/0!</v>
      </c>
      <c r="FA3" s="221"/>
      <c r="FB3" s="222"/>
      <c r="FC3" s="221" t="e">
        <f>EW7/(FC9*((FC10*FC12*FC13*(FC5+FC6))+(FC11*FC12)))</f>
        <v>#DIV/0!</v>
      </c>
      <c r="FD3" s="223" t="s">
        <v>421</v>
      </c>
      <c r="FE3" s="224"/>
      <c r="FF3" s="221">
        <f>EW7/(FF9*(FF10*FF12*FF13*(FF5*FF6))+(FF11*FF12))</f>
        <v>0.72943184553551232</v>
      </c>
      <c r="FG3" s="221"/>
      <c r="FH3" s="222"/>
      <c r="FI3" s="221">
        <f>FI15/((FI10*FI12*FI13*(FI5+FI6))+(FI11*FI12))</f>
        <v>3.5714285714285712</v>
      </c>
      <c r="FJ3" s="225"/>
      <c r="FK3" s="226"/>
      <c r="FL3" s="227">
        <f>FL7</f>
        <v>1.604750060178127E-2</v>
      </c>
      <c r="FM3" s="228"/>
      <c r="FN3" s="229"/>
      <c r="FO3" s="230">
        <f>FL7/(FR5*(1/FO7))</f>
        <v>0.3209500120356254</v>
      </c>
      <c r="FP3" s="230"/>
      <c r="FQ3" s="231"/>
      <c r="FR3" s="230">
        <f>(FL7*FR6)/FR5</f>
        <v>2.6317900986921276E-3</v>
      </c>
      <c r="FS3" s="230"/>
      <c r="FT3" s="231"/>
      <c r="FU3" s="230">
        <f>(FL7*FU15)/FU14</f>
        <v>2.6317900986921276E-3</v>
      </c>
      <c r="FV3" s="230"/>
      <c r="FW3" s="231"/>
      <c r="FX3" s="230">
        <f>-FX29/FX30</f>
        <v>-8.199999999999999E-3</v>
      </c>
      <c r="FY3" s="232"/>
      <c r="FZ3" s="233"/>
      <c r="GA3" s="234">
        <f>GA7</f>
        <v>1.604750060178127E-2</v>
      </c>
      <c r="GB3" s="235" t="s">
        <v>421</v>
      </c>
      <c r="GC3" s="236"/>
      <c r="GD3" s="237" t="e">
        <f>FL7/(GD5*GD6*(1/GD7))</f>
        <v>#DIV/0!</v>
      </c>
      <c r="GE3" s="237"/>
      <c r="GF3" s="238"/>
      <c r="GG3" s="237" t="e">
        <f>GA7/((GG9)*((GG10*GG12*GG13*(GG5+GG6))+(GG11*GG12)))</f>
        <v>#DIV/0!</v>
      </c>
      <c r="GH3" s="237" t="s">
        <v>421</v>
      </c>
      <c r="GI3" s="238"/>
      <c r="GJ3" s="237">
        <f>FL7/(GJ9*(GJ10*GJ12*GJ13*(GJ5*GJ6))+(GJ11*GJ12))</f>
        <v>0.72943184553551232</v>
      </c>
      <c r="GK3" s="237"/>
      <c r="GL3" s="238"/>
      <c r="GM3" s="237">
        <f>GM15/((GM10*GM12*GM13*(GM5+GM6))+(GM11*GM12))</f>
        <v>3.5714285714285712</v>
      </c>
      <c r="GN3" s="239"/>
      <c r="GO3" s="240"/>
      <c r="GP3" s="241">
        <f>GP7</f>
        <v>1.604750060178127E-2</v>
      </c>
      <c r="GQ3" s="242" t="s">
        <v>421</v>
      </c>
      <c r="GR3" s="243"/>
      <c r="GS3" s="244" t="e">
        <f>GP7/(GS5*GS6*(1/GS7))</f>
        <v>#DIV/0!</v>
      </c>
      <c r="GT3" s="244"/>
      <c r="GU3" s="245"/>
      <c r="GV3" s="244" t="e">
        <f>GP7/((GV9)*((GV10*GV12*GV13*(GV5+GV6))+(GV11*GV12)))</f>
        <v>#DIV/0!</v>
      </c>
      <c r="GW3" s="244" t="s">
        <v>421</v>
      </c>
      <c r="GX3" s="245"/>
      <c r="GY3" s="244" t="e">
        <f>GP7/((GY9*((GY10*GY12*GY13*(GY5+GY6))+(GY11*GY12))))</f>
        <v>#DIV/0!</v>
      </c>
      <c r="GZ3" s="244"/>
      <c r="HA3" s="245"/>
      <c r="HB3" s="244">
        <f>GP7/((HB10*HB12*HB13*(HB5+HB6))+(HB11*HB12))</f>
        <v>6.4577467210387395E-3</v>
      </c>
      <c r="HC3" s="246"/>
      <c r="HD3" s="247">
        <f>HE5*HE13*10^-3*(HE14+(HE9/HE10))*((HE11*HE7)/(1-EXP(-HE7*HE11)))</f>
        <v>1.2671079031257728</v>
      </c>
      <c r="HE3" s="248"/>
      <c r="HF3" s="180" t="s">
        <v>40</v>
      </c>
    </row>
    <row r="4" spans="1:214" s="95" customFormat="1" ht="14.25" thickTop="1" thickBot="1" x14ac:dyDescent="0.25">
      <c r="A4" s="493" t="s">
        <v>463</v>
      </c>
      <c r="B4" s="494"/>
      <c r="C4" s="495"/>
      <c r="D4" s="429" t="s">
        <v>38</v>
      </c>
      <c r="E4" s="250">
        <f>1/((1/E22)+(1/E23))</f>
        <v>1.238437267957439E-3</v>
      </c>
      <c r="F4" s="251"/>
      <c r="G4" s="252"/>
      <c r="H4" s="253"/>
      <c r="I4" s="254"/>
      <c r="J4" s="255" t="s">
        <v>459</v>
      </c>
      <c r="K4" s="256" t="s">
        <v>34</v>
      </c>
      <c r="L4" s="257"/>
      <c r="M4" s="258"/>
      <c r="N4" s="259"/>
      <c r="O4" s="260"/>
      <c r="P4" s="261"/>
      <c r="Q4" s="259"/>
      <c r="R4" s="260"/>
      <c r="S4" s="261"/>
      <c r="T4" s="259"/>
      <c r="U4" s="262"/>
      <c r="V4" s="263" t="s">
        <v>37</v>
      </c>
      <c r="W4" s="264">
        <f>1/((1/W16)+(1/W17))</f>
        <v>1.8808141795525694E-3</v>
      </c>
      <c r="X4" s="265"/>
      <c r="Y4" s="266" t="s">
        <v>37</v>
      </c>
      <c r="Z4" s="264">
        <f>1/((1/Z16)+(1/Z17))</f>
        <v>1.8808141795525694E-3</v>
      </c>
      <c r="AA4" s="267"/>
      <c r="AB4" s="268" t="s">
        <v>459</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0.13870497401123319</v>
      </c>
      <c r="BU4" s="286"/>
      <c r="BV4" s="284"/>
      <c r="BW4" s="285"/>
      <c r="BX4" s="286"/>
      <c r="BY4" s="284" t="s">
        <v>459</v>
      </c>
      <c r="BZ4" s="285" t="s">
        <v>34</v>
      </c>
      <c r="CA4" s="286"/>
      <c r="CB4" s="284"/>
      <c r="CC4" s="285"/>
      <c r="CD4" s="286"/>
      <c r="CE4" s="284"/>
      <c r="CF4" s="285"/>
      <c r="CG4" s="286"/>
      <c r="CH4" s="284"/>
      <c r="CI4" s="285"/>
      <c r="CJ4" s="287"/>
      <c r="CK4" s="284"/>
      <c r="CL4" s="285"/>
      <c r="CM4" s="287"/>
      <c r="CN4" s="284"/>
      <c r="CO4" s="285"/>
      <c r="CP4" s="287"/>
      <c r="CQ4" s="284"/>
      <c r="CR4" s="285"/>
      <c r="CS4" s="287"/>
      <c r="CT4" s="288" t="s">
        <v>459</v>
      </c>
      <c r="CU4" s="289" t="s">
        <v>9</v>
      </c>
      <c r="CV4" s="290"/>
      <c r="CW4" s="291" t="s">
        <v>38</v>
      </c>
      <c r="CX4" s="292">
        <f>1/((1/CX22)+(1/CX23))</f>
        <v>3.4490455796111165E-3</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f>HE6*HE13*10^-3*(HE14+(HE9/HE10))*((HE11*HE7)/(1-EXP(-HE7*HE11)))</f>
        <v>1.7249444295782478E-4</v>
      </c>
      <c r="HE4" s="351"/>
      <c r="HF4" s="352" t="s">
        <v>45</v>
      </c>
    </row>
    <row r="5" spans="1:214" s="95" customFormat="1" ht="13.5" thickTop="1" x14ac:dyDescent="0.2">
      <c r="A5" s="423" t="s">
        <v>464</v>
      </c>
      <c r="B5" s="424">
        <v>5.8099999999999999E-2</v>
      </c>
      <c r="C5" s="425"/>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B41</f>
        <v>0</v>
      </c>
      <c r="CQ5" s="95" t="s">
        <v>432</v>
      </c>
      <c r="CR5" s="354">
        <f>B41</f>
        <v>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3.5526527193007473E-2</v>
      </c>
      <c r="DH5" s="95" t="s">
        <v>48</v>
      </c>
      <c r="DI5" s="95" t="s">
        <v>49</v>
      </c>
      <c r="DJ5" s="95">
        <f>DJ7</f>
        <v>1E-3</v>
      </c>
      <c r="DL5" s="95" t="s">
        <v>49</v>
      </c>
      <c r="DM5" s="95">
        <f>DM7</f>
        <v>1E-3</v>
      </c>
      <c r="DO5" s="95" t="s">
        <v>47</v>
      </c>
      <c r="DP5" s="95">
        <f>(DP8*DP9*DP10*((1-EXP(-DP11*DP12))))/(DP13*DP11)</f>
        <v>3.5746410762351036E-2</v>
      </c>
      <c r="DQ5" s="95" t="s">
        <v>48</v>
      </c>
      <c r="DR5" s="95" t="s">
        <v>46</v>
      </c>
      <c r="DS5" s="354">
        <v>9.9999999999999995E-7</v>
      </c>
      <c r="DU5" s="95" t="s">
        <v>347</v>
      </c>
      <c r="DV5" s="354">
        <f>B35</f>
        <v>1E-3</v>
      </c>
      <c r="DX5" s="95" t="s">
        <v>50</v>
      </c>
      <c r="DY5" s="95">
        <f>DY7</f>
        <v>0.2</v>
      </c>
      <c r="EA5" s="95" t="s">
        <v>50</v>
      </c>
      <c r="EB5" s="95">
        <f>EB7</f>
        <v>0.2</v>
      </c>
      <c r="ED5" s="95" t="s">
        <v>50</v>
      </c>
      <c r="EE5" s="95">
        <f>EE7</f>
        <v>0.2</v>
      </c>
      <c r="EG5" s="95" t="s">
        <v>46</v>
      </c>
      <c r="EH5" s="354">
        <v>9.9999999999999995E-7</v>
      </c>
      <c r="EJ5" s="95" t="s">
        <v>348</v>
      </c>
      <c r="EK5" s="354">
        <f>B36</f>
        <v>1E-3</v>
      </c>
      <c r="EM5" s="95" t="s">
        <v>50</v>
      </c>
      <c r="EN5" s="95">
        <f>EN7</f>
        <v>0.2</v>
      </c>
      <c r="EP5" s="95" t="s">
        <v>50</v>
      </c>
      <c r="EQ5" s="95">
        <f>EQ7</f>
        <v>0.2</v>
      </c>
      <c r="ES5" s="95" t="s">
        <v>50</v>
      </c>
      <c r="ET5" s="95">
        <f>ET7</f>
        <v>0.2</v>
      </c>
      <c r="EV5" s="95" t="s">
        <v>46</v>
      </c>
      <c r="EW5" s="354">
        <v>9.9999999999999995E-7</v>
      </c>
      <c r="EY5" s="95" t="s">
        <v>349</v>
      </c>
      <c r="EZ5" s="356">
        <f>B38</f>
        <v>0</v>
      </c>
      <c r="FB5" s="95" t="s">
        <v>50</v>
      </c>
      <c r="FC5" s="95">
        <f>FC7</f>
        <v>0.2</v>
      </c>
      <c r="FE5" s="95" t="s">
        <v>50</v>
      </c>
      <c r="FF5" s="95">
        <f>FF7</f>
        <v>0.2</v>
      </c>
      <c r="FH5" s="95" t="s">
        <v>50</v>
      </c>
      <c r="FI5" s="95">
        <f>FI7</f>
        <v>0.2</v>
      </c>
      <c r="FK5" s="95" t="s">
        <v>46</v>
      </c>
      <c r="FL5" s="354">
        <v>9.9999999999999995E-7</v>
      </c>
      <c r="FN5" s="95" t="s">
        <v>350</v>
      </c>
      <c r="FO5" s="357">
        <v>1</v>
      </c>
      <c r="FQ5" s="95" t="s">
        <v>203</v>
      </c>
      <c r="FR5" s="354">
        <f>B34</f>
        <v>50</v>
      </c>
      <c r="FT5" s="95" t="s">
        <v>50</v>
      </c>
      <c r="FU5" s="95">
        <f>FU7</f>
        <v>0.2</v>
      </c>
      <c r="FW5" s="95" t="s">
        <v>50</v>
      </c>
      <c r="FX5" s="95">
        <f>FX7</f>
        <v>0.2</v>
      </c>
      <c r="FZ5" s="95" t="s">
        <v>46</v>
      </c>
      <c r="GA5" s="354">
        <v>9.9999999999999995E-7</v>
      </c>
      <c r="GC5" s="95" t="s">
        <v>351</v>
      </c>
      <c r="GD5" s="356">
        <f>B37</f>
        <v>0</v>
      </c>
      <c r="GF5" s="95" t="s">
        <v>50</v>
      </c>
      <c r="GG5" s="95">
        <f>GG7</f>
        <v>0.2</v>
      </c>
      <c r="GI5" s="95" t="s">
        <v>50</v>
      </c>
      <c r="GJ5" s="95">
        <f>GJ7</f>
        <v>0.2</v>
      </c>
      <c r="GL5" s="95" t="s">
        <v>50</v>
      </c>
      <c r="GM5" s="95">
        <f>GM7</f>
        <v>0.2</v>
      </c>
      <c r="GO5" s="95" t="s">
        <v>46</v>
      </c>
      <c r="GP5" s="354">
        <v>9.9999999999999995E-7</v>
      </c>
      <c r="GR5" s="95" t="s">
        <v>352</v>
      </c>
      <c r="GS5" s="356">
        <f>B39</f>
        <v>0</v>
      </c>
      <c r="GU5" s="95" t="s">
        <v>50</v>
      </c>
      <c r="GV5" s="95">
        <f>GV7</f>
        <v>0.2</v>
      </c>
      <c r="GX5" s="95" t="s">
        <v>50</v>
      </c>
      <c r="GY5" s="95">
        <f>GY7</f>
        <v>0.2</v>
      </c>
      <c r="HA5" s="95" t="s">
        <v>50</v>
      </c>
      <c r="HB5" s="95">
        <f>HB7</f>
        <v>0.2</v>
      </c>
      <c r="HD5" s="355" t="s">
        <v>51</v>
      </c>
      <c r="HE5" s="95">
        <v>15</v>
      </c>
      <c r="HF5" s="95" t="s">
        <v>25</v>
      </c>
    </row>
    <row r="6" spans="1:214" s="95" customFormat="1" x14ac:dyDescent="0.2">
      <c r="A6" s="426" t="s">
        <v>465</v>
      </c>
      <c r="B6" s="427">
        <v>0.624</v>
      </c>
      <c r="C6" s="428"/>
      <c r="D6" s="95" t="s">
        <v>52</v>
      </c>
      <c r="E6" s="354">
        <f>0.693/E7</f>
        <v>4.3312499999999997E-4</v>
      </c>
      <c r="G6" s="95" t="s">
        <v>261</v>
      </c>
      <c r="H6" s="354">
        <f>B18</f>
        <v>3.8600000000000001E-10</v>
      </c>
      <c r="I6" s="95" t="s">
        <v>64</v>
      </c>
      <c r="J6" s="95" t="s">
        <v>77</v>
      </c>
      <c r="K6" s="354">
        <f>B19</f>
        <v>7.2999999999999996E-10</v>
      </c>
      <c r="L6" s="95" t="s">
        <v>64</v>
      </c>
      <c r="M6" s="95" t="s">
        <v>61</v>
      </c>
      <c r="N6" s="95">
        <v>20</v>
      </c>
      <c r="O6" s="95" t="s">
        <v>62</v>
      </c>
      <c r="P6" s="95" t="s">
        <v>61</v>
      </c>
      <c r="Q6" s="95">
        <v>20</v>
      </c>
      <c r="R6" s="95" t="s">
        <v>62</v>
      </c>
      <c r="S6" s="95" t="s">
        <v>61</v>
      </c>
      <c r="T6" s="95">
        <v>20</v>
      </c>
      <c r="U6" s="95" t="s">
        <v>62</v>
      </c>
      <c r="V6" s="95" t="s">
        <v>52</v>
      </c>
      <c r="W6" s="354">
        <f>0.693/W7</f>
        <v>4.3312499999999997E-4</v>
      </c>
      <c r="Y6" s="95" t="s">
        <v>52</v>
      </c>
      <c r="Z6" s="354">
        <f>0.693/Z7</f>
        <v>4.3312499999999997E-4</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20</v>
      </c>
      <c r="AT6" s="95" t="s">
        <v>62</v>
      </c>
      <c r="AU6" s="95" t="s">
        <v>61</v>
      </c>
      <c r="AV6" s="95">
        <v>20</v>
      </c>
      <c r="AW6" s="95" t="s">
        <v>62</v>
      </c>
      <c r="AX6" s="95" t="s">
        <v>61</v>
      </c>
      <c r="AY6" s="95">
        <v>20</v>
      </c>
      <c r="AZ6" s="95" t="s">
        <v>62</v>
      </c>
      <c r="BA6" s="95" t="s">
        <v>61</v>
      </c>
      <c r="BB6" s="95">
        <v>20</v>
      </c>
      <c r="BC6" s="95" t="s">
        <v>62</v>
      </c>
      <c r="BD6" s="95" t="s">
        <v>61</v>
      </c>
      <c r="BE6" s="95">
        <v>20</v>
      </c>
      <c r="BF6" s="95" t="s">
        <v>62</v>
      </c>
      <c r="BG6" s="95" t="s">
        <v>61</v>
      </c>
      <c r="BH6" s="95">
        <v>20</v>
      </c>
      <c r="BI6" s="95" t="s">
        <v>62</v>
      </c>
      <c r="BJ6" s="95" t="s">
        <v>61</v>
      </c>
      <c r="BK6" s="95">
        <v>1</v>
      </c>
      <c r="BL6" s="95" t="s">
        <v>62</v>
      </c>
      <c r="BM6" s="95" t="s">
        <v>61</v>
      </c>
      <c r="BN6" s="95">
        <v>1</v>
      </c>
      <c r="BO6" s="95" t="s">
        <v>62</v>
      </c>
      <c r="BP6" s="95" t="s">
        <v>61</v>
      </c>
      <c r="BQ6" s="95">
        <v>1</v>
      </c>
      <c r="BR6" s="95" t="s">
        <v>62</v>
      </c>
      <c r="BS6" s="95" t="s">
        <v>52</v>
      </c>
      <c r="BT6" s="354">
        <f>0.693/BT7</f>
        <v>4.3312499999999997E-4</v>
      </c>
      <c r="BV6" s="95" t="s">
        <v>261</v>
      </c>
      <c r="BW6" s="354">
        <f>H6</f>
        <v>3.8600000000000001E-10</v>
      </c>
      <c r="BX6" s="95" t="s">
        <v>64</v>
      </c>
      <c r="BY6" s="95" t="s">
        <v>77</v>
      </c>
      <c r="BZ6" s="354">
        <f>K6</f>
        <v>7.2999999999999996E-10</v>
      </c>
      <c r="CA6" s="95" t="s">
        <v>64</v>
      </c>
      <c r="CB6" s="95" t="s">
        <v>61</v>
      </c>
      <c r="CC6" s="95">
        <v>26</v>
      </c>
      <c r="CD6" s="95" t="s">
        <v>62</v>
      </c>
      <c r="CE6" s="95" t="s">
        <v>61</v>
      </c>
      <c r="CF6" s="95">
        <v>26</v>
      </c>
      <c r="CG6" s="95" t="s">
        <v>62</v>
      </c>
      <c r="CH6" s="95" t="s">
        <v>61</v>
      </c>
      <c r="CI6" s="95">
        <v>26</v>
      </c>
      <c r="CJ6" s="95" t="s">
        <v>62</v>
      </c>
      <c r="CK6" s="95" t="s">
        <v>415</v>
      </c>
      <c r="CL6" s="354">
        <f>E33</f>
        <v>5.1499999999999998E-10</v>
      </c>
      <c r="CM6" s="95" t="s">
        <v>23</v>
      </c>
      <c r="CN6" s="95" t="s">
        <v>50</v>
      </c>
      <c r="CO6" s="95">
        <f>CO8</f>
        <v>0.2</v>
      </c>
      <c r="CQ6" s="95" t="s">
        <v>345</v>
      </c>
      <c r="CR6" s="357">
        <v>0.5</v>
      </c>
      <c r="CS6" s="95" t="s">
        <v>59</v>
      </c>
      <c r="CT6" s="95" t="s">
        <v>77</v>
      </c>
      <c r="CU6" s="354">
        <f>B19</f>
        <v>7.2999999999999996E-10</v>
      </c>
      <c r="CV6" s="95" t="s">
        <v>64</v>
      </c>
      <c r="CW6" s="95" t="s">
        <v>52</v>
      </c>
      <c r="CX6" s="354">
        <f>0.693/CX7</f>
        <v>4.3312499999999997E-4</v>
      </c>
      <c r="CZ6" s="95" t="s">
        <v>261</v>
      </c>
      <c r="DA6" s="354">
        <f>B18</f>
        <v>3.8600000000000001E-10</v>
      </c>
      <c r="DB6" s="95" t="s">
        <v>64</v>
      </c>
      <c r="DC6" s="95" t="s">
        <v>415</v>
      </c>
      <c r="DD6" s="354">
        <f>B28</f>
        <v>5.1499999999999998E-10</v>
      </c>
      <c r="DE6" s="95" t="s">
        <v>64</v>
      </c>
      <c r="DF6" s="95" t="s">
        <v>56</v>
      </c>
      <c r="DG6" s="95">
        <f>(DG8*DG9*DG14*((1-EXP(-DG11*DG12))))/(DG13*DG11)</f>
        <v>9.2368970701819411</v>
      </c>
      <c r="DH6" s="95" t="s">
        <v>48</v>
      </c>
      <c r="DI6" s="95" t="s">
        <v>57</v>
      </c>
      <c r="DJ6" s="95">
        <f>DJ8</f>
        <v>0.26</v>
      </c>
      <c r="DL6" s="95" t="s">
        <v>57</v>
      </c>
      <c r="DM6" s="95">
        <f>DM8</f>
        <v>0.26</v>
      </c>
      <c r="DO6" s="95" t="s">
        <v>56</v>
      </c>
      <c r="DP6" s="95">
        <f>(DP8*DP9*DP14*((1-EXP(-DP11*DP12))))/(DP13*DP11)</f>
        <v>9.2940667982112686</v>
      </c>
      <c r="DQ6" s="95" t="s">
        <v>48</v>
      </c>
      <c r="DR6" s="95" t="s">
        <v>415</v>
      </c>
      <c r="DS6" s="354">
        <f>B28</f>
        <v>5.1499999999999998E-10</v>
      </c>
      <c r="DT6" s="95" t="s">
        <v>64</v>
      </c>
      <c r="DU6" s="95" t="s">
        <v>58</v>
      </c>
      <c r="DV6" s="95">
        <v>92</v>
      </c>
      <c r="DW6" s="95" t="s">
        <v>59</v>
      </c>
      <c r="DX6" s="95" t="s">
        <v>57</v>
      </c>
      <c r="DY6" s="95">
        <f>DY8</f>
        <v>0.25</v>
      </c>
      <c r="EA6" s="95" t="s">
        <v>57</v>
      </c>
      <c r="EB6" s="95">
        <f>EB8</f>
        <v>0.25</v>
      </c>
      <c r="ED6" s="95" t="s">
        <v>57</v>
      </c>
      <c r="EE6" s="95">
        <f>EE8</f>
        <v>0.25</v>
      </c>
      <c r="EG6" s="95" t="s">
        <v>415</v>
      </c>
      <c r="EH6" s="354">
        <f>B28</f>
        <v>5.1499999999999998E-10</v>
      </c>
      <c r="EI6" s="95" t="s">
        <v>64</v>
      </c>
      <c r="EJ6" s="95" t="s">
        <v>60</v>
      </c>
      <c r="EK6" s="95">
        <v>53</v>
      </c>
      <c r="EL6" s="95" t="s">
        <v>59</v>
      </c>
      <c r="EM6" s="95" t="s">
        <v>57</v>
      </c>
      <c r="EN6" s="95">
        <f>EN8</f>
        <v>0.25</v>
      </c>
      <c r="EP6" s="95" t="s">
        <v>57</v>
      </c>
      <c r="EQ6" s="95">
        <f>EQ8</f>
        <v>0.25</v>
      </c>
      <c r="ES6" s="95" t="s">
        <v>57</v>
      </c>
      <c r="ET6" s="95">
        <f>ET8</f>
        <v>0.25</v>
      </c>
      <c r="EV6" s="95" t="s">
        <v>415</v>
      </c>
      <c r="EW6" s="354">
        <f>B28</f>
        <v>5.1499999999999998E-10</v>
      </c>
      <c r="EX6" s="95" t="s">
        <v>64</v>
      </c>
      <c r="EY6" s="95" t="s">
        <v>297</v>
      </c>
      <c r="EZ6" s="95">
        <v>0.4</v>
      </c>
      <c r="FA6" s="95" t="s">
        <v>59</v>
      </c>
      <c r="FB6" s="95" t="s">
        <v>57</v>
      </c>
      <c r="FC6" s="95">
        <f>FC8</f>
        <v>0.25</v>
      </c>
      <c r="FE6" s="95" t="s">
        <v>57</v>
      </c>
      <c r="FF6" s="95">
        <f>FF8</f>
        <v>0.25</v>
      </c>
      <c r="FH6" s="95" t="s">
        <v>57</v>
      </c>
      <c r="FI6" s="95">
        <f>FI8</f>
        <v>0.25</v>
      </c>
      <c r="FK6" s="95" t="s">
        <v>415</v>
      </c>
      <c r="FL6" s="354">
        <f>B28</f>
        <v>5.1499999999999998E-10</v>
      </c>
      <c r="FM6" s="95" t="s">
        <v>64</v>
      </c>
      <c r="FN6" s="95" t="s">
        <v>300</v>
      </c>
      <c r="FO6" s="357">
        <v>1</v>
      </c>
      <c r="FP6" s="95" t="s">
        <v>59</v>
      </c>
      <c r="FQ6" s="95" t="s">
        <v>322</v>
      </c>
      <c r="FR6" s="354">
        <v>8.1999999999999993</v>
      </c>
      <c r="FT6" s="95" t="s">
        <v>57</v>
      </c>
      <c r="FU6" s="95">
        <f>FU8</f>
        <v>0.25</v>
      </c>
      <c r="FW6" s="95" t="s">
        <v>57</v>
      </c>
      <c r="FX6" s="95">
        <f>FX8</f>
        <v>0.25</v>
      </c>
      <c r="FZ6" s="95" t="s">
        <v>415</v>
      </c>
      <c r="GA6" s="354">
        <f>B28</f>
        <v>5.1499999999999998E-10</v>
      </c>
      <c r="GB6" s="95" t="s">
        <v>64</v>
      </c>
      <c r="GC6" s="95" t="s">
        <v>298</v>
      </c>
      <c r="GD6" s="95">
        <v>0.4</v>
      </c>
      <c r="GE6" s="95" t="s">
        <v>59</v>
      </c>
      <c r="GF6" s="95" t="s">
        <v>57</v>
      </c>
      <c r="GG6" s="95">
        <f>GG8</f>
        <v>0.25</v>
      </c>
      <c r="GI6" s="95" t="s">
        <v>57</v>
      </c>
      <c r="GJ6" s="95">
        <f>GJ8</f>
        <v>0.25</v>
      </c>
      <c r="GL6" s="95" t="s">
        <v>57</v>
      </c>
      <c r="GM6" s="95">
        <f>GM8</f>
        <v>0.25</v>
      </c>
      <c r="GO6" s="95" t="s">
        <v>415</v>
      </c>
      <c r="GP6" s="354">
        <f>B28</f>
        <v>5.1499999999999998E-10</v>
      </c>
      <c r="GQ6" s="95" t="s">
        <v>64</v>
      </c>
      <c r="GR6" s="95" t="s">
        <v>299</v>
      </c>
      <c r="GS6" s="95">
        <v>11.4</v>
      </c>
      <c r="GT6" s="95" t="s">
        <v>59</v>
      </c>
      <c r="GU6" s="95" t="s">
        <v>57</v>
      </c>
      <c r="GV6" s="95">
        <f>GV8</f>
        <v>0.25</v>
      </c>
      <c r="GX6" s="95" t="s">
        <v>57</v>
      </c>
      <c r="GY6" s="95">
        <f>GY8</f>
        <v>0.25</v>
      </c>
      <c r="HA6" s="95" t="s">
        <v>57</v>
      </c>
      <c r="HB6" s="95">
        <f>HB8</f>
        <v>0.25</v>
      </c>
      <c r="HD6" s="95" t="s">
        <v>17</v>
      </c>
      <c r="HE6" s="354">
        <f>H3</f>
        <v>2.0419860360625861E-3</v>
      </c>
      <c r="HF6" s="95" t="s">
        <v>25</v>
      </c>
    </row>
    <row r="7" spans="1:214" s="95" customFormat="1" x14ac:dyDescent="0.2">
      <c r="A7" s="426" t="s">
        <v>466</v>
      </c>
      <c r="B7" s="427">
        <v>6.8599999999999994E-2</v>
      </c>
      <c r="C7" s="428"/>
      <c r="D7" s="95" t="s">
        <v>448</v>
      </c>
      <c r="E7" s="354">
        <f>B29</f>
        <v>1600</v>
      </c>
      <c r="F7" s="95" t="s">
        <v>129</v>
      </c>
      <c r="G7" s="95" t="s">
        <v>75</v>
      </c>
      <c r="H7" s="354">
        <f>B17</f>
        <v>1.16E-8</v>
      </c>
      <c r="I7" s="95" t="s">
        <v>64</v>
      </c>
      <c r="J7" s="95" t="s">
        <v>75</v>
      </c>
      <c r="K7" s="354">
        <f>B17</f>
        <v>1.16E-8</v>
      </c>
      <c r="L7" s="95" t="s">
        <v>64</v>
      </c>
      <c r="M7" s="95" t="s">
        <v>52</v>
      </c>
      <c r="N7" s="354">
        <f>0.693/N8</f>
        <v>4.3312499999999997E-4</v>
      </c>
      <c r="P7" s="95" t="s">
        <v>52</v>
      </c>
      <c r="Q7" s="354">
        <f>0.693/Q8</f>
        <v>4.3312499999999997E-4</v>
      </c>
      <c r="S7" s="95" t="s">
        <v>52</v>
      </c>
      <c r="T7" s="354">
        <f>0.693/T8</f>
        <v>4.3312499999999997E-4</v>
      </c>
      <c r="V7" s="95" t="s">
        <v>448</v>
      </c>
      <c r="W7" s="354">
        <f>B29</f>
        <v>1600</v>
      </c>
      <c r="X7" s="95" t="s">
        <v>129</v>
      </c>
      <c r="Y7" s="95" t="s">
        <v>448</v>
      </c>
      <c r="Z7" s="354">
        <f>B29</f>
        <v>1600</v>
      </c>
      <c r="AA7" s="95" t="s">
        <v>129</v>
      </c>
      <c r="AB7" s="95" t="s">
        <v>69</v>
      </c>
      <c r="AC7" s="95">
        <v>200</v>
      </c>
      <c r="AD7" s="95">
        <v>130</v>
      </c>
      <c r="AE7" s="95">
        <v>130</v>
      </c>
      <c r="AF7" s="95">
        <f>AF12*AF13</f>
        <v>130</v>
      </c>
      <c r="AG7" s="95">
        <f>AG12*AG13</f>
        <v>130</v>
      </c>
      <c r="AH7" s="95" t="s">
        <v>55</v>
      </c>
      <c r="AI7" s="95" t="s">
        <v>52</v>
      </c>
      <c r="AJ7" s="354">
        <f>0.693/AJ8</f>
        <v>4.3312499999999997E-4</v>
      </c>
      <c r="AL7" s="95" t="s">
        <v>52</v>
      </c>
      <c r="AM7" s="354">
        <f>0.693/AM8</f>
        <v>4.3312499999999997E-4</v>
      </c>
      <c r="AO7" s="95" t="s">
        <v>52</v>
      </c>
      <c r="AP7" s="354">
        <f>0.693/AP8</f>
        <v>4.3312499999999997E-4</v>
      </c>
      <c r="AR7" s="95" t="s">
        <v>52</v>
      </c>
      <c r="AS7" s="354">
        <f>0.693/AS8</f>
        <v>4.3312499999999997E-4</v>
      </c>
      <c r="AU7" s="95" t="s">
        <v>52</v>
      </c>
      <c r="AV7" s="354">
        <f>0.693/AV8</f>
        <v>4.3312499999999997E-4</v>
      </c>
      <c r="AX7" s="95" t="s">
        <v>52</v>
      </c>
      <c r="AY7" s="354">
        <f>0.693/AY8</f>
        <v>4.3312499999999997E-4</v>
      </c>
      <c r="BA7" s="95" t="s">
        <v>52</v>
      </c>
      <c r="BB7" s="354">
        <f>0.693/BB8</f>
        <v>4.3312499999999997E-4</v>
      </c>
      <c r="BD7" s="95" t="s">
        <v>52</v>
      </c>
      <c r="BE7" s="354">
        <f>0.693/BE8</f>
        <v>4.3312499999999997E-4</v>
      </c>
      <c r="BG7" s="95" t="s">
        <v>52</v>
      </c>
      <c r="BH7" s="354">
        <f>0.693/BH8</f>
        <v>4.3312499999999997E-4</v>
      </c>
      <c r="BJ7" s="95" t="s">
        <v>52</v>
      </c>
      <c r="BK7" s="354">
        <f>0.693/BK8</f>
        <v>4.3312499999999997E-4</v>
      </c>
      <c r="BM7" s="95" t="s">
        <v>52</v>
      </c>
      <c r="BN7" s="354">
        <f>0.693/BN8</f>
        <v>4.3312499999999997E-4</v>
      </c>
      <c r="BP7" s="95" t="s">
        <v>52</v>
      </c>
      <c r="BQ7" s="354">
        <f>0.693/BQ8</f>
        <v>4.3312499999999997E-4</v>
      </c>
      <c r="BS7" s="95" t="s">
        <v>448</v>
      </c>
      <c r="BT7" s="354">
        <f>B29</f>
        <v>1600</v>
      </c>
      <c r="BU7" s="95" t="s">
        <v>129</v>
      </c>
      <c r="BV7" s="95" t="s">
        <v>75</v>
      </c>
      <c r="BW7" s="354">
        <f>E10</f>
        <v>1.16E-8</v>
      </c>
      <c r="BX7" s="95" t="s">
        <v>64</v>
      </c>
      <c r="BY7" s="95" t="s">
        <v>75</v>
      </c>
      <c r="BZ7" s="354">
        <f>E10</f>
        <v>1.16E-8</v>
      </c>
      <c r="CA7" s="95" t="s">
        <v>64</v>
      </c>
      <c r="CB7" s="95" t="s">
        <v>52</v>
      </c>
      <c r="CC7" s="354">
        <f>0.693/CC8</f>
        <v>4.3312499999999997E-4</v>
      </c>
      <c r="CE7" s="95" t="s">
        <v>52</v>
      </c>
      <c r="CF7" s="354">
        <f>0.693/CF8</f>
        <v>4.3312499999999997E-4</v>
      </c>
      <c r="CH7" s="95" t="s">
        <v>52</v>
      </c>
      <c r="CI7" s="354">
        <f>0.693/CI8</f>
        <v>4.3312499999999997E-4</v>
      </c>
      <c r="CK7" s="95" t="s">
        <v>238</v>
      </c>
      <c r="CL7" s="95">
        <v>80</v>
      </c>
      <c r="CM7" s="95" t="s">
        <v>268</v>
      </c>
      <c r="CN7" s="95" t="s">
        <v>57</v>
      </c>
      <c r="CO7" s="95">
        <f>CO9</f>
        <v>0.25</v>
      </c>
      <c r="CR7" s="95">
        <v>1000</v>
      </c>
      <c r="CS7" s="95" t="s">
        <v>230</v>
      </c>
      <c r="CT7" s="95" t="s">
        <v>75</v>
      </c>
      <c r="CU7" s="354">
        <f>B17</f>
        <v>1.16E-8</v>
      </c>
      <c r="CV7" s="95" t="s">
        <v>64</v>
      </c>
      <c r="CW7" s="95" t="s">
        <v>448</v>
      </c>
      <c r="CX7" s="354">
        <f>B29</f>
        <v>1600</v>
      </c>
      <c r="CY7" s="95" t="s">
        <v>129</v>
      </c>
      <c r="CZ7" s="95" t="s">
        <v>75</v>
      </c>
      <c r="DA7" s="354">
        <f>B17</f>
        <v>1.16E-8</v>
      </c>
      <c r="DB7" s="95" t="s">
        <v>64</v>
      </c>
      <c r="DC7" s="95" t="s">
        <v>142</v>
      </c>
      <c r="DD7" s="358">
        <f>(DD5)/(DD6*(DD8+DD11)*DD21)</f>
        <v>8.023750300890635E-3</v>
      </c>
      <c r="DE7" s="95" t="s">
        <v>23</v>
      </c>
      <c r="DF7" s="95" t="s">
        <v>65</v>
      </c>
      <c r="DG7" s="95">
        <f>(DG8*DG9*DG15*DG21*((1-EXP(-DG16*DG17))))/(DG18*DG16)</f>
        <v>3.6423470278489711</v>
      </c>
      <c r="DH7" s="95" t="s">
        <v>48</v>
      </c>
      <c r="DI7" s="95" t="s">
        <v>66</v>
      </c>
      <c r="DJ7" s="95">
        <f>B40</f>
        <v>1E-3</v>
      </c>
      <c r="DL7" s="95" t="s">
        <v>66</v>
      </c>
      <c r="DM7" s="95">
        <f>B40</f>
        <v>1E-3</v>
      </c>
      <c r="DO7" s="95" t="s">
        <v>65</v>
      </c>
      <c r="DP7" s="95">
        <f>(DP8*DP9*DP15*DP21*((1-EXP(-DP16*DP17))))/(DP18*DP16)</f>
        <v>3.6424203206347228</v>
      </c>
      <c r="DQ7" s="95" t="s">
        <v>48</v>
      </c>
      <c r="DR7" s="95" t="s">
        <v>142</v>
      </c>
      <c r="DS7" s="358">
        <f>DS5/(DS6*DS8*DS17)</f>
        <v>1.604750060178127E-2</v>
      </c>
      <c r="DT7" s="95" t="s">
        <v>23</v>
      </c>
      <c r="DX7" s="95" t="s">
        <v>67</v>
      </c>
      <c r="DY7" s="354">
        <f>B43</f>
        <v>0.2</v>
      </c>
      <c r="EA7" s="95" t="s">
        <v>67</v>
      </c>
      <c r="EB7" s="354">
        <f>B43</f>
        <v>0.2</v>
      </c>
      <c r="ED7" s="95" t="s">
        <v>67</v>
      </c>
      <c r="EE7" s="354">
        <f>B43</f>
        <v>0.2</v>
      </c>
      <c r="EG7" s="95" t="s">
        <v>142</v>
      </c>
      <c r="EH7" s="358">
        <f>EH5/(EH6*EH8*EH17)</f>
        <v>1.604750060178127E-2</v>
      </c>
      <c r="EI7" s="95" t="s">
        <v>23</v>
      </c>
      <c r="EM7" s="95" t="s">
        <v>67</v>
      </c>
      <c r="EN7" s="354">
        <f>B43</f>
        <v>0.2</v>
      </c>
      <c r="EP7" s="95" t="s">
        <v>67</v>
      </c>
      <c r="EQ7" s="354">
        <f>B43</f>
        <v>0.2</v>
      </c>
      <c r="ES7" s="95" t="s">
        <v>67</v>
      </c>
      <c r="ET7" s="354">
        <f>B43</f>
        <v>0.2</v>
      </c>
      <c r="EV7" s="95" t="s">
        <v>142</v>
      </c>
      <c r="EW7" s="358">
        <f>EW5/(EW6*EW8*EW17)</f>
        <v>1.604750060178127E-2</v>
      </c>
      <c r="EX7" s="95" t="s">
        <v>23</v>
      </c>
      <c r="EZ7" s="95">
        <v>1000</v>
      </c>
      <c r="FA7" s="95" t="s">
        <v>230</v>
      </c>
      <c r="FB7" s="95" t="s">
        <v>67</v>
      </c>
      <c r="FC7" s="354">
        <f>B43</f>
        <v>0.2</v>
      </c>
      <c r="FE7" s="95" t="s">
        <v>67</v>
      </c>
      <c r="FF7" s="354">
        <f>B43</f>
        <v>0.2</v>
      </c>
      <c r="FH7" s="95" t="s">
        <v>67</v>
      </c>
      <c r="FI7" s="354">
        <f>B43</f>
        <v>0.2</v>
      </c>
      <c r="FK7" s="95" t="s">
        <v>142</v>
      </c>
      <c r="FL7" s="358">
        <f>FL5/(FL6*FL8*FL17)</f>
        <v>1.604750060178127E-2</v>
      </c>
      <c r="FM7" s="95" t="s">
        <v>23</v>
      </c>
      <c r="FO7" s="95">
        <v>1000</v>
      </c>
      <c r="FP7" s="95" t="s">
        <v>230</v>
      </c>
      <c r="FT7" s="95" t="s">
        <v>67</v>
      </c>
      <c r="FU7" s="354">
        <f>B43</f>
        <v>0.2</v>
      </c>
      <c r="FW7" s="95" t="s">
        <v>67</v>
      </c>
      <c r="FX7" s="354">
        <f>B43</f>
        <v>0.2</v>
      </c>
      <c r="FZ7" s="95" t="s">
        <v>142</v>
      </c>
      <c r="GA7" s="358">
        <f>GA5/(GA6*GA8*GA17)</f>
        <v>1.604750060178127E-2</v>
      </c>
      <c r="GB7" s="95" t="s">
        <v>23</v>
      </c>
      <c r="GD7" s="95">
        <v>1000</v>
      </c>
      <c r="GE7" s="95" t="s">
        <v>230</v>
      </c>
      <c r="GF7" s="95" t="s">
        <v>67</v>
      </c>
      <c r="GG7" s="354">
        <f>B43</f>
        <v>0.2</v>
      </c>
      <c r="GI7" s="95" t="s">
        <v>67</v>
      </c>
      <c r="GJ7" s="354">
        <f>B43</f>
        <v>0.2</v>
      </c>
      <c r="GL7" s="95" t="s">
        <v>67</v>
      </c>
      <c r="GM7" s="354">
        <f>B43</f>
        <v>0.2</v>
      </c>
      <c r="GO7" s="95" t="s">
        <v>142</v>
      </c>
      <c r="GP7" s="358">
        <f>GP5/(GP6*GP8*GP16)</f>
        <v>1.604750060178127E-2</v>
      </c>
      <c r="GQ7" s="95" t="s">
        <v>23</v>
      </c>
      <c r="GS7" s="95">
        <v>1000</v>
      </c>
      <c r="GT7" s="95" t="s">
        <v>230</v>
      </c>
      <c r="GU7" s="95" t="s">
        <v>67</v>
      </c>
      <c r="GV7" s="354">
        <f>B43</f>
        <v>0.2</v>
      </c>
      <c r="GX7" s="95" t="s">
        <v>67</v>
      </c>
      <c r="GY7" s="354">
        <f>B43</f>
        <v>0.2</v>
      </c>
      <c r="HA7" s="95" t="s">
        <v>67</v>
      </c>
      <c r="HB7" s="354">
        <f>B43</f>
        <v>0.2</v>
      </c>
      <c r="HD7" s="95" t="s">
        <v>52</v>
      </c>
      <c r="HE7" s="354">
        <f>0.693/HE8</f>
        <v>4.3312499999999997E-4</v>
      </c>
    </row>
    <row r="8" spans="1:214" s="95" customFormat="1" x14ac:dyDescent="0.2">
      <c r="A8" s="426" t="s">
        <v>467</v>
      </c>
      <c r="B8" s="427">
        <v>0.73699999999999999</v>
      </c>
      <c r="C8" s="428"/>
      <c r="D8" s="95" t="s">
        <v>54</v>
      </c>
      <c r="E8" s="95">
        <v>350</v>
      </c>
      <c r="F8" s="95" t="s">
        <v>63</v>
      </c>
      <c r="G8" s="95" t="s">
        <v>409</v>
      </c>
      <c r="H8" s="354">
        <f>B27</f>
        <v>1.7100000000000001E-11</v>
      </c>
      <c r="I8" s="95" t="s">
        <v>64</v>
      </c>
      <c r="J8" s="95" t="s">
        <v>131</v>
      </c>
      <c r="K8" s="354">
        <f>B21</f>
        <v>8.49E-6</v>
      </c>
      <c r="L8" s="95" t="s">
        <v>163</v>
      </c>
      <c r="M8" s="95" t="s">
        <v>448</v>
      </c>
      <c r="N8" s="354">
        <f>B29</f>
        <v>1600</v>
      </c>
      <c r="O8" s="95" t="s">
        <v>129</v>
      </c>
      <c r="P8" s="95" t="s">
        <v>448</v>
      </c>
      <c r="Q8" s="354">
        <f>B29</f>
        <v>1600</v>
      </c>
      <c r="R8" s="95" t="s">
        <v>129</v>
      </c>
      <c r="S8" s="95" t="s">
        <v>448</v>
      </c>
      <c r="T8" s="354">
        <f>B29</f>
        <v>1600</v>
      </c>
      <c r="U8" s="95" t="s">
        <v>129</v>
      </c>
      <c r="V8" s="95" t="s">
        <v>54</v>
      </c>
      <c r="W8" s="95">
        <v>200</v>
      </c>
      <c r="X8" s="95" t="s">
        <v>63</v>
      </c>
      <c r="Y8" s="95" t="s">
        <v>54</v>
      </c>
      <c r="Z8" s="95">
        <v>200</v>
      </c>
      <c r="AA8" s="95" t="s">
        <v>63</v>
      </c>
      <c r="AB8" s="95" t="s">
        <v>77</v>
      </c>
      <c r="AC8" s="354">
        <f>B20</f>
        <v>2.9500000000000002E-10</v>
      </c>
      <c r="AD8" s="354">
        <f>B20</f>
        <v>2.9500000000000002E-10</v>
      </c>
      <c r="AE8" s="354">
        <f>B20</f>
        <v>2.9500000000000002E-10</v>
      </c>
      <c r="AF8" s="354">
        <f>B20</f>
        <v>2.9500000000000002E-10</v>
      </c>
      <c r="AG8" s="354">
        <f>B20</f>
        <v>2.9500000000000002E-10</v>
      </c>
      <c r="AH8" s="95" t="s">
        <v>64</v>
      </c>
      <c r="AI8" s="95" t="s">
        <v>448</v>
      </c>
      <c r="AJ8" s="354">
        <f>B29</f>
        <v>1600</v>
      </c>
      <c r="AK8" s="95" t="s">
        <v>129</v>
      </c>
      <c r="AL8" s="95" t="s">
        <v>448</v>
      </c>
      <c r="AM8" s="354">
        <f>B29</f>
        <v>1600</v>
      </c>
      <c r="AN8" s="95" t="s">
        <v>129</v>
      </c>
      <c r="AO8" s="95" t="s">
        <v>448</v>
      </c>
      <c r="AP8" s="354">
        <f>B29</f>
        <v>1600</v>
      </c>
      <c r="AQ8" s="95" t="s">
        <v>129</v>
      </c>
      <c r="AR8" s="95" t="s">
        <v>448</v>
      </c>
      <c r="AS8" s="354">
        <f>B29</f>
        <v>1600</v>
      </c>
      <c r="AT8" s="95" t="s">
        <v>129</v>
      </c>
      <c r="AU8" s="95" t="s">
        <v>448</v>
      </c>
      <c r="AV8" s="354">
        <f>B29</f>
        <v>1600</v>
      </c>
      <c r="AW8" s="95" t="s">
        <v>129</v>
      </c>
      <c r="AX8" s="95" t="s">
        <v>448</v>
      </c>
      <c r="AY8" s="354">
        <f>B29</f>
        <v>1600</v>
      </c>
      <c r="AZ8" s="95" t="s">
        <v>129</v>
      </c>
      <c r="BA8" s="95" t="s">
        <v>448</v>
      </c>
      <c r="BB8" s="354">
        <f>B29</f>
        <v>1600</v>
      </c>
      <c r="BC8" s="95" t="s">
        <v>129</v>
      </c>
      <c r="BD8" s="95" t="s">
        <v>448</v>
      </c>
      <c r="BE8" s="354">
        <f>B29</f>
        <v>1600</v>
      </c>
      <c r="BF8" s="95" t="s">
        <v>129</v>
      </c>
      <c r="BG8" s="95" t="s">
        <v>448</v>
      </c>
      <c r="BH8" s="354">
        <f>B29</f>
        <v>1600</v>
      </c>
      <c r="BI8" s="95" t="s">
        <v>129</v>
      </c>
      <c r="BJ8" s="95" t="s">
        <v>448</v>
      </c>
      <c r="BK8" s="354">
        <f>B29</f>
        <v>1600</v>
      </c>
      <c r="BL8" s="95" t="s">
        <v>129</v>
      </c>
      <c r="BM8" s="95" t="s">
        <v>448</v>
      </c>
      <c r="BN8" s="354">
        <f>B29</f>
        <v>1600</v>
      </c>
      <c r="BO8" s="95" t="s">
        <v>129</v>
      </c>
      <c r="BP8" s="95" t="s">
        <v>448</v>
      </c>
      <c r="BQ8" s="354">
        <f>B29</f>
        <v>1600</v>
      </c>
      <c r="BR8" s="95" t="s">
        <v>129</v>
      </c>
      <c r="BS8" s="95" t="s">
        <v>54</v>
      </c>
      <c r="BT8" s="95">
        <v>75</v>
      </c>
      <c r="BU8" s="95" t="s">
        <v>63</v>
      </c>
      <c r="BV8" s="95" t="s">
        <v>409</v>
      </c>
      <c r="BW8" s="354">
        <f>H8</f>
        <v>1.7100000000000001E-11</v>
      </c>
      <c r="BX8" s="95" t="s">
        <v>64</v>
      </c>
      <c r="BY8" s="95" t="s">
        <v>131</v>
      </c>
      <c r="BZ8" s="354">
        <f>K8</f>
        <v>8.49E-6</v>
      </c>
      <c r="CA8" s="95" t="s">
        <v>163</v>
      </c>
      <c r="CB8" s="95" t="s">
        <v>448</v>
      </c>
      <c r="CC8" s="354">
        <f>B29</f>
        <v>1600</v>
      </c>
      <c r="CD8" s="95" t="s">
        <v>129</v>
      </c>
      <c r="CE8" s="95" t="s">
        <v>448</v>
      </c>
      <c r="CF8" s="354">
        <f>B29</f>
        <v>1600</v>
      </c>
      <c r="CG8" s="95" t="s">
        <v>129</v>
      </c>
      <c r="CH8" s="95" t="s">
        <v>448</v>
      </c>
      <c r="CI8" s="354">
        <f>B29</f>
        <v>1600</v>
      </c>
      <c r="CJ8" s="95" t="s">
        <v>129</v>
      </c>
      <c r="CK8" s="95" t="s">
        <v>107</v>
      </c>
      <c r="CL8" s="95">
        <v>26</v>
      </c>
      <c r="CM8" s="95" t="s">
        <v>276</v>
      </c>
      <c r="CN8" s="95" t="s">
        <v>67</v>
      </c>
      <c r="CO8" s="354">
        <f>B43</f>
        <v>0.2</v>
      </c>
      <c r="CT8" s="95" t="s">
        <v>131</v>
      </c>
      <c r="CU8" s="354">
        <f>B21</f>
        <v>8.49E-6</v>
      </c>
      <c r="CV8" s="95" t="s">
        <v>163</v>
      </c>
      <c r="CW8" s="95" t="s">
        <v>54</v>
      </c>
      <c r="CX8" s="95">
        <v>350</v>
      </c>
      <c r="CY8" s="95" t="s">
        <v>63</v>
      </c>
      <c r="CZ8" s="95" t="s">
        <v>257</v>
      </c>
      <c r="DA8" s="359">
        <f>B27</f>
        <v>1.7100000000000001E-11</v>
      </c>
      <c r="DB8" s="95" t="s">
        <v>64</v>
      </c>
      <c r="DC8" s="95" t="s">
        <v>282</v>
      </c>
      <c r="DD8" s="360">
        <f>(DD9*DD15*DD16)+(DD10*DD14*DD17)</f>
        <v>121000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121000</v>
      </c>
      <c r="DT8" s="95" t="s">
        <v>230</v>
      </c>
      <c r="DX8" s="95" t="s">
        <v>73</v>
      </c>
      <c r="DY8" s="95">
        <v>0.25</v>
      </c>
      <c r="EA8" s="95" t="s">
        <v>73</v>
      </c>
      <c r="EB8" s="95">
        <v>0.25</v>
      </c>
      <c r="ED8" s="95" t="s">
        <v>73</v>
      </c>
      <c r="EE8" s="95">
        <v>0.25</v>
      </c>
      <c r="EG8" s="95" t="s">
        <v>284</v>
      </c>
      <c r="EH8" s="360">
        <f>(EH13*EH11*EH9)+(EH14*EH12*EH10)</f>
        <v>121000</v>
      </c>
      <c r="EI8" s="95" t="s">
        <v>230</v>
      </c>
      <c r="EM8" s="95" t="s">
        <v>73</v>
      </c>
      <c r="EN8" s="95">
        <v>0.25</v>
      </c>
      <c r="EP8" s="95" t="s">
        <v>73</v>
      </c>
      <c r="EQ8" s="95">
        <v>0.25</v>
      </c>
      <c r="ES8" s="95" t="s">
        <v>73</v>
      </c>
      <c r="ET8" s="95">
        <v>0.25</v>
      </c>
      <c r="EV8" s="95" t="s">
        <v>286</v>
      </c>
      <c r="EW8" s="360">
        <f>(EW11*EW13*EW9)+(EW12*EW14*EW10)</f>
        <v>121000</v>
      </c>
      <c r="EX8" s="95" t="s">
        <v>230</v>
      </c>
      <c r="FB8" s="95" t="s">
        <v>316</v>
      </c>
      <c r="FC8" s="95">
        <v>0.25</v>
      </c>
      <c r="FE8" s="95" t="s">
        <v>316</v>
      </c>
      <c r="FF8" s="95">
        <v>0.25</v>
      </c>
      <c r="FH8" s="95" t="s">
        <v>316</v>
      </c>
      <c r="FI8" s="95">
        <v>0.25</v>
      </c>
      <c r="FK8" s="95" t="s">
        <v>289</v>
      </c>
      <c r="FL8" s="361">
        <f>(FL13*FL9*FL11)+(FL14*FL10*FL12)</f>
        <v>121000</v>
      </c>
      <c r="FM8" s="95" t="s">
        <v>230</v>
      </c>
      <c r="FT8" s="95" t="s">
        <v>311</v>
      </c>
      <c r="FU8" s="95">
        <v>0.25</v>
      </c>
      <c r="FW8" s="95" t="s">
        <v>311</v>
      </c>
      <c r="FX8" s="95">
        <v>0.25</v>
      </c>
      <c r="FZ8" s="95" t="s">
        <v>292</v>
      </c>
      <c r="GA8" s="361">
        <f>(GA11*GA9*GA13)+(GA14*GA10*GA12)</f>
        <v>121000</v>
      </c>
      <c r="GB8" s="95" t="s">
        <v>230</v>
      </c>
      <c r="GF8" s="95" t="s">
        <v>305</v>
      </c>
      <c r="GG8" s="95">
        <v>0.25</v>
      </c>
      <c r="GI8" s="95" t="s">
        <v>305</v>
      </c>
      <c r="GJ8" s="95">
        <v>0.25</v>
      </c>
      <c r="GL8" s="95" t="s">
        <v>305</v>
      </c>
      <c r="GM8" s="95">
        <v>0.25</v>
      </c>
      <c r="GO8" s="95" t="s">
        <v>293</v>
      </c>
      <c r="GP8" s="360">
        <f>(GP13*GP9*GP11)+(GP14*GP10*GP12)</f>
        <v>121000</v>
      </c>
      <c r="GQ8" s="95" t="s">
        <v>230</v>
      </c>
      <c r="GU8" s="95" t="s">
        <v>310</v>
      </c>
      <c r="GV8" s="95">
        <v>0.25</v>
      </c>
      <c r="GX8" s="95" t="s">
        <v>310</v>
      </c>
      <c r="GY8" s="95">
        <v>0.25</v>
      </c>
      <c r="HA8" s="95" t="s">
        <v>310</v>
      </c>
      <c r="HB8" s="95">
        <v>0.25</v>
      </c>
      <c r="HD8" s="95" t="s">
        <v>448</v>
      </c>
      <c r="HE8" s="354">
        <f>B29</f>
        <v>1600</v>
      </c>
      <c r="HF8" s="95" t="s">
        <v>129</v>
      </c>
    </row>
    <row r="9" spans="1:214" s="95" customFormat="1" x14ac:dyDescent="0.2">
      <c r="A9" s="426" t="s">
        <v>468</v>
      </c>
      <c r="B9" s="427">
        <v>0.10100000000000001</v>
      </c>
      <c r="C9" s="428"/>
      <c r="D9" s="95" t="s">
        <v>68</v>
      </c>
      <c r="E9" s="95">
        <v>26</v>
      </c>
      <c r="F9" s="95" t="s">
        <v>62</v>
      </c>
      <c r="G9" s="95" t="s">
        <v>415</v>
      </c>
      <c r="H9" s="354">
        <f>B28</f>
        <v>5.1499999999999998E-10</v>
      </c>
      <c r="I9" s="95" t="s">
        <v>64</v>
      </c>
      <c r="J9" s="95" t="s">
        <v>415</v>
      </c>
      <c r="K9" s="354">
        <f>B28</f>
        <v>5.1499999999999998E-10</v>
      </c>
      <c r="L9" s="95" t="s">
        <v>64</v>
      </c>
      <c r="M9" s="95" t="s">
        <v>54</v>
      </c>
      <c r="N9" s="95">
        <v>55</v>
      </c>
      <c r="O9" s="95" t="s">
        <v>63</v>
      </c>
      <c r="P9" s="95" t="s">
        <v>54</v>
      </c>
      <c r="Q9" s="95">
        <v>55</v>
      </c>
      <c r="R9" s="95" t="s">
        <v>63</v>
      </c>
      <c r="S9" s="95" t="s">
        <v>54</v>
      </c>
      <c r="T9" s="95">
        <v>55</v>
      </c>
      <c r="U9" s="95" t="s">
        <v>63</v>
      </c>
      <c r="V9" s="95" t="s">
        <v>68</v>
      </c>
      <c r="W9" s="95">
        <v>20</v>
      </c>
      <c r="X9" s="95" t="s">
        <v>62</v>
      </c>
      <c r="Y9" s="95" t="s">
        <v>68</v>
      </c>
      <c r="Z9" s="95">
        <v>20</v>
      </c>
      <c r="AA9" s="95" t="s">
        <v>62</v>
      </c>
      <c r="AB9" s="95" t="s">
        <v>75</v>
      </c>
      <c r="AC9" s="354">
        <f>B17</f>
        <v>1.16E-8</v>
      </c>
      <c r="AD9" s="354">
        <f>B17</f>
        <v>1.16E-8</v>
      </c>
      <c r="AE9" s="354">
        <f>B17</f>
        <v>1.16E-8</v>
      </c>
      <c r="AF9" s="354">
        <f>B17</f>
        <v>1.16E-8</v>
      </c>
      <c r="AG9" s="354">
        <f>B17</f>
        <v>1.16E-8</v>
      </c>
      <c r="AH9" s="95" t="s">
        <v>64</v>
      </c>
      <c r="AI9" s="95" t="s">
        <v>54</v>
      </c>
      <c r="AJ9" s="95">
        <v>130</v>
      </c>
      <c r="AK9" s="95" t="s">
        <v>63</v>
      </c>
      <c r="AL9" s="95" t="s">
        <v>54</v>
      </c>
      <c r="AM9" s="95">
        <v>130</v>
      </c>
      <c r="AN9" s="95" t="s">
        <v>63</v>
      </c>
      <c r="AO9" s="95" t="s">
        <v>54</v>
      </c>
      <c r="AP9" s="95">
        <v>130</v>
      </c>
      <c r="AQ9" s="95" t="s">
        <v>63</v>
      </c>
      <c r="AR9" s="95" t="s">
        <v>54</v>
      </c>
      <c r="AS9" s="95">
        <v>200</v>
      </c>
      <c r="AT9" s="95" t="s">
        <v>63</v>
      </c>
      <c r="AU9" s="95" t="s">
        <v>54</v>
      </c>
      <c r="AV9" s="95">
        <v>200</v>
      </c>
      <c r="AW9" s="95" t="s">
        <v>63</v>
      </c>
      <c r="AX9" s="95" t="s">
        <v>54</v>
      </c>
      <c r="AY9" s="95">
        <v>200</v>
      </c>
      <c r="AZ9" s="95" t="s">
        <v>63</v>
      </c>
      <c r="BA9" s="95" t="s">
        <v>54</v>
      </c>
      <c r="BB9" s="95">
        <v>200</v>
      </c>
      <c r="BC9" s="95" t="s">
        <v>63</v>
      </c>
      <c r="BD9" s="95" t="s">
        <v>54</v>
      </c>
      <c r="BE9" s="95">
        <v>200</v>
      </c>
      <c r="BF9" s="95" t="s">
        <v>63</v>
      </c>
      <c r="BG9" s="95" t="s">
        <v>54</v>
      </c>
      <c r="BH9" s="95">
        <v>200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5.1499999999999998E-10</v>
      </c>
      <c r="BX9" s="95" t="s">
        <v>64</v>
      </c>
      <c r="BY9" s="95" t="s">
        <v>164</v>
      </c>
      <c r="BZ9" s="354">
        <f>B30</f>
        <v>1359344473.5814338</v>
      </c>
      <c r="CA9" s="95" t="s">
        <v>165</v>
      </c>
      <c r="CB9" s="95" t="s">
        <v>54</v>
      </c>
      <c r="CC9" s="95">
        <v>80</v>
      </c>
      <c r="CD9" s="95" t="s">
        <v>63</v>
      </c>
      <c r="CE9" s="95" t="s">
        <v>54</v>
      </c>
      <c r="CF9" s="95">
        <v>80</v>
      </c>
      <c r="CG9" s="95" t="s">
        <v>63</v>
      </c>
      <c r="CH9" s="95" t="s">
        <v>54</v>
      </c>
      <c r="CI9" s="95">
        <v>80</v>
      </c>
      <c r="CJ9" s="95" t="s">
        <v>63</v>
      </c>
      <c r="CK9" s="95" t="s">
        <v>330</v>
      </c>
      <c r="CL9" s="357">
        <v>0.5</v>
      </c>
      <c r="CM9" s="95" t="s">
        <v>413</v>
      </c>
      <c r="CN9" s="95" t="s">
        <v>340</v>
      </c>
      <c r="CO9" s="357">
        <v>0.25</v>
      </c>
      <c r="CT9" s="95" t="s">
        <v>415</v>
      </c>
      <c r="CU9" s="354">
        <f>B28</f>
        <v>5.1499999999999998E-10</v>
      </c>
      <c r="CV9" s="95" t="s">
        <v>64</v>
      </c>
      <c r="CW9" s="95" t="s">
        <v>68</v>
      </c>
      <c r="CX9" s="95">
        <v>40</v>
      </c>
      <c r="CY9" s="95" t="s">
        <v>62</v>
      </c>
      <c r="CZ9" s="95" t="s">
        <v>415</v>
      </c>
      <c r="DA9" s="354">
        <f>B28</f>
        <v>5.1499999999999998E-10</v>
      </c>
      <c r="DB9" s="95" t="s">
        <v>64</v>
      </c>
      <c r="DC9" s="95" t="s">
        <v>97</v>
      </c>
      <c r="DD9" s="354">
        <v>55</v>
      </c>
      <c r="DE9" s="95" t="s">
        <v>413</v>
      </c>
      <c r="DF9" s="95" t="s">
        <v>79</v>
      </c>
      <c r="DG9" s="95">
        <v>0.25</v>
      </c>
      <c r="DH9" s="95" t="s">
        <v>80</v>
      </c>
      <c r="DO9" s="95" t="s">
        <v>79</v>
      </c>
      <c r="DP9" s="95">
        <v>0.25</v>
      </c>
      <c r="DQ9" s="95" t="s">
        <v>80</v>
      </c>
      <c r="DR9" s="95" t="s">
        <v>278</v>
      </c>
      <c r="DS9" s="95">
        <v>55</v>
      </c>
      <c r="DT9" s="95" t="s">
        <v>413</v>
      </c>
      <c r="DX9" s="95" t="s">
        <v>347</v>
      </c>
      <c r="DY9" s="354">
        <f>B35</f>
        <v>1E-3</v>
      </c>
      <c r="EA9" s="95" t="s">
        <v>347</v>
      </c>
      <c r="EB9" s="354">
        <f>B35</f>
        <v>1E-3</v>
      </c>
      <c r="ED9" s="95" t="s">
        <v>347</v>
      </c>
      <c r="EE9" s="354">
        <f>B35</f>
        <v>1E-3</v>
      </c>
      <c r="EG9" s="95" t="s">
        <v>98</v>
      </c>
      <c r="EH9" s="95">
        <v>55</v>
      </c>
      <c r="EI9" s="95" t="s">
        <v>413</v>
      </c>
      <c r="EM9" s="95" t="s">
        <v>348</v>
      </c>
      <c r="EN9" s="354">
        <f>B36</f>
        <v>1E-3</v>
      </c>
      <c r="EP9" s="95" t="s">
        <v>348</v>
      </c>
      <c r="EQ9" s="354">
        <f>B36</f>
        <v>1E-3</v>
      </c>
      <c r="ES9" s="95" t="s">
        <v>348</v>
      </c>
      <c r="ET9" s="354">
        <f>B36</f>
        <v>1E-3</v>
      </c>
      <c r="EV9" s="95" t="s">
        <v>287</v>
      </c>
      <c r="EW9" s="95">
        <v>55</v>
      </c>
      <c r="EX9" s="95" t="s">
        <v>413</v>
      </c>
      <c r="FB9" s="95" t="s">
        <v>349</v>
      </c>
      <c r="FC9" s="356">
        <f>B38</f>
        <v>0</v>
      </c>
      <c r="FE9" s="95" t="s">
        <v>349</v>
      </c>
      <c r="FF9" s="356">
        <f>B38</f>
        <v>0</v>
      </c>
      <c r="FH9" s="95" t="s">
        <v>349</v>
      </c>
      <c r="FI9" s="356">
        <f>B38</f>
        <v>0</v>
      </c>
      <c r="FK9" s="95" t="s">
        <v>254</v>
      </c>
      <c r="FL9" s="95">
        <v>55</v>
      </c>
      <c r="FM9" s="95" t="s">
        <v>413</v>
      </c>
      <c r="FT9" s="95" t="s">
        <v>350</v>
      </c>
      <c r="FU9" s="357">
        <v>1</v>
      </c>
      <c r="FW9" s="95" t="s">
        <v>350</v>
      </c>
      <c r="FX9" s="357">
        <v>1</v>
      </c>
      <c r="FZ9" s="95" t="s">
        <v>252</v>
      </c>
      <c r="GA9" s="362">
        <v>55</v>
      </c>
      <c r="GB9" s="95" t="s">
        <v>413</v>
      </c>
      <c r="GF9" s="95" t="s">
        <v>351</v>
      </c>
      <c r="GG9" s="356">
        <f>B37</f>
        <v>0</v>
      </c>
      <c r="GI9" s="95" t="s">
        <v>351</v>
      </c>
      <c r="GJ9" s="356">
        <f>B37</f>
        <v>0</v>
      </c>
      <c r="GL9" s="95" t="s">
        <v>351</v>
      </c>
      <c r="GM9" s="356">
        <f>B37</f>
        <v>0</v>
      </c>
      <c r="GO9" s="95" t="s">
        <v>295</v>
      </c>
      <c r="GP9" s="95">
        <v>55</v>
      </c>
      <c r="GQ9" s="95" t="s">
        <v>413</v>
      </c>
      <c r="GU9" s="95" t="s">
        <v>352</v>
      </c>
      <c r="GV9" s="356">
        <f>B39</f>
        <v>0</v>
      </c>
      <c r="GX9" s="95" t="s">
        <v>352</v>
      </c>
      <c r="GY9" s="356">
        <f>B39</f>
        <v>0</v>
      </c>
      <c r="HA9" s="95" t="s">
        <v>352</v>
      </c>
      <c r="HB9" s="356">
        <f>B39</f>
        <v>0</v>
      </c>
      <c r="HD9" s="95" t="s">
        <v>74</v>
      </c>
      <c r="HE9" s="95">
        <v>0.3</v>
      </c>
    </row>
    <row r="10" spans="1:214" s="95" customFormat="1" x14ac:dyDescent="0.2">
      <c r="A10" s="426" t="s">
        <v>469</v>
      </c>
      <c r="B10" s="427">
        <v>0.751</v>
      </c>
      <c r="C10" s="428"/>
      <c r="D10" s="95" t="s">
        <v>75</v>
      </c>
      <c r="E10" s="354">
        <f>B17</f>
        <v>1.16E-8</v>
      </c>
      <c r="F10" s="95" t="s">
        <v>64</v>
      </c>
      <c r="G10" s="95" t="s">
        <v>142</v>
      </c>
      <c r="H10" s="354">
        <f>H5/(H6*H15)</f>
        <v>1.2023918941471892E-2</v>
      </c>
      <c r="I10" s="95" t="s">
        <v>22</v>
      </c>
      <c r="J10" s="95" t="s">
        <v>164</v>
      </c>
      <c r="K10" s="354">
        <f>B30</f>
        <v>1359344473.5814338</v>
      </c>
      <c r="L10" s="95" t="s">
        <v>165</v>
      </c>
      <c r="M10" s="95" t="s">
        <v>68</v>
      </c>
      <c r="N10" s="95">
        <v>20</v>
      </c>
      <c r="O10" s="95" t="s">
        <v>62</v>
      </c>
      <c r="P10" s="95" t="s">
        <v>68</v>
      </c>
      <c r="Q10" s="95">
        <v>20</v>
      </c>
      <c r="R10" s="95" t="s">
        <v>62</v>
      </c>
      <c r="S10" s="95" t="s">
        <v>68</v>
      </c>
      <c r="T10" s="95">
        <v>20</v>
      </c>
      <c r="U10" s="95" t="s">
        <v>62</v>
      </c>
      <c r="V10" s="95" t="s">
        <v>75</v>
      </c>
      <c r="W10" s="354">
        <f>B17</f>
        <v>1.16E-8</v>
      </c>
      <c r="X10" s="95" t="s">
        <v>76</v>
      </c>
      <c r="Y10" s="95" t="s">
        <v>75</v>
      </c>
      <c r="Z10" s="354">
        <f>B17</f>
        <v>1.16E-8</v>
      </c>
      <c r="AA10" s="95" t="s">
        <v>76</v>
      </c>
      <c r="AB10" s="95" t="s">
        <v>472</v>
      </c>
      <c r="AC10" s="354">
        <f>B21</f>
        <v>8.49E-6</v>
      </c>
      <c r="AD10" s="354">
        <f>B21</f>
        <v>8.49E-6</v>
      </c>
      <c r="AE10" s="354">
        <f>B21</f>
        <v>8.49E-6</v>
      </c>
      <c r="AF10" s="354">
        <f>B21</f>
        <v>8.49E-6</v>
      </c>
      <c r="AG10" s="354">
        <f>B21</f>
        <v>8.49E-6</v>
      </c>
      <c r="AH10" s="95" t="s">
        <v>163</v>
      </c>
      <c r="AI10" s="95" t="s">
        <v>68</v>
      </c>
      <c r="AJ10" s="95">
        <v>25</v>
      </c>
      <c r="AK10" s="95" t="s">
        <v>62</v>
      </c>
      <c r="AL10" s="95" t="s">
        <v>68</v>
      </c>
      <c r="AM10" s="95">
        <v>25</v>
      </c>
      <c r="AN10" s="95" t="s">
        <v>62</v>
      </c>
      <c r="AO10" s="95" t="s">
        <v>68</v>
      </c>
      <c r="AP10" s="95">
        <v>25</v>
      </c>
      <c r="AQ10" s="95" t="s">
        <v>62</v>
      </c>
      <c r="AR10" s="95" t="s">
        <v>68</v>
      </c>
      <c r="AS10" s="95">
        <v>20</v>
      </c>
      <c r="AT10" s="95" t="s">
        <v>62</v>
      </c>
      <c r="AU10" s="95" t="s">
        <v>68</v>
      </c>
      <c r="AV10" s="95">
        <v>20</v>
      </c>
      <c r="AW10" s="95" t="s">
        <v>62</v>
      </c>
      <c r="AX10" s="95" t="s">
        <v>68</v>
      </c>
      <c r="AY10" s="95">
        <v>20</v>
      </c>
      <c r="AZ10" s="95" t="s">
        <v>62</v>
      </c>
      <c r="BA10" s="95" t="s">
        <v>68</v>
      </c>
      <c r="BB10" s="95">
        <v>20</v>
      </c>
      <c r="BC10" s="95" t="s">
        <v>62</v>
      </c>
      <c r="BD10" s="95" t="s">
        <v>68</v>
      </c>
      <c r="BE10" s="95">
        <v>20</v>
      </c>
      <c r="BF10" s="95" t="s">
        <v>62</v>
      </c>
      <c r="BG10" s="95" t="s">
        <v>68</v>
      </c>
      <c r="BH10" s="95">
        <v>20</v>
      </c>
      <c r="BI10" s="95" t="s">
        <v>62</v>
      </c>
      <c r="BJ10" s="95" t="s">
        <v>411</v>
      </c>
      <c r="BK10" s="95">
        <v>50</v>
      </c>
      <c r="BL10" s="95" t="s">
        <v>426</v>
      </c>
      <c r="BM10" s="95" t="s">
        <v>411</v>
      </c>
      <c r="BN10" s="95">
        <v>50</v>
      </c>
      <c r="BO10" s="95" t="s">
        <v>426</v>
      </c>
      <c r="BP10" s="95" t="s">
        <v>411</v>
      </c>
      <c r="BQ10" s="95">
        <v>50</v>
      </c>
      <c r="BR10" s="95" t="s">
        <v>426</v>
      </c>
      <c r="BS10" s="95" t="s">
        <v>75</v>
      </c>
      <c r="BT10" s="354">
        <f>E10</f>
        <v>1.16E-8</v>
      </c>
      <c r="BU10" s="95" t="s">
        <v>64</v>
      </c>
      <c r="BV10" s="95" t="s">
        <v>142</v>
      </c>
      <c r="BW10" s="354">
        <f>BW5/(BW6*BW13)</f>
        <v>44.285018378282622</v>
      </c>
      <c r="BX10" s="95" t="s">
        <v>22</v>
      </c>
      <c r="BY10" s="95" t="s">
        <v>38</v>
      </c>
      <c r="BZ10" s="354">
        <f>(BZ33*BZ11)/(1-EXP(-BZ11*BZ33))</f>
        <v>1.0056411929569626</v>
      </c>
      <c r="CB10" s="95" t="s">
        <v>68</v>
      </c>
      <c r="CC10" s="95">
        <v>26</v>
      </c>
      <c r="CD10" s="95" t="s">
        <v>62</v>
      </c>
      <c r="CE10" s="95" t="s">
        <v>68</v>
      </c>
      <c r="CF10" s="95">
        <v>26</v>
      </c>
      <c r="CG10" s="95" t="s">
        <v>62</v>
      </c>
      <c r="CH10" s="95" t="s">
        <v>68</v>
      </c>
      <c r="CI10" s="95">
        <v>26</v>
      </c>
      <c r="CJ10" s="95" t="s">
        <v>62</v>
      </c>
      <c r="CN10" s="95" t="s">
        <v>338</v>
      </c>
      <c r="CO10" s="357">
        <v>0.5</v>
      </c>
      <c r="CP10" s="95" t="s">
        <v>479</v>
      </c>
      <c r="CT10" s="95" t="s">
        <v>164</v>
      </c>
      <c r="CU10" s="354">
        <f>B30</f>
        <v>1359344473.5814338</v>
      </c>
      <c r="CV10" s="95" t="s">
        <v>165</v>
      </c>
      <c r="CW10" s="95" t="s">
        <v>75</v>
      </c>
      <c r="CX10" s="354">
        <f>B17</f>
        <v>1.16E-8</v>
      </c>
      <c r="CY10" s="95" t="s">
        <v>64</v>
      </c>
      <c r="CZ10" s="95" t="s">
        <v>38</v>
      </c>
      <c r="DA10" s="354">
        <f>(DA35*DA11)/(1-EXP(-DA11*DA35))</f>
        <v>1.0086875128436219</v>
      </c>
      <c r="DC10" s="95" t="s">
        <v>118</v>
      </c>
      <c r="DD10" s="354">
        <v>55</v>
      </c>
      <c r="DE10" s="95" t="s">
        <v>413</v>
      </c>
      <c r="DF10" s="95" t="s">
        <v>66</v>
      </c>
      <c r="DG10" s="95">
        <f>B40</f>
        <v>1E-3</v>
      </c>
      <c r="DO10" s="95" t="s">
        <v>66</v>
      </c>
      <c r="DP10" s="95">
        <f>B40</f>
        <v>1E-3</v>
      </c>
      <c r="DR10" s="95" t="s">
        <v>279</v>
      </c>
      <c r="DS10" s="95">
        <v>55</v>
      </c>
      <c r="DT10" s="95" t="s">
        <v>413</v>
      </c>
      <c r="DX10" s="95" t="s">
        <v>89</v>
      </c>
      <c r="DY10" s="95">
        <v>16.899999999999999</v>
      </c>
      <c r="EA10" s="95" t="s">
        <v>89</v>
      </c>
      <c r="EB10" s="95">
        <v>16.899999999999999</v>
      </c>
      <c r="ED10" s="95" t="s">
        <v>89</v>
      </c>
      <c r="EE10" s="95">
        <v>16.899999999999999</v>
      </c>
      <c r="EG10" s="95" t="s">
        <v>119</v>
      </c>
      <c r="EH10" s="95">
        <v>55</v>
      </c>
      <c r="EI10" s="95" t="s">
        <v>413</v>
      </c>
      <c r="EM10" s="95" t="s">
        <v>90</v>
      </c>
      <c r="EN10" s="95">
        <v>11.77</v>
      </c>
      <c r="EP10" s="95" t="s">
        <v>90</v>
      </c>
      <c r="EQ10" s="95">
        <v>11.77</v>
      </c>
      <c r="ES10" s="95" t="s">
        <v>90</v>
      </c>
      <c r="ET10" s="95">
        <v>11.77</v>
      </c>
      <c r="EV10" s="95" t="s">
        <v>288</v>
      </c>
      <c r="EW10" s="95">
        <v>55</v>
      </c>
      <c r="EX10" s="95" t="s">
        <v>413</v>
      </c>
      <c r="FB10" s="95" t="s">
        <v>318</v>
      </c>
      <c r="FC10" s="95">
        <v>0.2</v>
      </c>
      <c r="FE10" s="95" t="s">
        <v>318</v>
      </c>
      <c r="FF10" s="95">
        <v>0.2</v>
      </c>
      <c r="FH10" s="95" t="s">
        <v>318</v>
      </c>
      <c r="FI10" s="95">
        <v>0.2</v>
      </c>
      <c r="FK10" s="95" t="s">
        <v>255</v>
      </c>
      <c r="FL10" s="95">
        <v>55</v>
      </c>
      <c r="FM10" s="95" t="s">
        <v>413</v>
      </c>
      <c r="FT10" s="95" t="s">
        <v>315</v>
      </c>
      <c r="FU10" s="357">
        <v>1</v>
      </c>
      <c r="FW10" s="95" t="s">
        <v>315</v>
      </c>
      <c r="FX10" s="357">
        <v>1</v>
      </c>
      <c r="FZ10" s="95" t="s">
        <v>253</v>
      </c>
      <c r="GA10" s="95">
        <v>55</v>
      </c>
      <c r="GB10" s="95" t="s">
        <v>413</v>
      </c>
      <c r="GF10" s="95" t="s">
        <v>301</v>
      </c>
      <c r="GG10" s="95">
        <v>0.2</v>
      </c>
      <c r="GI10" s="95" t="s">
        <v>301</v>
      </c>
      <c r="GJ10" s="95">
        <v>0.2</v>
      </c>
      <c r="GL10" s="95" t="s">
        <v>301</v>
      </c>
      <c r="GM10" s="95">
        <v>0.2</v>
      </c>
      <c r="GO10" s="95" t="s">
        <v>294</v>
      </c>
      <c r="GP10" s="95">
        <v>55</v>
      </c>
      <c r="GQ10" s="95" t="s">
        <v>413</v>
      </c>
      <c r="GU10" s="95" t="s">
        <v>306</v>
      </c>
      <c r="GV10" s="95">
        <v>4.7</v>
      </c>
      <c r="GX10" s="95" t="s">
        <v>306</v>
      </c>
      <c r="GY10" s="95">
        <v>4.7</v>
      </c>
      <c r="HA10" s="95" t="s">
        <v>306</v>
      </c>
      <c r="HB10" s="95">
        <v>4.7</v>
      </c>
      <c r="HD10" s="95" t="s">
        <v>81</v>
      </c>
      <c r="HE10" s="354">
        <v>1.5</v>
      </c>
    </row>
    <row r="11" spans="1:214" s="95" customFormat="1" x14ac:dyDescent="0.2">
      <c r="A11" s="426" t="s">
        <v>470</v>
      </c>
      <c r="B11" s="427">
        <v>3.44E-2</v>
      </c>
      <c r="C11" s="428"/>
      <c r="D11" s="95" t="s">
        <v>82</v>
      </c>
      <c r="E11" s="360">
        <f>((E14/E15)*E24*E12*E16)+((E14/E15)*E25*E13*E17)</f>
        <v>70000</v>
      </c>
      <c r="F11" s="95" t="s">
        <v>444</v>
      </c>
      <c r="G11" s="95" t="s">
        <v>134</v>
      </c>
      <c r="H11" s="354">
        <f>H5/(H7*H16*H28)</f>
        <v>2.4630541871921183E-3</v>
      </c>
      <c r="I11" s="95" t="s">
        <v>22</v>
      </c>
      <c r="J11" s="95" t="s">
        <v>38</v>
      </c>
      <c r="K11" s="354">
        <f>(K45*K12)/(1-EXP(-K12*K45))</f>
        <v>1.0056411929569626</v>
      </c>
      <c r="M11" s="95" t="s">
        <v>91</v>
      </c>
      <c r="N11" s="95">
        <v>0.4</v>
      </c>
      <c r="P11" s="95" t="s">
        <v>91</v>
      </c>
      <c r="Q11" s="95">
        <v>0.4</v>
      </c>
      <c r="S11" s="95" t="s">
        <v>91</v>
      </c>
      <c r="T11" s="95">
        <v>0.4</v>
      </c>
      <c r="V11" s="95" t="s">
        <v>84</v>
      </c>
      <c r="W11" s="95">
        <v>5</v>
      </c>
      <c r="X11" s="95" t="s">
        <v>85</v>
      </c>
      <c r="Y11" s="95" t="s">
        <v>84</v>
      </c>
      <c r="Z11" s="95">
        <v>5</v>
      </c>
      <c r="AA11" s="95" t="s">
        <v>85</v>
      </c>
      <c r="AB11" s="95" t="s">
        <v>68</v>
      </c>
      <c r="AC11" s="95">
        <v>20</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625</v>
      </c>
      <c r="BU11" s="95" t="s">
        <v>444</v>
      </c>
      <c r="BV11" s="95" t="s">
        <v>134</v>
      </c>
      <c r="BW11" s="354"/>
      <c r="BX11" s="95" t="s">
        <v>22</v>
      </c>
      <c r="BY11" s="95" t="s">
        <v>52</v>
      </c>
      <c r="BZ11" s="354">
        <f>0.693/BZ12</f>
        <v>4.3312499999999997E-4</v>
      </c>
      <c r="CB11" s="95" t="s">
        <v>102</v>
      </c>
      <c r="CC11" s="354">
        <f>B2</f>
        <v>0.124</v>
      </c>
      <c r="CE11" s="95" t="s">
        <v>102</v>
      </c>
      <c r="CF11" s="354">
        <f>B5</f>
        <v>5.8099999999999999E-2</v>
      </c>
      <c r="CH11" s="95" t="s">
        <v>102</v>
      </c>
      <c r="CI11" s="354">
        <f>B9</f>
        <v>0.10100000000000001</v>
      </c>
      <c r="CN11" s="95" t="s">
        <v>335</v>
      </c>
      <c r="CO11" s="357">
        <v>0.5</v>
      </c>
      <c r="CP11" s="95" t="s">
        <v>479</v>
      </c>
      <c r="CT11" s="95" t="s">
        <v>38</v>
      </c>
      <c r="CU11" s="354">
        <f>(CU45*CU12)/(1-EXP(-CU12*CU45))</f>
        <v>1.0086875128436219</v>
      </c>
      <c r="CW11" s="95" t="s">
        <v>82</v>
      </c>
      <c r="CX11" s="360">
        <f>((CX15/24)*CX24*CX12*CX16)+((CX14/24)*CX25*CX13*CX17)</f>
        <v>25208.333333333336</v>
      </c>
      <c r="CY11" s="95" t="s">
        <v>444</v>
      </c>
      <c r="CZ11" s="95" t="s">
        <v>52</v>
      </c>
      <c r="DA11" s="354">
        <f>0.693/DA12</f>
        <v>4.3312499999999997E-4</v>
      </c>
      <c r="DC11" s="95" t="s">
        <v>283</v>
      </c>
      <c r="DD11" s="360">
        <f>(DD12*DD15*DD16)+(DD13*DD14*DD17)</f>
        <v>121000</v>
      </c>
      <c r="DE11" s="95" t="s">
        <v>230</v>
      </c>
      <c r="DF11" s="95" t="s">
        <v>99</v>
      </c>
      <c r="DG11" s="95">
        <f>DG19+DG20</f>
        <v>2.8186643835616437E-5</v>
      </c>
      <c r="DO11" s="95" t="s">
        <v>99</v>
      </c>
      <c r="DP11" s="95">
        <f>DP19+DP20</f>
        <v>2.6999999999999999E-5</v>
      </c>
      <c r="DR11" s="95" t="s">
        <v>70</v>
      </c>
      <c r="DS11" s="95">
        <v>55</v>
      </c>
      <c r="DT11" s="95" t="s">
        <v>55</v>
      </c>
      <c r="DX11" s="95" t="s">
        <v>100</v>
      </c>
      <c r="DY11" s="95">
        <v>0.41</v>
      </c>
      <c r="EA11" s="95" t="s">
        <v>100</v>
      </c>
      <c r="EB11" s="95">
        <v>0.41</v>
      </c>
      <c r="ED11" s="95" t="s">
        <v>100</v>
      </c>
      <c r="EE11" s="95">
        <v>0.41</v>
      </c>
      <c r="EG11" s="95" t="s">
        <v>70</v>
      </c>
      <c r="EH11" s="95">
        <v>55</v>
      </c>
      <c r="EI11" s="95" t="s">
        <v>55</v>
      </c>
      <c r="EM11" s="95" t="s">
        <v>101</v>
      </c>
      <c r="EN11" s="95">
        <v>0.39</v>
      </c>
      <c r="EP11" s="95" t="s">
        <v>101</v>
      </c>
      <c r="EQ11" s="95">
        <v>0.39</v>
      </c>
      <c r="ES11" s="95" t="s">
        <v>101</v>
      </c>
      <c r="ET11" s="95">
        <v>0.39</v>
      </c>
      <c r="EV11" s="95" t="s">
        <v>422</v>
      </c>
      <c r="EW11" s="95">
        <v>55</v>
      </c>
      <c r="EX11" s="95" t="s">
        <v>55</v>
      </c>
      <c r="FB11" s="95" t="s">
        <v>317</v>
      </c>
      <c r="FC11" s="95">
        <v>2.1999999999999999E-2</v>
      </c>
      <c r="FE11" s="95" t="s">
        <v>317</v>
      </c>
      <c r="FF11" s="95">
        <v>2.1999999999999999E-2</v>
      </c>
      <c r="FH11" s="95" t="s">
        <v>317</v>
      </c>
      <c r="FI11" s="95">
        <v>2.1999999999999999E-2</v>
      </c>
      <c r="FK11" s="95" t="s">
        <v>422</v>
      </c>
      <c r="FL11" s="95">
        <v>55</v>
      </c>
      <c r="FM11" s="95" t="s">
        <v>55</v>
      </c>
      <c r="FT11" s="95" t="s">
        <v>314</v>
      </c>
      <c r="FU11" s="357">
        <v>1</v>
      </c>
      <c r="FW11" s="95" t="s">
        <v>314</v>
      </c>
      <c r="FX11" s="357">
        <v>1</v>
      </c>
      <c r="FZ11" s="95" t="s">
        <v>422</v>
      </c>
      <c r="GA11" s="95">
        <v>55</v>
      </c>
      <c r="GB11" s="95" t="s">
        <v>55</v>
      </c>
      <c r="GF11" s="95" t="s">
        <v>302</v>
      </c>
      <c r="GG11" s="95">
        <v>2.1999999999999999E-2</v>
      </c>
      <c r="GI11" s="95" t="s">
        <v>302</v>
      </c>
      <c r="GJ11" s="95">
        <v>2.1999999999999999E-2</v>
      </c>
      <c r="GL11" s="95" t="s">
        <v>302</v>
      </c>
      <c r="GM11" s="95">
        <v>2.1999999999999999E-2</v>
      </c>
      <c r="GO11" s="95" t="s">
        <v>422</v>
      </c>
      <c r="GP11" s="95">
        <v>55</v>
      </c>
      <c r="GQ11" s="95" t="s">
        <v>55</v>
      </c>
      <c r="GU11" s="95" t="s">
        <v>307</v>
      </c>
      <c r="GV11" s="95">
        <v>0.37</v>
      </c>
      <c r="GX11" s="95" t="s">
        <v>307</v>
      </c>
      <c r="GY11" s="95">
        <v>0.37</v>
      </c>
      <c r="HA11" s="95" t="s">
        <v>307</v>
      </c>
      <c r="HB11" s="95">
        <v>0.37</v>
      </c>
      <c r="HD11" s="95" t="s">
        <v>92</v>
      </c>
      <c r="HE11" s="95">
        <v>26</v>
      </c>
    </row>
    <row r="12" spans="1:214" s="95" customFormat="1" ht="13.5" thickBot="1" x14ac:dyDescent="0.25">
      <c r="A12" s="430" t="s">
        <v>471</v>
      </c>
      <c r="B12" s="431">
        <v>0.45600000000000002</v>
      </c>
      <c r="C12" s="432"/>
      <c r="D12" s="95" t="s">
        <v>93</v>
      </c>
      <c r="E12" s="95">
        <f>B44</f>
        <v>0</v>
      </c>
      <c r="F12" s="95" t="s">
        <v>83</v>
      </c>
      <c r="G12" s="95" t="s">
        <v>256</v>
      </c>
      <c r="H12" s="354">
        <f>H5/(H8*(1/H45)*H21)</f>
        <v>83925.409854912505</v>
      </c>
      <c r="I12" s="95" t="s">
        <v>22</v>
      </c>
      <c r="J12" s="95" t="s">
        <v>52</v>
      </c>
      <c r="K12" s="354">
        <f>0.693/K13</f>
        <v>4.3312499999999997E-4</v>
      </c>
      <c r="M12" s="95" t="s">
        <v>102</v>
      </c>
      <c r="N12" s="354">
        <f>B2</f>
        <v>0.124</v>
      </c>
      <c r="P12" s="95" t="s">
        <v>102</v>
      </c>
      <c r="Q12" s="354">
        <f>B5</f>
        <v>5.8099999999999999E-2</v>
      </c>
      <c r="S12" s="95" t="s">
        <v>102</v>
      </c>
      <c r="T12" s="354">
        <f>B9</f>
        <v>0.10100000000000001</v>
      </c>
      <c r="W12" s="95">
        <v>24</v>
      </c>
      <c r="X12" s="95" t="s">
        <v>85</v>
      </c>
      <c r="Z12" s="95">
        <v>24</v>
      </c>
      <c r="AA12" s="95" t="s">
        <v>85</v>
      </c>
      <c r="AB12" s="95" t="s">
        <v>410</v>
      </c>
      <c r="AF12" s="95">
        <v>5</v>
      </c>
      <c r="AG12" s="95">
        <v>5</v>
      </c>
      <c r="AH12" s="95" t="s">
        <v>210</v>
      </c>
      <c r="AI12" s="95" t="s">
        <v>102</v>
      </c>
      <c r="AJ12" s="354">
        <f>B2</f>
        <v>0.124</v>
      </c>
      <c r="AL12" s="95" t="s">
        <v>102</v>
      </c>
      <c r="AM12" s="354">
        <f>B5</f>
        <v>5.8099999999999999E-2</v>
      </c>
      <c r="AO12" s="95" t="s">
        <v>102</v>
      </c>
      <c r="AP12" s="354">
        <f>B9</f>
        <v>0.10100000000000001</v>
      </c>
      <c r="AR12" s="95" t="s">
        <v>102</v>
      </c>
      <c r="AS12" s="354">
        <f>B2</f>
        <v>0.124</v>
      </c>
      <c r="AU12" s="95" t="s">
        <v>102</v>
      </c>
      <c r="AV12" s="354">
        <f>B5</f>
        <v>5.8099999999999999E-2</v>
      </c>
      <c r="AX12" s="95" t="s">
        <v>102</v>
      </c>
      <c r="AY12" s="354">
        <f>B9</f>
        <v>0.10100000000000001</v>
      </c>
      <c r="BA12" s="95" t="s">
        <v>102</v>
      </c>
      <c r="BB12" s="354">
        <f>B2</f>
        <v>0.124</v>
      </c>
      <c r="BD12" s="95" t="s">
        <v>102</v>
      </c>
      <c r="BE12" s="354">
        <f>B5</f>
        <v>5.8099999999999999E-2</v>
      </c>
      <c r="BG12" s="95" t="s">
        <v>102</v>
      </c>
      <c r="BH12" s="354">
        <f>B9</f>
        <v>0.10100000000000001</v>
      </c>
      <c r="BJ12" s="95" t="s">
        <v>68</v>
      </c>
      <c r="BK12" s="95">
        <v>1</v>
      </c>
      <c r="BL12" s="95" t="s">
        <v>62</v>
      </c>
      <c r="BM12" s="95" t="s">
        <v>68</v>
      </c>
      <c r="BN12" s="95">
        <v>1</v>
      </c>
      <c r="BO12" s="95" t="s">
        <v>62</v>
      </c>
      <c r="BP12" s="95" t="s">
        <v>68</v>
      </c>
      <c r="BQ12" s="95">
        <v>1</v>
      </c>
      <c r="BR12" s="95" t="s">
        <v>62</v>
      </c>
      <c r="BS12" s="95" t="s">
        <v>93</v>
      </c>
      <c r="BT12" s="95">
        <f>B44</f>
        <v>0</v>
      </c>
      <c r="BU12" s="95" t="s">
        <v>83</v>
      </c>
      <c r="BV12" s="95" t="s">
        <v>256</v>
      </c>
      <c r="BW12" s="354">
        <f>BW5/(BW8*(1/BW32)*BW16)</f>
        <v>437846.75363622728</v>
      </c>
      <c r="BX12" s="95" t="s">
        <v>22</v>
      </c>
      <c r="BY12" s="95" t="s">
        <v>448</v>
      </c>
      <c r="BZ12" s="354">
        <f>B29</f>
        <v>1600</v>
      </c>
      <c r="CA12" s="95" t="s">
        <v>129</v>
      </c>
      <c r="CB12" s="95" t="s">
        <v>113</v>
      </c>
      <c r="CC12" s="354">
        <f>B3</f>
        <v>0.79200000000000004</v>
      </c>
      <c r="CE12" s="95" t="s">
        <v>113</v>
      </c>
      <c r="CF12" s="354">
        <f>B6</f>
        <v>0.624</v>
      </c>
      <c r="CH12" s="95" t="s">
        <v>113</v>
      </c>
      <c r="CI12" s="354">
        <f>B10</f>
        <v>0.751</v>
      </c>
      <c r="CN12" s="95" t="s">
        <v>336</v>
      </c>
      <c r="CO12" s="357">
        <v>1</v>
      </c>
      <c r="CP12" s="95" t="s">
        <v>80</v>
      </c>
      <c r="CT12" s="95" t="s">
        <v>52</v>
      </c>
      <c r="CU12" s="354">
        <f>0.693/CU13</f>
        <v>4.3312499999999997E-4</v>
      </c>
      <c r="CW12" s="95" t="s">
        <v>93</v>
      </c>
      <c r="CX12" s="95">
        <v>55</v>
      </c>
      <c r="CY12" s="95" t="s">
        <v>83</v>
      </c>
      <c r="CZ12" s="95" t="s">
        <v>448</v>
      </c>
      <c r="DA12" s="354">
        <f>B29</f>
        <v>1600</v>
      </c>
      <c r="DB12" s="95" t="s">
        <v>129</v>
      </c>
      <c r="DC12" s="95" t="s">
        <v>147</v>
      </c>
      <c r="DD12" s="354">
        <v>55</v>
      </c>
      <c r="DE12" s="95" t="s">
        <v>413</v>
      </c>
      <c r="DF12" s="95" t="s">
        <v>109</v>
      </c>
      <c r="DG12" s="95">
        <v>10950</v>
      </c>
      <c r="DH12" s="95" t="s">
        <v>110</v>
      </c>
      <c r="DO12" s="95" t="s">
        <v>109</v>
      </c>
      <c r="DP12" s="95">
        <v>10950</v>
      </c>
      <c r="DQ12" s="95" t="s">
        <v>110</v>
      </c>
      <c r="DR12" s="95" t="s">
        <v>78</v>
      </c>
      <c r="DS12" s="95">
        <v>55</v>
      </c>
      <c r="DT12" s="95" t="s">
        <v>55</v>
      </c>
      <c r="DX12" s="95" t="s">
        <v>111</v>
      </c>
      <c r="DY12" s="95">
        <v>1</v>
      </c>
      <c r="EA12" s="95" t="s">
        <v>111</v>
      </c>
      <c r="EB12" s="95">
        <v>1</v>
      </c>
      <c r="ED12" s="95" t="s">
        <v>111</v>
      </c>
      <c r="EE12" s="95">
        <v>1</v>
      </c>
      <c r="EG12" s="95" t="s">
        <v>78</v>
      </c>
      <c r="EH12" s="95">
        <v>55</v>
      </c>
      <c r="EI12" s="95" t="s">
        <v>55</v>
      </c>
      <c r="EM12" s="95" t="s">
        <v>112</v>
      </c>
      <c r="EN12" s="95">
        <v>1</v>
      </c>
      <c r="EP12" s="95" t="s">
        <v>112</v>
      </c>
      <c r="EQ12" s="95">
        <v>1</v>
      </c>
      <c r="ES12" s="95" t="s">
        <v>112</v>
      </c>
      <c r="ET12" s="95">
        <v>1</v>
      </c>
      <c r="EV12" s="95" t="s">
        <v>423</v>
      </c>
      <c r="EW12" s="95">
        <v>55</v>
      </c>
      <c r="EX12" s="95" t="s">
        <v>55</v>
      </c>
      <c r="FB12" s="95" t="s">
        <v>319</v>
      </c>
      <c r="FC12" s="357">
        <v>1</v>
      </c>
      <c r="FE12" s="95" t="s">
        <v>319</v>
      </c>
      <c r="FF12" s="357">
        <v>1</v>
      </c>
      <c r="FH12" s="95" t="s">
        <v>319</v>
      </c>
      <c r="FI12" s="357">
        <v>1</v>
      </c>
      <c r="FK12" s="95" t="s">
        <v>423</v>
      </c>
      <c r="FL12" s="95">
        <v>55</v>
      </c>
      <c r="FM12" s="95" t="s">
        <v>55</v>
      </c>
      <c r="FT12" s="95" t="s">
        <v>313</v>
      </c>
      <c r="FU12" s="357">
        <v>1</v>
      </c>
      <c r="FW12" s="95" t="s">
        <v>313</v>
      </c>
      <c r="FX12" s="357">
        <v>1</v>
      </c>
      <c r="FZ12" s="95" t="s">
        <v>423</v>
      </c>
      <c r="GA12" s="95">
        <v>55</v>
      </c>
      <c r="GB12" s="95" t="s">
        <v>55</v>
      </c>
      <c r="GF12" s="95" t="s">
        <v>303</v>
      </c>
      <c r="GG12" s="95">
        <v>1</v>
      </c>
      <c r="GI12" s="95" t="s">
        <v>303</v>
      </c>
      <c r="GJ12" s="95">
        <v>1</v>
      </c>
      <c r="GL12" s="95" t="s">
        <v>303</v>
      </c>
      <c r="GM12" s="95">
        <v>1</v>
      </c>
      <c r="GO12" s="95" t="s">
        <v>423</v>
      </c>
      <c r="GP12" s="95">
        <v>55</v>
      </c>
      <c r="GQ12" s="95" t="s">
        <v>55</v>
      </c>
      <c r="GU12" s="95" t="s">
        <v>308</v>
      </c>
      <c r="GV12" s="95">
        <v>1</v>
      </c>
      <c r="GX12" s="95" t="s">
        <v>308</v>
      </c>
      <c r="GY12" s="95">
        <v>1</v>
      </c>
      <c r="HA12" s="95" t="s">
        <v>308</v>
      </c>
      <c r="HB12" s="95">
        <v>1</v>
      </c>
      <c r="HE12" s="354"/>
    </row>
    <row r="13" spans="1:214" s="95" customFormat="1" ht="13.5" thickTop="1" x14ac:dyDescent="0.2">
      <c r="A13" s="496" t="s">
        <v>450</v>
      </c>
      <c r="B13" s="497"/>
      <c r="C13" s="498"/>
      <c r="D13" s="95" t="s">
        <v>103</v>
      </c>
      <c r="E13" s="95">
        <f>B45</f>
        <v>10</v>
      </c>
      <c r="F13" s="95" t="s">
        <v>83</v>
      </c>
      <c r="G13" s="95" t="s">
        <v>407</v>
      </c>
      <c r="H13" s="354">
        <f>H14/((1/H42)*(H50+H51+H52))</f>
        <v>1.8124422959256277</v>
      </c>
      <c r="I13" s="95" t="s">
        <v>22</v>
      </c>
      <c r="J13" s="95" t="s">
        <v>448</v>
      </c>
      <c r="K13" s="354">
        <f>B29</f>
        <v>1600</v>
      </c>
      <c r="L13" s="95" t="s">
        <v>129</v>
      </c>
      <c r="M13" s="95" t="s">
        <v>113</v>
      </c>
      <c r="N13" s="354">
        <f>B3</f>
        <v>0.79200000000000004</v>
      </c>
      <c r="P13" s="95" t="s">
        <v>113</v>
      </c>
      <c r="Q13" s="354">
        <f>B6</f>
        <v>0.624</v>
      </c>
      <c r="S13" s="95" t="s">
        <v>113</v>
      </c>
      <c r="T13" s="354">
        <f>B10</f>
        <v>0.751</v>
      </c>
      <c r="V13" s="95" t="s">
        <v>104</v>
      </c>
      <c r="W13" s="95">
        <v>55</v>
      </c>
      <c r="X13" s="95" t="s">
        <v>83</v>
      </c>
      <c r="Y13" s="95" t="s">
        <v>104</v>
      </c>
      <c r="Z13" s="95">
        <v>55</v>
      </c>
      <c r="AA13" s="95" t="s">
        <v>83</v>
      </c>
      <c r="AB13" s="95" t="s">
        <v>411</v>
      </c>
      <c r="AF13" s="95">
        <v>26</v>
      </c>
      <c r="AG13" s="95">
        <v>26</v>
      </c>
      <c r="AH13" s="95" t="s">
        <v>412</v>
      </c>
      <c r="AI13" s="95" t="s">
        <v>113</v>
      </c>
      <c r="AJ13" s="354">
        <f>B3</f>
        <v>0.79200000000000004</v>
      </c>
      <c r="AL13" s="95" t="s">
        <v>113</v>
      </c>
      <c r="AM13" s="354">
        <f>B6</f>
        <v>0.624</v>
      </c>
      <c r="AO13" s="95" t="s">
        <v>113</v>
      </c>
      <c r="AP13" s="354">
        <f>B10</f>
        <v>0.751</v>
      </c>
      <c r="AR13" s="95" t="s">
        <v>113</v>
      </c>
      <c r="AS13" s="354">
        <f>B3</f>
        <v>0.79200000000000004</v>
      </c>
      <c r="AU13" s="95" t="s">
        <v>113</v>
      </c>
      <c r="AV13" s="354">
        <f>B6</f>
        <v>0.624</v>
      </c>
      <c r="AX13" s="95" t="s">
        <v>113</v>
      </c>
      <c r="AY13" s="354">
        <f>B10</f>
        <v>0.751</v>
      </c>
      <c r="BA13" s="95" t="s">
        <v>113</v>
      </c>
      <c r="BB13" s="354">
        <f>B3</f>
        <v>0.79200000000000004</v>
      </c>
      <c r="BD13" s="95" t="s">
        <v>113</v>
      </c>
      <c r="BE13" s="354">
        <f>B6</f>
        <v>0.624</v>
      </c>
      <c r="BG13" s="95" t="s">
        <v>113</v>
      </c>
      <c r="BH13" s="354">
        <f>B10</f>
        <v>0.751</v>
      </c>
      <c r="BJ13" s="95" t="s">
        <v>102</v>
      </c>
      <c r="BK13" s="354">
        <f>B2</f>
        <v>0.124</v>
      </c>
      <c r="BM13" s="95" t="s">
        <v>102</v>
      </c>
      <c r="BN13" s="354">
        <f>B5</f>
        <v>5.8099999999999999E-2</v>
      </c>
      <c r="BP13" s="95" t="s">
        <v>102</v>
      </c>
      <c r="BQ13" s="354">
        <f>B9</f>
        <v>0.10100000000000001</v>
      </c>
      <c r="BS13" s="95" t="s">
        <v>103</v>
      </c>
      <c r="BT13" s="95">
        <f>B45</f>
        <v>10</v>
      </c>
      <c r="BU13" s="95" t="s">
        <v>83</v>
      </c>
      <c r="BV13" s="95" t="s">
        <v>86</v>
      </c>
      <c r="BW13" s="371">
        <f>((BW18*BW21*BW23*BW26*BW14)+(BW19*BW22*BW24*BW27*BW15))</f>
        <v>58.5</v>
      </c>
      <c r="BX13" s="95" t="s">
        <v>196</v>
      </c>
      <c r="BY13" s="95" t="s">
        <v>142</v>
      </c>
      <c r="BZ13" s="354">
        <f>(BZ5/(BZ6*BZ16*(1/BZ36)))*BZ10</f>
        <v>5.3812135753262114</v>
      </c>
      <c r="CA13" s="95" t="s">
        <v>23</v>
      </c>
      <c r="CB13" s="95" t="s">
        <v>182</v>
      </c>
      <c r="CC13" s="95">
        <v>2</v>
      </c>
      <c r="CD13" s="95" t="s">
        <v>127</v>
      </c>
      <c r="CE13" s="95" t="s">
        <v>182</v>
      </c>
      <c r="CF13" s="95">
        <v>2</v>
      </c>
      <c r="CG13" s="95" t="s">
        <v>127</v>
      </c>
      <c r="CH13" s="95" t="s">
        <v>182</v>
      </c>
      <c r="CI13" s="95">
        <v>2</v>
      </c>
      <c r="CJ13" s="95" t="s">
        <v>127</v>
      </c>
      <c r="CN13" s="95" t="s">
        <v>337</v>
      </c>
      <c r="CO13" s="357">
        <v>1</v>
      </c>
      <c r="CP13" s="95" t="s">
        <v>80</v>
      </c>
      <c r="CT13" s="95" t="s">
        <v>448</v>
      </c>
      <c r="CU13" s="354">
        <f>B29</f>
        <v>1600</v>
      </c>
      <c r="CV13" s="95" t="s">
        <v>129</v>
      </c>
      <c r="CW13" s="95" t="s">
        <v>103</v>
      </c>
      <c r="CX13" s="95">
        <v>55</v>
      </c>
      <c r="CY13" s="95" t="s">
        <v>83</v>
      </c>
      <c r="CZ13" s="95" t="s">
        <v>142</v>
      </c>
      <c r="DA13" s="354">
        <f>DA5/(DA6*DA24)</f>
        <v>1.1814346709394904E-2</v>
      </c>
      <c r="DB13" s="95" t="s">
        <v>25</v>
      </c>
      <c r="DC13" s="95" t="s">
        <v>152</v>
      </c>
      <c r="DD13" s="354">
        <v>55</v>
      </c>
      <c r="DE13" s="95" t="s">
        <v>413</v>
      </c>
      <c r="DF13" s="95" t="s">
        <v>120</v>
      </c>
      <c r="DG13" s="95">
        <v>240</v>
      </c>
      <c r="DH13" s="95" t="s">
        <v>121</v>
      </c>
      <c r="DO13" s="95" t="s">
        <v>120</v>
      </c>
      <c r="DP13" s="95">
        <v>240</v>
      </c>
      <c r="DQ13" s="95" t="s">
        <v>121</v>
      </c>
      <c r="DR13" s="95" t="s">
        <v>246</v>
      </c>
      <c r="DS13" s="95">
        <v>5</v>
      </c>
      <c r="DT13" s="95" t="s">
        <v>129</v>
      </c>
      <c r="DX13" s="95" t="s">
        <v>122</v>
      </c>
      <c r="DY13" s="95">
        <v>1</v>
      </c>
      <c r="EA13" s="95" t="s">
        <v>122</v>
      </c>
      <c r="EB13" s="95">
        <v>1</v>
      </c>
      <c r="ED13" s="95" t="s">
        <v>122</v>
      </c>
      <c r="EE13" s="95">
        <v>1</v>
      </c>
      <c r="EG13" s="95" t="s">
        <v>246</v>
      </c>
      <c r="EH13" s="95">
        <v>5</v>
      </c>
      <c r="EI13" s="95" t="s">
        <v>129</v>
      </c>
      <c r="EM13" s="95" t="s">
        <v>123</v>
      </c>
      <c r="EN13" s="95">
        <v>1</v>
      </c>
      <c r="EP13" s="95" t="s">
        <v>123</v>
      </c>
      <c r="EQ13" s="95">
        <v>1</v>
      </c>
      <c r="ES13" s="95" t="s">
        <v>123</v>
      </c>
      <c r="ET13" s="95">
        <v>1</v>
      </c>
      <c r="EV13" s="95" t="s">
        <v>246</v>
      </c>
      <c r="EW13" s="95">
        <v>5</v>
      </c>
      <c r="EX13" s="95" t="s">
        <v>129</v>
      </c>
      <c r="FB13" s="95" t="s">
        <v>320</v>
      </c>
      <c r="FC13" s="357">
        <v>1</v>
      </c>
      <c r="FE13" s="95" t="s">
        <v>320</v>
      </c>
      <c r="FF13" s="357">
        <v>1</v>
      </c>
      <c r="FH13" s="95" t="s">
        <v>320</v>
      </c>
      <c r="FI13" s="357">
        <v>1</v>
      </c>
      <c r="FK13" s="95" t="s">
        <v>246</v>
      </c>
      <c r="FL13" s="95">
        <v>5</v>
      </c>
      <c r="FM13" s="95" t="s">
        <v>129</v>
      </c>
      <c r="FT13" s="95" t="s">
        <v>312</v>
      </c>
      <c r="FU13" s="357">
        <v>1</v>
      </c>
      <c r="FW13" s="95" t="s">
        <v>312</v>
      </c>
      <c r="FX13" s="357">
        <v>1</v>
      </c>
      <c r="FZ13" s="95" t="s">
        <v>246</v>
      </c>
      <c r="GA13" s="95">
        <v>5</v>
      </c>
      <c r="GB13" s="95" t="s">
        <v>129</v>
      </c>
      <c r="GF13" s="95" t="s">
        <v>304</v>
      </c>
      <c r="GG13" s="95">
        <v>1</v>
      </c>
      <c r="GI13" s="95" t="s">
        <v>304</v>
      </c>
      <c r="GJ13" s="95">
        <v>1</v>
      </c>
      <c r="GL13" s="95" t="s">
        <v>304</v>
      </c>
      <c r="GM13" s="95">
        <v>1</v>
      </c>
      <c r="GO13" s="95" t="s">
        <v>246</v>
      </c>
      <c r="GP13" s="95">
        <v>5</v>
      </c>
      <c r="GQ13" s="95" t="s">
        <v>129</v>
      </c>
      <c r="GU13" s="95" t="s">
        <v>309</v>
      </c>
      <c r="GV13" s="95">
        <v>1</v>
      </c>
      <c r="GX13" s="95" t="s">
        <v>309</v>
      </c>
      <c r="GY13" s="95">
        <v>1</v>
      </c>
      <c r="HA13" s="95" t="s">
        <v>309</v>
      </c>
      <c r="HB13" s="95">
        <v>1</v>
      </c>
      <c r="HD13" s="95" t="s">
        <v>428</v>
      </c>
      <c r="HE13" s="354">
        <v>10</v>
      </c>
    </row>
    <row r="14" spans="1:214" s="95" customFormat="1" x14ac:dyDescent="0.2">
      <c r="A14" s="499"/>
      <c r="B14" s="500"/>
      <c r="C14" s="501"/>
      <c r="D14" s="95" t="s">
        <v>114</v>
      </c>
      <c r="E14" s="95">
        <v>24</v>
      </c>
      <c r="F14" s="95" t="s">
        <v>85</v>
      </c>
      <c r="G14" s="95" t="s">
        <v>406</v>
      </c>
      <c r="H14" s="354">
        <f>H5/(H9*(H22+H25)*H43)</f>
        <v>2.5918477963300084E-2</v>
      </c>
      <c r="I14" s="95" t="s">
        <v>23</v>
      </c>
      <c r="J14" s="95" t="s">
        <v>142</v>
      </c>
      <c r="K14" s="354">
        <f>(K5/(K6*K19*(1/K48)))*K11</f>
        <v>0.90274618301671716</v>
      </c>
      <c r="L14" s="95" t="s">
        <v>23</v>
      </c>
      <c r="M14" s="95" t="s">
        <v>124</v>
      </c>
      <c r="N14" s="95">
        <v>1.752</v>
      </c>
      <c r="O14" s="95" t="s">
        <v>127</v>
      </c>
      <c r="P14" s="95" t="s">
        <v>124</v>
      </c>
      <c r="Q14" s="95">
        <v>1.752</v>
      </c>
      <c r="R14" s="95" t="s">
        <v>127</v>
      </c>
      <c r="S14" s="95" t="s">
        <v>124</v>
      </c>
      <c r="T14" s="95">
        <v>1.752</v>
      </c>
      <c r="U14" s="95" t="s">
        <v>127</v>
      </c>
      <c r="V14" s="95" t="s">
        <v>115</v>
      </c>
      <c r="W14" s="354">
        <f>B26</f>
        <v>7.8700000000000003E-9</v>
      </c>
      <c r="X14" s="95" t="s">
        <v>116</v>
      </c>
      <c r="Y14" s="95" t="s">
        <v>115</v>
      </c>
      <c r="Z14" s="354">
        <f>B26</f>
        <v>7.8700000000000003E-9</v>
      </c>
      <c r="AA14" s="95" t="s">
        <v>116</v>
      </c>
      <c r="AB14" s="95" t="s">
        <v>126</v>
      </c>
      <c r="AF14" s="95">
        <v>8</v>
      </c>
      <c r="AG14" s="95">
        <v>8</v>
      </c>
      <c r="AH14" s="95" t="s">
        <v>85</v>
      </c>
      <c r="AI14" s="95" t="s">
        <v>124</v>
      </c>
      <c r="AJ14" s="95">
        <v>0</v>
      </c>
      <c r="AK14" s="95" t="s">
        <v>127</v>
      </c>
      <c r="AL14" s="95" t="s">
        <v>124</v>
      </c>
      <c r="AM14" s="95">
        <v>0</v>
      </c>
      <c r="AN14" s="95" t="s">
        <v>127</v>
      </c>
      <c r="AO14" s="95" t="s">
        <v>124</v>
      </c>
      <c r="AP14" s="95">
        <v>0</v>
      </c>
      <c r="AQ14" s="95" t="s">
        <v>127</v>
      </c>
      <c r="AR14" s="95" t="s">
        <v>124</v>
      </c>
      <c r="AS14" s="95">
        <v>5</v>
      </c>
      <c r="AT14" s="95" t="s">
        <v>127</v>
      </c>
      <c r="AU14" s="95" t="s">
        <v>124</v>
      </c>
      <c r="AV14" s="95">
        <v>5</v>
      </c>
      <c r="AW14" s="95" t="s">
        <v>127</v>
      </c>
      <c r="AX14" s="95" t="s">
        <v>126</v>
      </c>
      <c r="AY14" s="95">
        <v>5</v>
      </c>
      <c r="AZ14" s="95" t="s">
        <v>127</v>
      </c>
      <c r="BA14" s="95" t="s">
        <v>124</v>
      </c>
      <c r="BB14" s="95">
        <v>5</v>
      </c>
      <c r="BC14" s="95" t="s">
        <v>127</v>
      </c>
      <c r="BD14" s="95" t="s">
        <v>124</v>
      </c>
      <c r="BE14" s="95">
        <v>5</v>
      </c>
      <c r="BF14" s="95" t="s">
        <v>127</v>
      </c>
      <c r="BG14" s="95" t="s">
        <v>126</v>
      </c>
      <c r="BH14" s="95">
        <v>5</v>
      </c>
      <c r="BI14" s="95" t="s">
        <v>127</v>
      </c>
      <c r="BJ14" s="95" t="s">
        <v>113</v>
      </c>
      <c r="BK14" s="354">
        <f>B3</f>
        <v>0.79200000000000004</v>
      </c>
      <c r="BM14" s="95" t="s">
        <v>113</v>
      </c>
      <c r="BN14" s="354">
        <f>B6</f>
        <v>0.624</v>
      </c>
      <c r="BP14" s="95" t="s">
        <v>113</v>
      </c>
      <c r="BQ14" s="354">
        <f>B10</f>
        <v>0.751</v>
      </c>
      <c r="BS14" s="95" t="s">
        <v>436</v>
      </c>
      <c r="BT14" s="95">
        <v>1</v>
      </c>
      <c r="BU14" s="95" t="s">
        <v>85</v>
      </c>
      <c r="BV14" s="95" t="s">
        <v>105</v>
      </c>
      <c r="BW14" s="95">
        <v>0.05</v>
      </c>
      <c r="BX14" s="95" t="s">
        <v>95</v>
      </c>
      <c r="BY14" s="95" t="s">
        <v>134</v>
      </c>
      <c r="BZ14" s="354">
        <f>(BZ5/(BZ7*BZ17*(1/BZ9)*BZ35))*BZ10</f>
        <v>38428.020934741966</v>
      </c>
      <c r="CA14" s="95" t="s">
        <v>23</v>
      </c>
      <c r="CB14" s="95" t="s">
        <v>131</v>
      </c>
      <c r="CC14" s="354">
        <f>N15</f>
        <v>8.49E-6</v>
      </c>
      <c r="CD14" s="95" t="s">
        <v>132</v>
      </c>
      <c r="CE14" s="95" t="s">
        <v>131</v>
      </c>
      <c r="CF14" s="354">
        <f>Q15</f>
        <v>9.87E-10</v>
      </c>
      <c r="CG14" s="95" t="s">
        <v>132</v>
      </c>
      <c r="CH14" s="95" t="s">
        <v>131</v>
      </c>
      <c r="CI14" s="354">
        <f>T15</f>
        <v>7.1999999999999997E-6</v>
      </c>
      <c r="CJ14" s="95" t="s">
        <v>132</v>
      </c>
      <c r="CT14" s="95" t="s">
        <v>142</v>
      </c>
      <c r="CU14" s="354">
        <f>(CU5/(CU6*CU25*(1/CU48)))*CU11</f>
        <v>0.55138216928337569</v>
      </c>
      <c r="CV14" s="95" t="s">
        <v>23</v>
      </c>
      <c r="CW14" s="95" t="s">
        <v>181</v>
      </c>
      <c r="CX14" s="95">
        <v>5</v>
      </c>
      <c r="CY14" s="95" t="s">
        <v>85</v>
      </c>
      <c r="CZ14" s="95" t="s">
        <v>134</v>
      </c>
      <c r="DA14" s="354">
        <f>DA5/(DA7*DA25*DA43)</f>
        <v>1.4488554042306578E-3</v>
      </c>
      <c r="DB14" s="95" t="s">
        <v>25</v>
      </c>
      <c r="DC14" s="95" t="s">
        <v>270</v>
      </c>
      <c r="DD14" s="95">
        <v>55</v>
      </c>
      <c r="DE14" s="95" t="s">
        <v>55</v>
      </c>
      <c r="DF14" s="95" t="s">
        <v>130</v>
      </c>
      <c r="DG14" s="95">
        <v>0.26</v>
      </c>
      <c r="DO14" s="95" t="s">
        <v>130</v>
      </c>
      <c r="DP14" s="95">
        <v>0.26</v>
      </c>
      <c r="DR14" s="95" t="s">
        <v>247</v>
      </c>
      <c r="DS14" s="95">
        <v>35</v>
      </c>
      <c r="DT14" s="95" t="s">
        <v>129</v>
      </c>
      <c r="ED14" s="95" t="s">
        <v>130</v>
      </c>
      <c r="EE14" s="95">
        <v>0.25</v>
      </c>
      <c r="EG14" s="95" t="s">
        <v>247</v>
      </c>
      <c r="EH14" s="95">
        <v>35</v>
      </c>
      <c r="EI14" s="95" t="s">
        <v>129</v>
      </c>
      <c r="ES14" s="95" t="s">
        <v>130</v>
      </c>
      <c r="ET14" s="95">
        <v>0.25</v>
      </c>
      <c r="EV14" s="95" t="s">
        <v>247</v>
      </c>
      <c r="EW14" s="95">
        <v>35</v>
      </c>
      <c r="EX14" s="95" t="s">
        <v>129</v>
      </c>
      <c r="FH14" s="95" t="s">
        <v>130</v>
      </c>
      <c r="FI14" s="95">
        <v>0.25</v>
      </c>
      <c r="FK14" s="95" t="s">
        <v>247</v>
      </c>
      <c r="FL14" s="95">
        <v>35</v>
      </c>
      <c r="FM14" s="95" t="s">
        <v>129</v>
      </c>
      <c r="FT14" s="95" t="s">
        <v>203</v>
      </c>
      <c r="FU14" s="354">
        <f>B34</f>
        <v>50</v>
      </c>
      <c r="FW14" s="95" t="s">
        <v>130</v>
      </c>
      <c r="FX14" s="95">
        <v>0.25</v>
      </c>
      <c r="FZ14" s="95" t="s">
        <v>247</v>
      </c>
      <c r="GA14" s="95">
        <v>35</v>
      </c>
      <c r="GB14" s="95" t="s">
        <v>129</v>
      </c>
      <c r="GL14" s="95" t="s">
        <v>305</v>
      </c>
      <c r="GM14" s="95">
        <v>0.25</v>
      </c>
      <c r="GO14" s="95" t="s">
        <v>247</v>
      </c>
      <c r="GP14" s="95">
        <v>35</v>
      </c>
      <c r="GQ14" s="95" t="s">
        <v>129</v>
      </c>
      <c r="HA14" s="95" t="s">
        <v>130</v>
      </c>
      <c r="HB14" s="95">
        <v>0.25</v>
      </c>
      <c r="HD14" s="95" t="s">
        <v>128</v>
      </c>
      <c r="HE14" s="95">
        <v>8.1999999999999993</v>
      </c>
    </row>
    <row r="15" spans="1:214" s="95" customFormat="1" ht="13.5" thickBot="1" x14ac:dyDescent="0.25">
      <c r="A15" s="499"/>
      <c r="B15" s="500"/>
      <c r="C15" s="501"/>
      <c r="E15" s="95">
        <v>24</v>
      </c>
      <c r="F15" s="95" t="s">
        <v>85</v>
      </c>
      <c r="G15" s="95" t="s">
        <v>86</v>
      </c>
      <c r="H15" s="372">
        <f>H32*H29*H17+H33*H30*H18</f>
        <v>215460</v>
      </c>
      <c r="I15" s="95" t="s">
        <v>196</v>
      </c>
      <c r="J15" s="95" t="s">
        <v>134</v>
      </c>
      <c r="K15" s="354">
        <f>(K5/(K7*K20*(1/K10)*K47))*K11</f>
        <v>1683.513298093457</v>
      </c>
      <c r="L15" s="95" t="s">
        <v>23</v>
      </c>
      <c r="M15" s="95" t="s">
        <v>131</v>
      </c>
      <c r="N15" s="354">
        <f>B21</f>
        <v>8.49E-6</v>
      </c>
      <c r="O15" s="95" t="s">
        <v>132</v>
      </c>
      <c r="P15" s="95" t="s">
        <v>131</v>
      </c>
      <c r="Q15" s="354">
        <f>B23</f>
        <v>9.87E-10</v>
      </c>
      <c r="R15" s="95" t="s">
        <v>132</v>
      </c>
      <c r="S15" s="95" t="s">
        <v>131</v>
      </c>
      <c r="T15" s="354">
        <f>B25</f>
        <v>7.1999999999999997E-6</v>
      </c>
      <c r="U15" s="95" t="s">
        <v>132</v>
      </c>
      <c r="V15" s="95" t="s">
        <v>414</v>
      </c>
      <c r="W15" s="354">
        <f>B2</f>
        <v>0.124</v>
      </c>
      <c r="Y15" s="95" t="s">
        <v>414</v>
      </c>
      <c r="Z15" s="354">
        <f>B2</f>
        <v>0.124</v>
      </c>
      <c r="AB15" s="95" t="s">
        <v>136</v>
      </c>
      <c r="AF15" s="95">
        <v>1</v>
      </c>
      <c r="AG15" s="95">
        <v>1</v>
      </c>
      <c r="AI15" s="95" t="s">
        <v>131</v>
      </c>
      <c r="AJ15" s="354">
        <f>B21</f>
        <v>8.49E-6</v>
      </c>
      <c r="AK15" s="95" t="s">
        <v>132</v>
      </c>
      <c r="AL15" s="95" t="s">
        <v>131</v>
      </c>
      <c r="AM15" s="354">
        <f>B23</f>
        <v>9.87E-10</v>
      </c>
      <c r="AN15" s="95" t="s">
        <v>132</v>
      </c>
      <c r="AO15" s="95" t="s">
        <v>131</v>
      </c>
      <c r="AP15" s="354">
        <f>B25</f>
        <v>7.1999999999999997E-6</v>
      </c>
      <c r="AQ15" s="95" t="s">
        <v>132</v>
      </c>
      <c r="AR15" s="95" t="s">
        <v>131</v>
      </c>
      <c r="AS15" s="354">
        <f>B21</f>
        <v>8.49E-6</v>
      </c>
      <c r="AT15" s="95" t="s">
        <v>132</v>
      </c>
      <c r="AU15" s="95" t="s">
        <v>131</v>
      </c>
      <c r="AV15" s="354">
        <f>B23</f>
        <v>9.87E-10</v>
      </c>
      <c r="AW15" s="95" t="s">
        <v>132</v>
      </c>
      <c r="AX15" s="95" t="s">
        <v>131</v>
      </c>
      <c r="AY15" s="354">
        <f>B25</f>
        <v>7.1999999999999997E-6</v>
      </c>
      <c r="AZ15" s="95" t="s">
        <v>132</v>
      </c>
      <c r="BA15" s="95" t="s">
        <v>131</v>
      </c>
      <c r="BB15" s="354">
        <f>B21</f>
        <v>8.49E-6</v>
      </c>
      <c r="BC15" s="95" t="s">
        <v>132</v>
      </c>
      <c r="BD15" s="95" t="s">
        <v>131</v>
      </c>
      <c r="BE15" s="354">
        <f>B23</f>
        <v>9.87E-10</v>
      </c>
      <c r="BF15" s="95" t="s">
        <v>132</v>
      </c>
      <c r="BG15" s="95" t="s">
        <v>131</v>
      </c>
      <c r="BH15" s="354">
        <f>B25</f>
        <v>7.1999999999999997E-6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2.5397985628287354</v>
      </c>
      <c r="CA15" s="95" t="s">
        <v>23</v>
      </c>
      <c r="CT15" s="95" t="s">
        <v>134</v>
      </c>
      <c r="CU15" s="354">
        <f>(CU5/(CU7*CU26*(1/CU10)*CU47))*CU11</f>
        <v>993.30179379497179</v>
      </c>
      <c r="CV15" s="95" t="s">
        <v>23</v>
      </c>
      <c r="CW15" s="95" t="s">
        <v>179</v>
      </c>
      <c r="CX15" s="95">
        <v>5</v>
      </c>
      <c r="CY15" s="95" t="s">
        <v>85</v>
      </c>
      <c r="CZ15" s="95" t="s">
        <v>256</v>
      </c>
      <c r="DA15" s="354">
        <f>DA5/(DA8*DA26*(DA44/DA45))</f>
        <v>53457.236956525718</v>
      </c>
      <c r="DB15" s="95" t="s">
        <v>25</v>
      </c>
      <c r="DC15" s="95" t="s">
        <v>269</v>
      </c>
      <c r="DD15" s="95">
        <v>55</v>
      </c>
      <c r="DE15" s="95" t="s">
        <v>55</v>
      </c>
      <c r="DF15" s="95" t="s">
        <v>137</v>
      </c>
      <c r="DG15" s="95">
        <v>0.42</v>
      </c>
      <c r="DH15" s="95" t="s">
        <v>80</v>
      </c>
      <c r="DO15" s="95" t="s">
        <v>137</v>
      </c>
      <c r="DP15" s="95">
        <v>0.42</v>
      </c>
      <c r="DQ15" s="95" t="s">
        <v>80</v>
      </c>
      <c r="ED15" s="95" t="s">
        <v>58</v>
      </c>
      <c r="EE15" s="95">
        <v>92</v>
      </c>
      <c r="EF15" s="95" t="s">
        <v>59</v>
      </c>
      <c r="ES15" s="95" t="s">
        <v>60</v>
      </c>
      <c r="ET15" s="95">
        <v>53</v>
      </c>
      <c r="EU15" s="95" t="s">
        <v>59</v>
      </c>
      <c r="FH15" s="95" t="s">
        <v>297</v>
      </c>
      <c r="FI15" s="95">
        <v>0.4</v>
      </c>
      <c r="FJ15" s="95" t="s">
        <v>59</v>
      </c>
      <c r="FT15" s="95" t="s">
        <v>322</v>
      </c>
      <c r="FU15" s="354">
        <v>8.1999999999999993</v>
      </c>
      <c r="FW15" s="95" t="s">
        <v>300</v>
      </c>
      <c r="FX15" s="357">
        <v>1</v>
      </c>
      <c r="FY15" s="95" t="s">
        <v>59</v>
      </c>
      <c r="GL15" s="95" t="s">
        <v>298</v>
      </c>
      <c r="GM15" s="95">
        <v>0.4</v>
      </c>
      <c r="GN15" s="95" t="s">
        <v>59</v>
      </c>
      <c r="HA15" s="95" t="s">
        <v>299</v>
      </c>
      <c r="HB15" s="95">
        <v>11.4</v>
      </c>
      <c r="HC15" s="95" t="s">
        <v>59</v>
      </c>
    </row>
    <row r="16" spans="1:214" s="95" customFormat="1" ht="14.25" thickTop="1" thickBot="1" x14ac:dyDescent="0.25">
      <c r="A16" s="502"/>
      <c r="B16" s="503"/>
      <c r="C16" s="504"/>
      <c r="D16" s="95" t="s">
        <v>133</v>
      </c>
      <c r="E16" s="95">
        <v>6</v>
      </c>
      <c r="F16" s="95" t="s">
        <v>62</v>
      </c>
      <c r="G16" s="95" t="s">
        <v>82</v>
      </c>
      <c r="H16" s="373">
        <f>H29*H19*H32+H30*H20*H33</f>
        <v>70000</v>
      </c>
      <c r="I16" s="95" t="s">
        <v>444</v>
      </c>
      <c r="J16" s="95" t="s">
        <v>197</v>
      </c>
      <c r="K16" s="354">
        <f>(K5/(K8*K44*((K39*K43*(1/K37))+(K40*K42*(1/K37)))*K32*(1/K46)*K33))*K11</f>
        <v>2.1223137709353055E-2</v>
      </c>
      <c r="L16" s="95" t="s">
        <v>23</v>
      </c>
      <c r="M16" s="95" t="s">
        <v>151</v>
      </c>
      <c r="N16" s="95">
        <v>16.416</v>
      </c>
      <c r="O16" s="95" t="s">
        <v>127</v>
      </c>
      <c r="P16" s="95" t="s">
        <v>151</v>
      </c>
      <c r="Q16" s="95">
        <v>16.416</v>
      </c>
      <c r="R16" s="95" t="s">
        <v>127</v>
      </c>
      <c r="S16" s="95" t="s">
        <v>151</v>
      </c>
      <c r="T16" s="95">
        <v>16.416</v>
      </c>
      <c r="U16" s="95" t="s">
        <v>127</v>
      </c>
      <c r="V16" s="374" t="s">
        <v>134</v>
      </c>
      <c r="W16" s="375">
        <f>(W5)/((W11/W12)*W8*W9*W10*W13)</f>
        <v>1.8808777429467083E-3</v>
      </c>
      <c r="X16" s="376" t="s">
        <v>37</v>
      </c>
      <c r="Y16" s="376" t="s">
        <v>134</v>
      </c>
      <c r="Z16" s="375">
        <f>(Z5)/((Z11/Z12)*Z8*Z9*Z10*Z13)</f>
        <v>1.8808777429467083E-3</v>
      </c>
      <c r="AA16" s="377" t="s">
        <v>37</v>
      </c>
      <c r="AB16" s="95" t="s">
        <v>141</v>
      </c>
      <c r="AC16" s="95">
        <v>55</v>
      </c>
      <c r="AD16" s="95">
        <v>50</v>
      </c>
      <c r="AE16" s="95">
        <v>100</v>
      </c>
      <c r="AF16" s="95">
        <v>330</v>
      </c>
      <c r="AG16" s="95">
        <v>330</v>
      </c>
      <c r="AI16" s="95" t="s">
        <v>151</v>
      </c>
      <c r="AJ16" s="95">
        <v>8</v>
      </c>
      <c r="AK16" s="95" t="s">
        <v>127</v>
      </c>
      <c r="AL16" s="95" t="s">
        <v>151</v>
      </c>
      <c r="AM16" s="95">
        <v>8</v>
      </c>
      <c r="AN16" s="95" t="s">
        <v>127</v>
      </c>
      <c r="AO16" s="95" t="s">
        <v>151</v>
      </c>
      <c r="AP16" s="95">
        <v>8</v>
      </c>
      <c r="AQ16" s="95" t="s">
        <v>127</v>
      </c>
      <c r="AR16" s="95" t="s">
        <v>151</v>
      </c>
      <c r="AS16" s="95">
        <v>0</v>
      </c>
      <c r="AT16" s="95" t="s">
        <v>125</v>
      </c>
      <c r="AU16" s="95" t="s">
        <v>151</v>
      </c>
      <c r="AV16" s="95">
        <v>0</v>
      </c>
      <c r="AW16" s="95" t="s">
        <v>125</v>
      </c>
      <c r="AX16" s="95" t="s">
        <v>151</v>
      </c>
      <c r="AY16" s="95">
        <v>0</v>
      </c>
      <c r="AZ16" s="95" t="s">
        <v>125</v>
      </c>
      <c r="BA16" s="95" t="s">
        <v>151</v>
      </c>
      <c r="BB16" s="95">
        <v>0</v>
      </c>
      <c r="BC16" s="95" t="s">
        <v>127</v>
      </c>
      <c r="BD16" s="95" t="s">
        <v>151</v>
      </c>
      <c r="BE16" s="95">
        <v>0</v>
      </c>
      <c r="BF16" s="95" t="s">
        <v>127</v>
      </c>
      <c r="BG16" s="95" t="s">
        <v>151</v>
      </c>
      <c r="BH16" s="95">
        <v>0</v>
      </c>
      <c r="BI16" s="95" t="s">
        <v>127</v>
      </c>
      <c r="BJ16" s="95" t="s">
        <v>131</v>
      </c>
      <c r="BK16" s="354">
        <f>B21</f>
        <v>8.49E-6</v>
      </c>
      <c r="BL16" s="95" t="s">
        <v>132</v>
      </c>
      <c r="BM16" s="95" t="s">
        <v>131</v>
      </c>
      <c r="BN16" s="354">
        <f>B23</f>
        <v>9.87E-10</v>
      </c>
      <c r="BO16" s="95" t="s">
        <v>132</v>
      </c>
      <c r="BP16" s="95" t="s">
        <v>131</v>
      </c>
      <c r="BQ16" s="354">
        <f>B25</f>
        <v>7.1999999999999997E-6</v>
      </c>
      <c r="BR16" s="95" t="s">
        <v>132</v>
      </c>
      <c r="BS16" s="95" t="s">
        <v>182</v>
      </c>
      <c r="BT16" s="95">
        <v>1</v>
      </c>
      <c r="BU16" s="95" t="s">
        <v>85</v>
      </c>
      <c r="BV16" s="95" t="s">
        <v>263</v>
      </c>
      <c r="BW16" s="360">
        <f>((BW18*BW21*BW23*BW26)+(BW19*BW22*BW24*BW27))</f>
        <v>1170</v>
      </c>
      <c r="BX16" s="95" t="s">
        <v>445</v>
      </c>
      <c r="BY16" s="95" t="s">
        <v>87</v>
      </c>
      <c r="BZ16" s="360">
        <f>(BZ18*BZ22*BZ27+BZ19*BZ23*BZ26)</f>
        <v>256000</v>
      </c>
      <c r="CA16" s="95" t="s">
        <v>443</v>
      </c>
      <c r="CB16" s="378" t="s">
        <v>8</v>
      </c>
      <c r="CC16" s="42" t="s">
        <v>431</v>
      </c>
      <c r="CD16" s="43" t="s">
        <v>459</v>
      </c>
      <c r="CE16" s="41" t="s">
        <v>8</v>
      </c>
      <c r="CF16" s="42" t="s">
        <v>200</v>
      </c>
      <c r="CG16" s="43" t="s">
        <v>459</v>
      </c>
      <c r="CK16" s="379" t="s">
        <v>8</v>
      </c>
      <c r="CL16" s="380" t="s">
        <v>332</v>
      </c>
      <c r="CM16" s="381" t="s">
        <v>459</v>
      </c>
      <c r="CN16" s="42" t="s">
        <v>8</v>
      </c>
      <c r="CO16" s="42" t="s">
        <v>332</v>
      </c>
      <c r="CP16" s="43" t="s">
        <v>459</v>
      </c>
      <c r="CQ16" s="41" t="s">
        <v>8</v>
      </c>
      <c r="CR16" s="42" t="s">
        <v>332</v>
      </c>
      <c r="CS16" s="43" t="s">
        <v>459</v>
      </c>
      <c r="CT16" s="95" t="s">
        <v>197</v>
      </c>
      <c r="CU16" s="354">
        <f>(CU5/(CU8*CU44*((CU39*CU43*(1/CU37))+(CU40*CU42*(1/CU37)))*CU32*(1/CU46)*CU33))*CU11</f>
        <v>1.7028959512788842E-2</v>
      </c>
      <c r="CV16" s="95" t="s">
        <v>23</v>
      </c>
      <c r="CW16" s="95" t="s">
        <v>133</v>
      </c>
      <c r="CX16" s="95">
        <v>5</v>
      </c>
      <c r="CY16" s="95" t="s">
        <v>62</v>
      </c>
      <c r="CZ16" s="95" t="s">
        <v>277</v>
      </c>
      <c r="DA16" s="354">
        <f>DG3</f>
        <v>0.6212847702629265</v>
      </c>
      <c r="DB16" s="95" t="s">
        <v>25</v>
      </c>
      <c r="DC16" s="95" t="s">
        <v>246</v>
      </c>
      <c r="DD16" s="95">
        <v>5</v>
      </c>
      <c r="DE16" s="95" t="s">
        <v>129</v>
      </c>
      <c r="DF16" s="95" t="s">
        <v>143</v>
      </c>
      <c r="DG16" s="95">
        <f>DG20+(0.693/DG22)</f>
        <v>4.9501186643835612E-2</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4.25" thickTop="1" thickBot="1" x14ac:dyDescent="0.25">
      <c r="A17" s="95" t="s">
        <v>75</v>
      </c>
      <c r="B17" s="353">
        <v>1.16E-8</v>
      </c>
      <c r="C17" s="95" t="s">
        <v>64</v>
      </c>
      <c r="D17" s="95" t="s">
        <v>138</v>
      </c>
      <c r="E17" s="95">
        <v>20</v>
      </c>
      <c r="F17" s="95" t="s">
        <v>62</v>
      </c>
      <c r="G17" s="95" t="s">
        <v>105</v>
      </c>
      <c r="H17" s="95">
        <f>B49</f>
        <v>100</v>
      </c>
      <c r="J17" s="95" t="s">
        <v>407</v>
      </c>
      <c r="K17" s="354">
        <f>K18/(K49+K50)</f>
        <v>8.6394926544333617E-2</v>
      </c>
      <c r="L17" s="95" t="s">
        <v>23</v>
      </c>
      <c r="V17" s="383" t="s">
        <v>139</v>
      </c>
      <c r="W17" s="384">
        <f>(W5)/((W11/W12)*W8*W9*W14*(1/365))</f>
        <v>55.654383735705203</v>
      </c>
      <c r="X17" s="385" t="s">
        <v>37</v>
      </c>
      <c r="Y17" s="385" t="s">
        <v>139</v>
      </c>
      <c r="Z17" s="384">
        <f>(Z5)/((Z11/Z12)*Z8*Z9*Z14*(1/365))</f>
        <v>55.654383735705203</v>
      </c>
      <c r="AA17" s="386" t="s">
        <v>37</v>
      </c>
      <c r="BS17" s="95" t="s">
        <v>133</v>
      </c>
      <c r="BT17" s="95">
        <v>6</v>
      </c>
      <c r="BU17" s="95" t="s">
        <v>62</v>
      </c>
      <c r="BV17" s="95" t="s">
        <v>145</v>
      </c>
      <c r="BW17" s="95">
        <v>0.5</v>
      </c>
      <c r="BX17" s="95" t="s">
        <v>146</v>
      </c>
      <c r="BY17" s="95" t="s">
        <v>82</v>
      </c>
      <c r="BZ17" s="360">
        <f>(BZ27*BZ24*BZ20*(BZ29/24))+(BZ26*BZ23*BZ21*(BZ30/24))</f>
        <v>3066.6666666666665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f>DJ3</f>
        <v>3.0742338317588637E-2</v>
      </c>
      <c r="CV17" s="95" t="s">
        <v>23</v>
      </c>
      <c r="CW17" s="95" t="s">
        <v>138</v>
      </c>
      <c r="CX17" s="95">
        <v>35</v>
      </c>
      <c r="CY17" s="95" t="s">
        <v>62</v>
      </c>
      <c r="CZ17" s="95" t="s">
        <v>262</v>
      </c>
      <c r="DA17" s="354">
        <f>DD3</f>
        <v>8.023750300890635E-3</v>
      </c>
      <c r="DB17" s="95" t="s">
        <v>23</v>
      </c>
      <c r="DC17" s="95" t="s">
        <v>247</v>
      </c>
      <c r="DD17" s="95">
        <v>35</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261</v>
      </c>
      <c r="B18" s="353">
        <v>3.8600000000000001E-10</v>
      </c>
      <c r="C18" s="95" t="s">
        <v>64</v>
      </c>
      <c r="D18" s="95" t="s">
        <v>115</v>
      </c>
      <c r="E18" s="354">
        <f>B26</f>
        <v>7.8700000000000003E-9</v>
      </c>
      <c r="F18" s="95" t="s">
        <v>116</v>
      </c>
      <c r="G18" s="95" t="s">
        <v>135</v>
      </c>
      <c r="H18" s="95">
        <f>B50</f>
        <v>0.78</v>
      </c>
      <c r="J18" s="95" t="s">
        <v>406</v>
      </c>
      <c r="K18" s="354">
        <f>K5/(K9*(K25+K28)*K38)</f>
        <v>2.5918477963300084E-2</v>
      </c>
      <c r="L18" s="95" t="s">
        <v>23</v>
      </c>
      <c r="M18" s="21" t="s">
        <v>13</v>
      </c>
      <c r="N18" s="22" t="s">
        <v>158</v>
      </c>
      <c r="O18" s="22" t="s">
        <v>459</v>
      </c>
      <c r="P18" s="23" t="s">
        <v>13</v>
      </c>
      <c r="Q18" s="22" t="s">
        <v>200</v>
      </c>
      <c r="R18" s="24" t="s">
        <v>459</v>
      </c>
      <c r="V18" s="374" t="s">
        <v>134</v>
      </c>
      <c r="W18" s="375">
        <f>(W5*W6*W9)/((W11/W12)*(1-EXP(-W6*W9))*W10*W13*W8*W9)</f>
        <v>1.8890360562401794E-3</v>
      </c>
      <c r="X18" s="376" t="s">
        <v>38</v>
      </c>
      <c r="Y18" s="376" t="s">
        <v>134</v>
      </c>
      <c r="Z18" s="375">
        <f>(Z5*Z6*Z9)/((Z11/Z12)*(1-EXP(-Z6*Z9))*Z10*Z13*Z8*Z9)</f>
        <v>1.8890360562401794E-3</v>
      </c>
      <c r="AA18" s="377" t="s">
        <v>38</v>
      </c>
      <c r="AI18" s="33" t="s">
        <v>13</v>
      </c>
      <c r="AJ18" s="34" t="s">
        <v>158</v>
      </c>
      <c r="AK18" s="34" t="s">
        <v>459</v>
      </c>
      <c r="AL18" s="35" t="s">
        <v>13</v>
      </c>
      <c r="AM18" s="34" t="s">
        <v>200</v>
      </c>
      <c r="AN18" s="36" t="s">
        <v>459</v>
      </c>
      <c r="AR18" s="37" t="s">
        <v>13</v>
      </c>
      <c r="AS18" s="38" t="s">
        <v>158</v>
      </c>
      <c r="AT18" s="38" t="s">
        <v>459</v>
      </c>
      <c r="AU18" s="39" t="s">
        <v>13</v>
      </c>
      <c r="AV18" s="38" t="s">
        <v>200</v>
      </c>
      <c r="AW18" s="40" t="s">
        <v>459</v>
      </c>
      <c r="BA18" s="37" t="s">
        <v>13</v>
      </c>
      <c r="BB18" s="38" t="s">
        <v>158</v>
      </c>
      <c r="BC18" s="38" t="s">
        <v>459</v>
      </c>
      <c r="BD18" s="39" t="s">
        <v>13</v>
      </c>
      <c r="BE18" s="38" t="s">
        <v>200</v>
      </c>
      <c r="BF18" s="40" t="s">
        <v>459</v>
      </c>
      <c r="BJ18" s="37" t="s">
        <v>13</v>
      </c>
      <c r="BK18" s="38" t="s">
        <v>158</v>
      </c>
      <c r="BL18" s="38" t="s">
        <v>459</v>
      </c>
      <c r="BM18" s="39" t="s">
        <v>13</v>
      </c>
      <c r="BN18" s="38" t="s">
        <v>200</v>
      </c>
      <c r="BO18" s="40" t="s">
        <v>459</v>
      </c>
      <c r="BS18" s="95" t="s">
        <v>138</v>
      </c>
      <c r="BT18" s="95">
        <v>20</v>
      </c>
      <c r="BU18" s="95" t="s">
        <v>62</v>
      </c>
      <c r="BV18" s="95" t="s">
        <v>440</v>
      </c>
      <c r="BW18" s="95">
        <v>45</v>
      </c>
      <c r="BX18" s="95" t="s">
        <v>55</v>
      </c>
      <c r="BY18" s="95" t="s">
        <v>117</v>
      </c>
      <c r="BZ18" s="95">
        <v>200</v>
      </c>
      <c r="CA18" s="95" t="s">
        <v>96</v>
      </c>
      <c r="CB18" s="387" t="s">
        <v>39</v>
      </c>
      <c r="CC18" s="195">
        <f>(CC20*CC21*CC22)/((1-EXP(-CC22*CC21))*CC25*CC29*(CC24/365)*CC27*(CC28/24)*CC26)</f>
        <v>87.661686975550126</v>
      </c>
      <c r="CD18" s="129"/>
      <c r="CE18" s="126" t="s">
        <v>39</v>
      </c>
      <c r="CF18" s="195">
        <f>(CF20*CF21*CF22)/((1-EXP(-CF22*CF21))*CF25*CF29*(CF24/365)*CF27*(CF28/24)*CF26)</f>
        <v>9.2462157826442173</v>
      </c>
      <c r="CG18" s="129"/>
      <c r="CK18" s="388" t="s">
        <v>17</v>
      </c>
      <c r="CL18" s="195">
        <f>CL20/(CL21*CL22*CL23*CL24)</f>
        <v>1.8670649738610903</v>
      </c>
      <c r="CM18" s="389"/>
      <c r="CN18" s="127" t="s">
        <v>17</v>
      </c>
      <c r="CO18" s="195">
        <f>CL18/(CO20*((CO25*CO27*CO28*(CO21+CO22))+(CO26*CO27)))</f>
        <v>2575.262032911849</v>
      </c>
      <c r="CP18" s="129"/>
      <c r="CQ18" s="126" t="s">
        <v>17</v>
      </c>
      <c r="CR18" s="195">
        <f>CL18/(CR20*CR21*(1/CR22))</f>
        <v>3734129.9477221807</v>
      </c>
      <c r="CS18" s="129"/>
      <c r="CT18" s="95" t="s">
        <v>406</v>
      </c>
      <c r="CU18" s="354">
        <f>DD3</f>
        <v>8.023750300890635E-3</v>
      </c>
      <c r="CV18" s="95" t="s">
        <v>23</v>
      </c>
      <c r="CW18" s="95" t="s">
        <v>115</v>
      </c>
      <c r="CX18" s="354">
        <f>B26</f>
        <v>7.8700000000000003E-9</v>
      </c>
      <c r="CY18" s="95" t="s">
        <v>116</v>
      </c>
      <c r="CZ18" s="95" t="s">
        <v>323</v>
      </c>
      <c r="DA18" s="354" t="e">
        <f>EZ3</f>
        <v>#DIV/0!</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77</v>
      </c>
      <c r="B19" s="353">
        <v>7.2999999999999996E-10</v>
      </c>
      <c r="C19" s="95" t="s">
        <v>64</v>
      </c>
      <c r="D19" s="95" t="s">
        <v>414</v>
      </c>
      <c r="E19" s="354">
        <f>B2</f>
        <v>0.124</v>
      </c>
      <c r="G19" s="95" t="s">
        <v>240</v>
      </c>
      <c r="H19" s="95">
        <f>B44</f>
        <v>0</v>
      </c>
      <c r="J19" s="95" t="s">
        <v>87</v>
      </c>
      <c r="K19" s="390">
        <f>K21*K31*K35+K22*K32*K34</f>
        <v>1526000</v>
      </c>
      <c r="L19" s="95" t="s">
        <v>443</v>
      </c>
      <c r="M19" s="103" t="s">
        <v>33</v>
      </c>
      <c r="N19" s="104" t="s">
        <v>34</v>
      </c>
      <c r="O19" s="105" t="s">
        <v>162</v>
      </c>
      <c r="P19" s="106" t="s">
        <v>33</v>
      </c>
      <c r="Q19" s="104" t="s">
        <v>34</v>
      </c>
      <c r="R19" s="107" t="s">
        <v>23</v>
      </c>
      <c r="V19" s="383" t="s">
        <v>139</v>
      </c>
      <c r="W19" s="384">
        <f>(W5*W6*W9)/((W11/W12)*(1-EXP(-W6*W9))*W14*W8*W9*(1/365))</f>
        <v>55.895784805165263</v>
      </c>
      <c r="X19" s="385" t="s">
        <v>38</v>
      </c>
      <c r="Y19" s="385" t="s">
        <v>139</v>
      </c>
      <c r="Z19" s="384">
        <f>(Z5*Z6*Z9)/((Z11/Z12)*(1-EXP(-Z6*Z9))*Z14*Z8*Z9*(1/365))</f>
        <v>55.895784805165263</v>
      </c>
      <c r="AA19" s="386" t="s">
        <v>38</v>
      </c>
      <c r="AB19" s="95" t="s">
        <v>102</v>
      </c>
      <c r="AC19" s="354">
        <f>B2</f>
        <v>0.124</v>
      </c>
      <c r="AD19" s="354">
        <f>B2</f>
        <v>0.124</v>
      </c>
      <c r="AE19" s="354">
        <f>B2</f>
        <v>0.124</v>
      </c>
      <c r="AF19" s="354">
        <f>B2</f>
        <v>0.124</v>
      </c>
      <c r="AG19" s="354">
        <f>B2</f>
        <v>0.124</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7.8700000000000003E-9</v>
      </c>
      <c r="BU19" s="95" t="s">
        <v>116</v>
      </c>
      <c r="BV19" s="95" t="s">
        <v>441</v>
      </c>
      <c r="BW19" s="95">
        <v>45</v>
      </c>
      <c r="BX19" s="95" t="s">
        <v>55</v>
      </c>
      <c r="BY19" s="95" t="s">
        <v>140</v>
      </c>
      <c r="BZ19" s="95">
        <v>100</v>
      </c>
      <c r="CA19" s="95" t="s">
        <v>96</v>
      </c>
      <c r="CB19" s="391"/>
      <c r="CC19" s="285"/>
      <c r="CD19" s="287"/>
      <c r="CE19" s="284"/>
      <c r="CF19" s="285"/>
      <c r="CG19" s="287"/>
      <c r="CK19" s="392"/>
      <c r="CL19" s="393"/>
      <c r="CM19" s="394"/>
      <c r="CN19" s="395"/>
      <c r="CO19" s="285"/>
      <c r="CP19" s="287"/>
      <c r="CQ19" s="284"/>
      <c r="CR19" s="285"/>
      <c r="CS19" s="287"/>
      <c r="CT19" s="95" t="s">
        <v>323</v>
      </c>
      <c r="CU19" s="354" t="e">
        <f>FC3</f>
        <v>#DIV/0!</v>
      </c>
      <c r="CV19" s="95" t="s">
        <v>23</v>
      </c>
      <c r="CW19" s="95" t="s">
        <v>414</v>
      </c>
      <c r="CX19" s="354">
        <f>B2</f>
        <v>0.124</v>
      </c>
      <c r="CZ19" s="95" t="s">
        <v>417</v>
      </c>
      <c r="DA19" s="354" t="e">
        <f>GS3</f>
        <v>#DIV/0!</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480</v>
      </c>
      <c r="B20" s="353">
        <v>2.9500000000000002E-10</v>
      </c>
      <c r="C20" s="95" t="s">
        <v>64</v>
      </c>
      <c r="D20" s="95" t="s">
        <v>134</v>
      </c>
      <c r="E20" s="354">
        <f>(E5)/((E14/E15)*E10*E11)</f>
        <v>1.2315270935960591E-3</v>
      </c>
      <c r="F20" s="95" t="s">
        <v>37</v>
      </c>
      <c r="G20" s="95" t="s">
        <v>241</v>
      </c>
      <c r="H20" s="95">
        <f>B45</f>
        <v>10</v>
      </c>
      <c r="J20" s="95" t="s">
        <v>82</v>
      </c>
      <c r="K20" s="390">
        <f>K35*K31*K23+K34*K32*K24</f>
        <v>70000</v>
      </c>
      <c r="L20" s="95" t="s">
        <v>149</v>
      </c>
      <c r="M20" s="103" t="s">
        <v>39</v>
      </c>
      <c r="N20" s="185">
        <f>(N22*N23*N24)/((1-EXP(-N24*N23))*N27*N32*(N26/365)*N30*(((N31/24)*N29)+((N33/24)*N28)))</f>
        <v>1.7187403486312993</v>
      </c>
      <c r="O20" s="105"/>
      <c r="P20" s="106" t="s">
        <v>39</v>
      </c>
      <c r="Q20" s="185">
        <f>(Q22*Q23*Q24)/((1-EXP(-Q24*Q23))*Q27*Q32*(Q26/365)*Q30*(((Q31/24)*Q29)+((Q33/24)*Q28)))</f>
        <v>0.35827862483433276</v>
      </c>
      <c r="R20" s="107"/>
      <c r="AB20" s="95" t="s">
        <v>449</v>
      </c>
      <c r="AC20" s="95">
        <v>55</v>
      </c>
      <c r="AD20" s="95">
        <v>55</v>
      </c>
      <c r="AE20" s="95">
        <v>60</v>
      </c>
      <c r="AF20" s="95">
        <v>60</v>
      </c>
      <c r="AG20" s="95">
        <v>60</v>
      </c>
      <c r="AH20" s="95" t="s">
        <v>83</v>
      </c>
      <c r="AI20" s="116" t="s">
        <v>39</v>
      </c>
      <c r="AJ20" s="193">
        <f>(AJ22*AJ23*AJ24)/((1-EXP(-AJ24*AJ23))*AJ27*AJ32*(AJ26/365)*AJ30*((AJ31*AJ29)+((AJ33/24)*AJ28)))</f>
        <v>1.1877313801998752</v>
      </c>
      <c r="AK20" s="118"/>
      <c r="AL20" s="119" t="s">
        <v>39</v>
      </c>
      <c r="AM20" s="193">
        <f>(AM22*AM23*AM24)/((1-EXP(-AM24*AM23))*AM27*AM32*(AM26/365)*AM30*((AM31*AM29)+((AM33/24)*AM28)))</f>
        <v>0.2536613227391385</v>
      </c>
      <c r="AN20" s="120"/>
      <c r="AR20" s="121" t="s">
        <v>39</v>
      </c>
      <c r="AS20" s="194">
        <f>(AS22*AS23*AS24)/((1-EXP(-AS24*AS23))*AS27*AS32*(AS26/365)*AS30*(((AS31/24)*AS29)+(AS33*AS28)))</f>
        <v>18.209993238275828</v>
      </c>
      <c r="AT20" s="123"/>
      <c r="AU20" s="124" t="s">
        <v>39</v>
      </c>
      <c r="AV20" s="194">
        <f>(AV22*AV23*AV24)/((1-EXP(-AV24*AV23))*AV27*AV32*(AV26/365)*AV30*(((AV31/24)*AV29)+(AV33*AV28)))</f>
        <v>1.920719674588875</v>
      </c>
      <c r="AW20" s="125"/>
      <c r="BA20" s="121" t="s">
        <v>39</v>
      </c>
      <c r="BB20" s="194">
        <f>(BB22*BB23*BB24)/((1-EXP(-BB24*BB23))*BB27*BB32*(BB26/365)*BB30*(((BB31/24)*BB29)+(BB33*BB28)))</f>
        <v>18.209993238275828</v>
      </c>
      <c r="BC20" s="123"/>
      <c r="BD20" s="124" t="s">
        <v>39</v>
      </c>
      <c r="BE20" s="194">
        <f>(BE22*BE23*BE24)/((1-EXP(-BE24*BE23))*BE27*BE32*(BE26/365)*BE30*(((BE31/24)*BE29)+(BE33*BE28)))</f>
        <v>1.920719674588875</v>
      </c>
      <c r="BF20" s="125"/>
      <c r="BJ20" s="121" t="s">
        <v>39</v>
      </c>
      <c r="BK20" s="194">
        <f>(BK22*BK23*BK24)/((1-EXP(-BK24*BK23))*BK29*BK34*(BK26/365)*BK32*BK33*BK31)</f>
        <v>181.3527530930514</v>
      </c>
      <c r="BL20" s="123"/>
      <c r="BM20" s="124" t="s">
        <v>39</v>
      </c>
      <c r="BN20" s="194">
        <f>(BN22*BN23*BN24)/((1-EXP(-BN24*BN23))*BN29*BN34*(BN26/365)*BN32*BN33*BN31)</f>
        <v>19.128387163512361</v>
      </c>
      <c r="BO20" s="125"/>
      <c r="BS20" s="95" t="s">
        <v>414</v>
      </c>
      <c r="BT20" s="354">
        <f>B2</f>
        <v>0.124</v>
      </c>
      <c r="BV20" s="95" t="s">
        <v>108</v>
      </c>
      <c r="BW20" s="95">
        <v>26</v>
      </c>
      <c r="BX20" s="95" t="s">
        <v>129</v>
      </c>
      <c r="BY20" s="95" t="s">
        <v>240</v>
      </c>
      <c r="BZ20" s="95">
        <v>10</v>
      </c>
      <c r="CA20" s="95" t="s">
        <v>83</v>
      </c>
      <c r="CB20" s="95" t="s">
        <v>46</v>
      </c>
      <c r="CC20" s="354">
        <v>9.9999999999999995E-7</v>
      </c>
      <c r="CE20" s="95" t="s">
        <v>46</v>
      </c>
      <c r="CF20" s="354">
        <v>9.9999999999999995E-7</v>
      </c>
      <c r="CK20" s="95" t="s">
        <v>46</v>
      </c>
      <c r="CL20" s="354">
        <v>9.9999999999999995E-7</v>
      </c>
      <c r="CM20" s="355"/>
      <c r="CN20" s="95" t="s">
        <v>433</v>
      </c>
      <c r="CO20" s="354">
        <f>B40</f>
        <v>1E-3</v>
      </c>
      <c r="CQ20" s="95" t="s">
        <v>433</v>
      </c>
      <c r="CR20" s="354">
        <f>B40</f>
        <v>1E-3</v>
      </c>
      <c r="CT20" s="95" t="s">
        <v>417</v>
      </c>
      <c r="CU20" s="354" t="e">
        <f>GV3</f>
        <v>#DIV/0!</v>
      </c>
      <c r="CV20" s="95" t="s">
        <v>23</v>
      </c>
      <c r="CW20" s="95" t="s">
        <v>134</v>
      </c>
      <c r="CX20" s="354">
        <f>(CX5)/((CX14/CX15)*CX10*CX11)</f>
        <v>3.4197777144485604E-3</v>
      </c>
      <c r="CY20" s="95" t="s">
        <v>37</v>
      </c>
      <c r="CZ20" s="95" t="s">
        <v>326</v>
      </c>
      <c r="DA20" s="354">
        <f>EK3</f>
        <v>0.30278303022228814</v>
      </c>
      <c r="DD20" s="354">
        <v>1000</v>
      </c>
      <c r="DE20" s="95" t="s">
        <v>195</v>
      </c>
      <c r="DF20" s="95" t="s">
        <v>154</v>
      </c>
      <c r="DG20" s="354">
        <f>0.693/DG23</f>
        <v>1.1866438356164383E-6</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131</v>
      </c>
      <c r="B21" s="353">
        <v>8.49E-6</v>
      </c>
      <c r="C21" s="95" t="s">
        <v>163</v>
      </c>
      <c r="D21" s="95" t="s">
        <v>139</v>
      </c>
      <c r="E21" s="354">
        <f>(E5)/((E14/E15)*E8*E9*E18*(1/365)*E19)</f>
        <v>41.101252315745903</v>
      </c>
      <c r="F21" s="95" t="s">
        <v>37</v>
      </c>
      <c r="G21" s="95" t="s">
        <v>263</v>
      </c>
      <c r="H21" s="396">
        <f>(H29*H32*H38*H34)+(H30*H33*H39*H35)</f>
        <v>6104</v>
      </c>
      <c r="I21" s="95" t="s">
        <v>445</v>
      </c>
      <c r="J21" s="95" t="s">
        <v>117</v>
      </c>
      <c r="K21" s="95">
        <f>B47</f>
        <v>60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0.13793103448275862</v>
      </c>
      <c r="BU21" s="95" t="s">
        <v>37</v>
      </c>
      <c r="BV21" s="95" t="s">
        <v>439</v>
      </c>
      <c r="BW21" s="95">
        <v>6</v>
      </c>
      <c r="BY21" s="95" t="s">
        <v>241</v>
      </c>
      <c r="BZ21" s="95">
        <v>20</v>
      </c>
      <c r="CA21" s="95" t="s">
        <v>83</v>
      </c>
      <c r="CB21" s="95" t="s">
        <v>61</v>
      </c>
      <c r="CC21" s="95">
        <v>26</v>
      </c>
      <c r="CD21" s="95" t="s">
        <v>62</v>
      </c>
      <c r="CE21" s="95" t="s">
        <v>61</v>
      </c>
      <c r="CF21" s="95">
        <v>26</v>
      </c>
      <c r="CG21" s="95" t="s">
        <v>62</v>
      </c>
      <c r="CK21" s="95" t="s">
        <v>415</v>
      </c>
      <c r="CL21" s="354">
        <f>E33</f>
        <v>5.1499999999999998E-10</v>
      </c>
      <c r="CM21" s="95" t="s">
        <v>23</v>
      </c>
      <c r="CN21" s="95" t="s">
        <v>50</v>
      </c>
      <c r="CO21" s="95">
        <f>CO23</f>
        <v>0.2</v>
      </c>
      <c r="CQ21" s="95" t="s">
        <v>346</v>
      </c>
      <c r="CR21" s="357">
        <v>0.5</v>
      </c>
      <c r="CS21" s="95" t="s">
        <v>59</v>
      </c>
      <c r="CT21" s="95" t="s">
        <v>326</v>
      </c>
      <c r="CU21" s="354">
        <f>EN3</f>
        <v>2.822034749280097</v>
      </c>
      <c r="CV21" s="95" t="s">
        <v>23</v>
      </c>
      <c r="CW21" s="95" t="s">
        <v>139</v>
      </c>
      <c r="CX21" s="354">
        <f>(CX5)/((CX14/CX15)*CX8*CX9*CX18*(1/365)*CX19)</f>
        <v>26.715814005234837</v>
      </c>
      <c r="CY21" s="95" t="s">
        <v>37</v>
      </c>
      <c r="CZ21" s="95" t="s">
        <v>418</v>
      </c>
      <c r="DA21" s="354">
        <f>DV3</f>
        <v>0.17442935436718771</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459</v>
      </c>
      <c r="HF21" s="94" t="s">
        <v>159</v>
      </c>
    </row>
    <row r="22" spans="1:214" s="95" customFormat="1" ht="13.5" thickTop="1" x14ac:dyDescent="0.2">
      <c r="A22" s="95" t="s">
        <v>473</v>
      </c>
      <c r="B22" s="353">
        <v>1.5400000000000001E-6</v>
      </c>
      <c r="C22" s="95" t="s">
        <v>477</v>
      </c>
      <c r="D22" s="95" t="s">
        <v>134</v>
      </c>
      <c r="E22" s="354">
        <f>(E5*E9*E6)/((E14/E15)*(1-EXP(-E6*E9))*E10*E11)</f>
        <v>1.2384743755627619E-3</v>
      </c>
      <c r="F22" s="95" t="s">
        <v>38</v>
      </c>
      <c r="G22" s="95" t="s">
        <v>403</v>
      </c>
      <c r="H22" s="360">
        <f>(H29*H32*H23)+(H30*H33*H24)</f>
        <v>108850</v>
      </c>
      <c r="I22" s="95" t="s">
        <v>230</v>
      </c>
      <c r="J22" s="95" t="s">
        <v>140</v>
      </c>
      <c r="K22" s="95">
        <f>B48</f>
        <v>200</v>
      </c>
      <c r="L22" s="95" t="s">
        <v>96</v>
      </c>
      <c r="M22" s="95" t="s">
        <v>46</v>
      </c>
      <c r="N22" s="354">
        <v>9.9999999999999995E-7</v>
      </c>
      <c r="P22" s="95" t="s">
        <v>46</v>
      </c>
      <c r="Q22" s="354">
        <v>9.9999999999999995E-7</v>
      </c>
      <c r="V22" s="25" t="s">
        <v>1</v>
      </c>
      <c r="W22" s="26" t="s">
        <v>5</v>
      </c>
      <c r="X22" s="26" t="s">
        <v>459</v>
      </c>
      <c r="Y22" s="27" t="s">
        <v>1</v>
      </c>
      <c r="Z22" s="26" t="s">
        <v>239</v>
      </c>
      <c r="AA22" s="28" t="s">
        <v>459</v>
      </c>
      <c r="AB22" s="95" t="s">
        <v>113</v>
      </c>
      <c r="AC22" s="354">
        <f>B3</f>
        <v>0.79200000000000004</v>
      </c>
      <c r="AD22" s="354">
        <f>B3</f>
        <v>0.79200000000000004</v>
      </c>
      <c r="AE22" s="354">
        <f>B3</f>
        <v>0.79200000000000004</v>
      </c>
      <c r="AF22" s="354">
        <f>B3</f>
        <v>0.79200000000000004</v>
      </c>
      <c r="AG22" s="354">
        <f>B3</f>
        <v>0.79200000000000004</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4603.3402593635401</v>
      </c>
      <c r="BU22" s="95" t="s">
        <v>37</v>
      </c>
      <c r="BV22" s="95" t="s">
        <v>438</v>
      </c>
      <c r="BW22" s="95">
        <f>BW20-BW21</f>
        <v>20</v>
      </c>
      <c r="BY22" s="95" t="s">
        <v>238</v>
      </c>
      <c r="BZ22" s="95">
        <v>80</v>
      </c>
      <c r="CA22" s="95" t="s">
        <v>55</v>
      </c>
      <c r="CB22" s="95" t="s">
        <v>52</v>
      </c>
      <c r="CC22" s="354">
        <f>0.693/CC23</f>
        <v>4.3312499999999997E-4</v>
      </c>
      <c r="CE22" s="95" t="s">
        <v>52</v>
      </c>
      <c r="CF22" s="354">
        <f>0.693/CF23</f>
        <v>4.3312499999999997E-4</v>
      </c>
      <c r="CK22" s="95" t="s">
        <v>238</v>
      </c>
      <c r="CL22" s="95">
        <v>80</v>
      </c>
      <c r="CM22" s="95" t="s">
        <v>268</v>
      </c>
      <c r="CN22" s="95" t="s">
        <v>57</v>
      </c>
      <c r="CO22" s="95">
        <f>CO24</f>
        <v>0.25</v>
      </c>
      <c r="CR22" s="95">
        <v>1000</v>
      </c>
      <c r="CS22" s="95" t="s">
        <v>230</v>
      </c>
      <c r="CT22" s="95" t="s">
        <v>418</v>
      </c>
      <c r="CU22" s="354">
        <f>DY3</f>
        <v>2.0021834811954173</v>
      </c>
      <c r="CV22" s="95" t="s">
        <v>23</v>
      </c>
      <c r="CW22" s="95" t="s">
        <v>134</v>
      </c>
      <c r="CX22" s="354">
        <f>(CX5*CX9*CX6)/((CX14/CX15)*(1-EXP(-CX6*CX9))*CX10*CX11)</f>
        <v>3.4494870772651637E-3</v>
      </c>
      <c r="CY22" s="95" t="s">
        <v>38</v>
      </c>
      <c r="CZ22" s="95" t="s">
        <v>324</v>
      </c>
      <c r="DA22" s="354" t="e">
        <f>GD3</f>
        <v>#DIV/0!</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476</v>
      </c>
      <c r="B23" s="353">
        <v>9.87E-10</v>
      </c>
      <c r="C23" s="95" t="s">
        <v>163</v>
      </c>
      <c r="D23" s="95" t="s">
        <v>139</v>
      </c>
      <c r="E23" s="354">
        <f>(E5*E9*E6)/((E14/E15)*E8*E9*(1-EXP(-E6*E9))*E18*(1/365)*E19)</f>
        <v>41.333112410831831</v>
      </c>
      <c r="F23" s="95" t="s">
        <v>38</v>
      </c>
      <c r="G23" s="95" t="s">
        <v>404</v>
      </c>
      <c r="H23" s="354">
        <f>B51</f>
        <v>2.5</v>
      </c>
      <c r="I23" s="95" t="s">
        <v>413</v>
      </c>
      <c r="J23" s="95" t="s">
        <v>240</v>
      </c>
      <c r="K23" s="95">
        <f>B44</f>
        <v>0</v>
      </c>
      <c r="L23" s="95" t="s">
        <v>83</v>
      </c>
      <c r="M23" s="95" t="s">
        <v>61</v>
      </c>
      <c r="N23" s="95">
        <v>20</v>
      </c>
      <c r="O23" s="95" t="s">
        <v>62</v>
      </c>
      <c r="P23" s="95" t="s">
        <v>61</v>
      </c>
      <c r="Q23" s="95">
        <v>20</v>
      </c>
      <c r="R23" s="95" t="s">
        <v>62</v>
      </c>
      <c r="V23" s="108" t="s">
        <v>19</v>
      </c>
      <c r="W23" s="109" t="s">
        <v>17</v>
      </c>
      <c r="X23" s="109" t="s">
        <v>20</v>
      </c>
      <c r="Y23" s="110" t="s">
        <v>19</v>
      </c>
      <c r="Z23" s="109" t="s">
        <v>17</v>
      </c>
      <c r="AA23" s="111" t="s">
        <v>20</v>
      </c>
      <c r="AB23" s="95" t="s">
        <v>131</v>
      </c>
      <c r="AC23" s="354">
        <f>B21</f>
        <v>8.49E-6</v>
      </c>
      <c r="AD23" s="354">
        <f>B21</f>
        <v>8.49E-6</v>
      </c>
      <c r="AE23" s="354">
        <f>B21</f>
        <v>8.49E-6</v>
      </c>
      <c r="AF23" s="354">
        <f>B21</f>
        <v>8.49E-6</v>
      </c>
      <c r="AG23" s="354">
        <f>B21</f>
        <v>8.49E-6</v>
      </c>
      <c r="AH23" s="95" t="s">
        <v>163</v>
      </c>
      <c r="AI23" s="95" t="s">
        <v>61</v>
      </c>
      <c r="AJ23" s="95">
        <v>25</v>
      </c>
      <c r="AK23" s="95" t="s">
        <v>62</v>
      </c>
      <c r="AL23" s="95" t="s">
        <v>61</v>
      </c>
      <c r="AM23" s="95">
        <v>25</v>
      </c>
      <c r="AN23" s="95" t="s">
        <v>62</v>
      </c>
      <c r="AR23" s="95" t="s">
        <v>61</v>
      </c>
      <c r="AS23" s="95">
        <v>20</v>
      </c>
      <c r="AT23" s="95" t="s">
        <v>62</v>
      </c>
      <c r="AU23" s="95" t="s">
        <v>61</v>
      </c>
      <c r="AV23" s="95">
        <v>20</v>
      </c>
      <c r="AW23" s="95" t="s">
        <v>62</v>
      </c>
      <c r="BA23" s="95" t="s">
        <v>61</v>
      </c>
      <c r="BB23" s="95">
        <v>20</v>
      </c>
      <c r="BC23" s="95" t="s">
        <v>62</v>
      </c>
      <c r="BD23" s="95" t="s">
        <v>61</v>
      </c>
      <c r="BE23" s="95">
        <v>20</v>
      </c>
      <c r="BF23" s="95" t="s">
        <v>62</v>
      </c>
      <c r="BJ23" s="95" t="s">
        <v>61</v>
      </c>
      <c r="BK23" s="95">
        <v>1</v>
      </c>
      <c r="BL23" s="95" t="s">
        <v>62</v>
      </c>
      <c r="BM23" s="95" t="s">
        <v>61</v>
      </c>
      <c r="BN23" s="95">
        <v>1</v>
      </c>
      <c r="BO23" s="95" t="s">
        <v>62</v>
      </c>
      <c r="BS23" s="95" t="s">
        <v>134</v>
      </c>
      <c r="BT23" s="354">
        <f>(BT5*BT28*BT6)/((1-EXP(-BT6*BT9))*BT10*BT11)</f>
        <v>0.13870913006302935</v>
      </c>
      <c r="BU23" s="95" t="s">
        <v>38</v>
      </c>
      <c r="BV23" s="95" t="s">
        <v>436</v>
      </c>
      <c r="BW23" s="95">
        <v>1</v>
      </c>
      <c r="BX23" s="95" t="s">
        <v>180</v>
      </c>
      <c r="BY23" s="95" t="s">
        <v>78</v>
      </c>
      <c r="BZ23" s="95">
        <v>80</v>
      </c>
      <c r="CA23" s="95" t="s">
        <v>55</v>
      </c>
      <c r="CB23" s="95" t="s">
        <v>448</v>
      </c>
      <c r="CC23" s="354">
        <f>B29</f>
        <v>1600</v>
      </c>
      <c r="CD23" s="95" t="s">
        <v>129</v>
      </c>
      <c r="CE23" s="95" t="s">
        <v>448</v>
      </c>
      <c r="CF23" s="354">
        <f>B29</f>
        <v>1600</v>
      </c>
      <c r="CG23" s="95" t="s">
        <v>129</v>
      </c>
      <c r="CK23" s="95" t="s">
        <v>107</v>
      </c>
      <c r="CL23" s="95">
        <v>26</v>
      </c>
      <c r="CM23" s="95" t="s">
        <v>276</v>
      </c>
      <c r="CN23" s="95" t="s">
        <v>67</v>
      </c>
      <c r="CO23" s="354">
        <f>B43</f>
        <v>0.2</v>
      </c>
      <c r="CT23" s="95" t="s">
        <v>324</v>
      </c>
      <c r="CU23" s="354" t="e">
        <f>GG3</f>
        <v>#DIV/0!</v>
      </c>
      <c r="CV23" s="95" t="s">
        <v>23</v>
      </c>
      <c r="CW23" s="95" t="s">
        <v>139</v>
      </c>
      <c r="CX23" s="354">
        <f>(CX5*CX9*CX6)/((CX14/CX15)*CX8*CX9*(1-EXP(-CX6*CX9))*CX18*(1/365)*CX19)</f>
        <v>26.94790798253312</v>
      </c>
      <c r="CY23" s="95" t="s">
        <v>38</v>
      </c>
      <c r="CZ23" s="95" t="s">
        <v>325</v>
      </c>
      <c r="DA23" s="354">
        <f>FO3</f>
        <v>0.3209500120356254</v>
      </c>
      <c r="DF23" s="95" t="s">
        <v>46</v>
      </c>
      <c r="DG23" s="354">
        <f>B33</f>
        <v>584000</v>
      </c>
      <c r="DH23" s="95" t="s">
        <v>416</v>
      </c>
      <c r="DO23" s="95" t="s">
        <v>49</v>
      </c>
      <c r="DP23" s="95">
        <f>DP25</f>
        <v>1E-3</v>
      </c>
      <c r="ED23" s="95" t="s">
        <v>49</v>
      </c>
      <c r="EE23" s="95">
        <f>EE25</f>
        <v>0.2</v>
      </c>
      <c r="ES23" s="95" t="s">
        <v>49</v>
      </c>
      <c r="ET23" s="95">
        <f>ET25</f>
        <v>0.2</v>
      </c>
      <c r="FH23" s="95" t="s">
        <v>49</v>
      </c>
      <c r="FI23" s="95">
        <v>0.2</v>
      </c>
      <c r="FW23" s="95" t="s">
        <v>49</v>
      </c>
      <c r="FX23" s="95">
        <f>FX25</f>
        <v>0.2</v>
      </c>
      <c r="GL23" s="95" t="s">
        <v>49</v>
      </c>
      <c r="GM23" s="95">
        <f>GM25</f>
        <v>0.2</v>
      </c>
      <c r="HA23" s="95" t="s">
        <v>49</v>
      </c>
      <c r="HB23" s="95">
        <f>HB25</f>
        <v>0.2</v>
      </c>
      <c r="HD23" s="247">
        <f>(HE25*HE33*HE38*HE32*10^-3*HE31*HE27)/(HE30*HE41*(1-EXP(-HE27*HE31)))</f>
        <v>0.42220145465862913</v>
      </c>
      <c r="HE23" s="248"/>
      <c r="HF23" s="180" t="s">
        <v>40</v>
      </c>
    </row>
    <row r="24" spans="1:214" s="95" customFormat="1" ht="13.5" thickBot="1" x14ac:dyDescent="0.25">
      <c r="A24" s="95" t="s">
        <v>474</v>
      </c>
      <c r="B24" s="353">
        <v>4.5299999999999998E-6</v>
      </c>
      <c r="C24" s="95" t="s">
        <v>163</v>
      </c>
      <c r="D24" s="95" t="s">
        <v>244</v>
      </c>
      <c r="E24" s="95">
        <v>350</v>
      </c>
      <c r="F24" s="95" t="s">
        <v>55</v>
      </c>
      <c r="G24" s="95" t="s">
        <v>405</v>
      </c>
      <c r="H24" s="354">
        <f>B52</f>
        <v>14.8</v>
      </c>
      <c r="I24" s="95" t="s">
        <v>413</v>
      </c>
      <c r="J24" s="95" t="s">
        <v>241</v>
      </c>
      <c r="K24" s="95">
        <f>B45</f>
        <v>10</v>
      </c>
      <c r="L24" s="95" t="s">
        <v>83</v>
      </c>
      <c r="M24" s="95" t="s">
        <v>52</v>
      </c>
      <c r="N24" s="354">
        <f>0.693/N25</f>
        <v>4.3312499999999997E-4</v>
      </c>
      <c r="P24" s="95" t="s">
        <v>52</v>
      </c>
      <c r="Q24" s="354">
        <f>0.693/Q25</f>
        <v>4.3312499999999997E-4</v>
      </c>
      <c r="V24" s="108" t="s">
        <v>38</v>
      </c>
      <c r="W24" s="186">
        <f>1/((1/W39)+(1/W40))</f>
        <v>1.454670296304364E-3</v>
      </c>
      <c r="X24" s="187"/>
      <c r="Y24" s="188" t="s">
        <v>38</v>
      </c>
      <c r="Z24" s="186">
        <f>1/((1/Z37)+(1/Z38))</f>
        <v>0.13906918701477011</v>
      </c>
      <c r="AA24" s="189"/>
      <c r="AB24" s="95" t="s">
        <v>75</v>
      </c>
      <c r="AC24" s="354">
        <f>B17</f>
        <v>1.16E-8</v>
      </c>
      <c r="AD24" s="354">
        <f>B17</f>
        <v>1.16E-8</v>
      </c>
      <c r="AE24" s="354">
        <f>B17</f>
        <v>1.16E-8</v>
      </c>
      <c r="AF24" s="354">
        <f>B17</f>
        <v>1.16E-8</v>
      </c>
      <c r="AG24" s="354">
        <f>B17</f>
        <v>1.16E-8</v>
      </c>
      <c r="AH24" s="95" t="s">
        <v>64</v>
      </c>
      <c r="AI24" s="95" t="s">
        <v>52</v>
      </c>
      <c r="AJ24" s="354">
        <f>0.693/AJ25</f>
        <v>4.3312499999999997E-4</v>
      </c>
      <c r="AL24" s="95" t="s">
        <v>52</v>
      </c>
      <c r="AM24" s="354">
        <f>0.693/AM25</f>
        <v>4.3312499999999997E-4</v>
      </c>
      <c r="AR24" s="95" t="s">
        <v>52</v>
      </c>
      <c r="AS24" s="354">
        <f>0.693/AS25</f>
        <v>4.3312499999999997E-4</v>
      </c>
      <c r="AU24" s="95" t="s">
        <v>52</v>
      </c>
      <c r="AV24" s="354">
        <f>0.693/AV25</f>
        <v>4.3312499999999997E-4</v>
      </c>
      <c r="BA24" s="95" t="s">
        <v>52</v>
      </c>
      <c r="BB24" s="354">
        <f>0.693/BB25</f>
        <v>4.3312499999999997E-4</v>
      </c>
      <c r="BD24" s="95" t="s">
        <v>52</v>
      </c>
      <c r="BE24" s="354">
        <f>0.693/BE25</f>
        <v>4.3312499999999997E-4</v>
      </c>
      <c r="BJ24" s="95" t="s">
        <v>52</v>
      </c>
      <c r="BK24" s="354">
        <f>0.693/BK25</f>
        <v>4.3312499999999997E-4</v>
      </c>
      <c r="BM24" s="95" t="s">
        <v>52</v>
      </c>
      <c r="BN24" s="354">
        <f>0.693/BN25</f>
        <v>4.3312499999999997E-4</v>
      </c>
      <c r="BS24" s="95" t="s">
        <v>139</v>
      </c>
      <c r="BT24" s="354">
        <f>(BT5*BT9*BT6)/((BT14/24)*BT8*BT9*(1-EXP(-BT6*BT9))*BT19*(1/365)*BT20)</f>
        <v>4629.3085900131646</v>
      </c>
      <c r="BU24" s="95" t="s">
        <v>38</v>
      </c>
      <c r="BV24" s="95" t="s">
        <v>435</v>
      </c>
      <c r="BW24" s="95">
        <v>1</v>
      </c>
      <c r="BX24" s="95" t="s">
        <v>180</v>
      </c>
      <c r="BY24" s="95" t="s">
        <v>70</v>
      </c>
      <c r="BZ24" s="95">
        <v>80</v>
      </c>
      <c r="CA24" s="95" t="s">
        <v>55</v>
      </c>
      <c r="CB24" s="95" t="s">
        <v>54</v>
      </c>
      <c r="CC24" s="95">
        <v>80</v>
      </c>
      <c r="CD24" s="95" t="s">
        <v>63</v>
      </c>
      <c r="CE24" s="95" t="s">
        <v>54</v>
      </c>
      <c r="CF24" s="95">
        <v>80</v>
      </c>
      <c r="CG24" s="95" t="s">
        <v>63</v>
      </c>
      <c r="CK24" s="95" t="s">
        <v>334</v>
      </c>
      <c r="CL24" s="357">
        <v>0.5</v>
      </c>
      <c r="CM24" s="95" t="s">
        <v>413</v>
      </c>
      <c r="CN24" s="95" t="s">
        <v>341</v>
      </c>
      <c r="CO24" s="357">
        <v>0.25</v>
      </c>
      <c r="CT24" s="95" t="s">
        <v>325</v>
      </c>
      <c r="CU24" s="354">
        <f>FR3</f>
        <v>2.6317900986921276E-3</v>
      </c>
      <c r="CV24" s="95" t="s">
        <v>23</v>
      </c>
      <c r="CW24" s="95" t="s">
        <v>244</v>
      </c>
      <c r="CX24" s="95">
        <v>55</v>
      </c>
      <c r="CY24" s="95" t="s">
        <v>55</v>
      </c>
      <c r="CZ24" s="95" t="s">
        <v>86</v>
      </c>
      <c r="DA24" s="360">
        <f>(DA31*DA33*DA27)+(DA32*DA34*DA28)</f>
        <v>219282</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f>(HE26*HE33*HE38*HE32*10^-3*HE31*HE27)/(HE30*HE41*(1-EXP(-HE27*HE31)))</f>
        <v>5.7475298321215476E-5</v>
      </c>
      <c r="HE24" s="351"/>
      <c r="HF24" s="352" t="s">
        <v>45</v>
      </c>
    </row>
    <row r="25" spans="1:214" s="95" customFormat="1" ht="14.25" thickTop="1" thickBot="1" x14ac:dyDescent="0.25">
      <c r="A25" s="95" t="s">
        <v>475</v>
      </c>
      <c r="B25" s="353">
        <v>7.1999999999999997E-6</v>
      </c>
      <c r="C25" s="95" t="s">
        <v>163</v>
      </c>
      <c r="D25" s="95" t="s">
        <v>245</v>
      </c>
      <c r="E25" s="95">
        <v>350</v>
      </c>
      <c r="F25" s="95" t="s">
        <v>55</v>
      </c>
      <c r="G25" s="95" t="s">
        <v>402</v>
      </c>
      <c r="H25" s="360">
        <f>(H29*H32*H26)+(H30*H33*H27)</f>
        <v>190820</v>
      </c>
      <c r="I25" s="95" t="s">
        <v>230</v>
      </c>
      <c r="J25" s="95" t="s">
        <v>403</v>
      </c>
      <c r="K25" s="360">
        <f>(K31*K35*K26)+(K32*K34*K27)</f>
        <v>108850</v>
      </c>
      <c r="L25" s="95" t="s">
        <v>230</v>
      </c>
      <c r="M25" s="95" t="s">
        <v>448</v>
      </c>
      <c r="N25" s="354">
        <f>B29</f>
        <v>1600</v>
      </c>
      <c r="O25" s="95" t="s">
        <v>129</v>
      </c>
      <c r="P25" s="95" t="s">
        <v>448</v>
      </c>
      <c r="Q25" s="354">
        <f>B29</f>
        <v>1600</v>
      </c>
      <c r="R25" s="95" t="s">
        <v>129</v>
      </c>
      <c r="V25" s="263" t="s">
        <v>37</v>
      </c>
      <c r="W25" s="264">
        <f>1/((1/W37)+(1/W38))</f>
        <v>1.4468229698865335E-3</v>
      </c>
      <c r="X25" s="265"/>
      <c r="Y25" s="266" t="s">
        <v>37</v>
      </c>
      <c r="Z25" s="398">
        <f>1/((1/Z39)+(1/Z40))</f>
        <v>1.7241313078835589E-2</v>
      </c>
      <c r="AA25" s="267"/>
      <c r="AC25" s="354"/>
      <c r="AD25" s="354"/>
      <c r="AE25" s="354"/>
      <c r="AI25" s="95" t="s">
        <v>448</v>
      </c>
      <c r="AJ25" s="354">
        <f>B29</f>
        <v>1600</v>
      </c>
      <c r="AK25" s="95" t="s">
        <v>129</v>
      </c>
      <c r="AL25" s="95" t="s">
        <v>448</v>
      </c>
      <c r="AM25" s="354">
        <f>B29</f>
        <v>1600</v>
      </c>
      <c r="AN25" s="95" t="s">
        <v>129</v>
      </c>
      <c r="AR25" s="95" t="s">
        <v>448</v>
      </c>
      <c r="AS25" s="354">
        <f>B29</f>
        <v>1600</v>
      </c>
      <c r="AT25" s="95" t="s">
        <v>129</v>
      </c>
      <c r="AU25" s="95" t="s">
        <v>448</v>
      </c>
      <c r="AV25" s="354">
        <f>B29</f>
        <v>1600</v>
      </c>
      <c r="AW25" s="95" t="s">
        <v>129</v>
      </c>
      <c r="BA25" s="95" t="s">
        <v>448</v>
      </c>
      <c r="BB25" s="354">
        <f>B29</f>
        <v>1600</v>
      </c>
      <c r="BC25" s="95" t="s">
        <v>129</v>
      </c>
      <c r="BD25" s="95" t="s">
        <v>448</v>
      </c>
      <c r="BE25" s="354">
        <f>B29</f>
        <v>1600</v>
      </c>
      <c r="BF25" s="95" t="s">
        <v>129</v>
      </c>
      <c r="BJ25" s="95" t="s">
        <v>448</v>
      </c>
      <c r="BK25" s="354">
        <f>B29</f>
        <v>1600</v>
      </c>
      <c r="BL25" s="95" t="s">
        <v>129</v>
      </c>
      <c r="BM25" s="95" t="s">
        <v>448</v>
      </c>
      <c r="BN25" s="354">
        <f>B29</f>
        <v>1600</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0.5</v>
      </c>
      <c r="CP25" s="95" t="s">
        <v>479</v>
      </c>
      <c r="CT25" s="95" t="s">
        <v>87</v>
      </c>
      <c r="CU25" s="399">
        <f>(CU27*CU31*CU35+CU28*CU32*CU34)</f>
        <v>2506000</v>
      </c>
      <c r="CV25" s="95" t="s">
        <v>443</v>
      </c>
      <c r="CW25" s="95" t="s">
        <v>245</v>
      </c>
      <c r="CX25" s="95">
        <v>55</v>
      </c>
      <c r="CY25" s="95" t="s">
        <v>55</v>
      </c>
      <c r="CZ25" s="95" t="s">
        <v>82</v>
      </c>
      <c r="DA25" s="360">
        <f>(DA31*DA33*DA29*(DA36/24))+(DA32*DA34*DA30*(DA37/24))</f>
        <v>119000</v>
      </c>
      <c r="DB25" s="95" t="s">
        <v>444</v>
      </c>
      <c r="DO25" s="95" t="s">
        <v>66</v>
      </c>
      <c r="DP25" s="95">
        <f>B40</f>
        <v>1E-3</v>
      </c>
      <c r="ED25" s="95" t="s">
        <v>67</v>
      </c>
      <c r="EE25" s="354">
        <f>B43</f>
        <v>0.2</v>
      </c>
      <c r="ES25" s="95" t="s">
        <v>67</v>
      </c>
      <c r="ET25" s="354">
        <f>B43</f>
        <v>0.2</v>
      </c>
      <c r="FH25" s="95" t="s">
        <v>67</v>
      </c>
      <c r="FI25" s="354">
        <f>B43</f>
        <v>0.2</v>
      </c>
      <c r="FW25" s="95" t="s">
        <v>67</v>
      </c>
      <c r="FX25" s="354">
        <f>B43</f>
        <v>0.2</v>
      </c>
      <c r="GL25" s="95" t="s">
        <v>67</v>
      </c>
      <c r="GM25" s="354">
        <f>B43</f>
        <v>0.2</v>
      </c>
      <c r="HA25" s="95" t="s">
        <v>67</v>
      </c>
      <c r="HB25" s="354">
        <f>B43</f>
        <v>0.2</v>
      </c>
      <c r="HD25" s="355" t="s">
        <v>51</v>
      </c>
      <c r="HE25" s="354">
        <v>15</v>
      </c>
      <c r="HF25" s="95" t="s">
        <v>25</v>
      </c>
    </row>
    <row r="26" spans="1:214" s="95" customFormat="1" ht="14.25" thickTop="1" thickBot="1" x14ac:dyDescent="0.25">
      <c r="A26" s="95" t="s">
        <v>115</v>
      </c>
      <c r="B26" s="353">
        <v>7.8700000000000003E-9</v>
      </c>
      <c r="C26" s="95" t="s">
        <v>163</v>
      </c>
      <c r="G26" s="95" t="s">
        <v>400</v>
      </c>
      <c r="H26" s="354">
        <f>B53</f>
        <v>56.2</v>
      </c>
      <c r="I26" s="95" t="s">
        <v>413</v>
      </c>
      <c r="J26" s="95" t="s">
        <v>404</v>
      </c>
      <c r="K26" s="354">
        <f>B51</f>
        <v>2.5</v>
      </c>
      <c r="L26" s="95" t="s">
        <v>413</v>
      </c>
      <c r="M26" s="95" t="s">
        <v>54</v>
      </c>
      <c r="N26" s="95">
        <v>55</v>
      </c>
      <c r="O26" s="95" t="s">
        <v>63</v>
      </c>
      <c r="P26" s="95" t="s">
        <v>54</v>
      </c>
      <c r="Q26" s="95">
        <v>55</v>
      </c>
      <c r="R26" s="95" t="s">
        <v>63</v>
      </c>
      <c r="V26" s="95" t="s">
        <v>46</v>
      </c>
      <c r="W26" s="354">
        <v>9.9999999999999995E-7</v>
      </c>
      <c r="Y26" s="95" t="s">
        <v>46</v>
      </c>
      <c r="Z26" s="354">
        <v>9.9999999999999995E-7</v>
      </c>
      <c r="AC26" s="354"/>
      <c r="AD26" s="354"/>
      <c r="AE26" s="354"/>
      <c r="AI26" s="95" t="s">
        <v>54</v>
      </c>
      <c r="AJ26" s="95">
        <v>130</v>
      </c>
      <c r="AK26" s="95" t="s">
        <v>63</v>
      </c>
      <c r="AL26" s="95" t="s">
        <v>54</v>
      </c>
      <c r="AM26" s="95">
        <v>130</v>
      </c>
      <c r="AN26" s="95" t="s">
        <v>63</v>
      </c>
      <c r="AR26" s="95" t="s">
        <v>54</v>
      </c>
      <c r="AS26" s="95">
        <v>200</v>
      </c>
      <c r="AT26" s="95" t="s">
        <v>63</v>
      </c>
      <c r="AU26" s="95" t="s">
        <v>54</v>
      </c>
      <c r="AV26" s="95">
        <v>200</v>
      </c>
      <c r="AW26" s="95" t="s">
        <v>63</v>
      </c>
      <c r="BA26" s="95" t="s">
        <v>54</v>
      </c>
      <c r="BB26" s="95">
        <v>200</v>
      </c>
      <c r="BC26" s="95" t="s">
        <v>63</v>
      </c>
      <c r="BD26" s="95" t="s">
        <v>54</v>
      </c>
      <c r="BE26" s="95">
        <v>200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354">
        <f>B11</f>
        <v>3.44E-2</v>
      </c>
      <c r="CE26" s="95" t="s">
        <v>102</v>
      </c>
      <c r="CF26" s="354">
        <f>B7</f>
        <v>6.8599999999999994E-2</v>
      </c>
      <c r="CN26" s="95" t="s">
        <v>342</v>
      </c>
      <c r="CO26" s="357">
        <v>0.5</v>
      </c>
      <c r="CP26" s="95" t="s">
        <v>479</v>
      </c>
      <c r="CT26" s="95" t="s">
        <v>82</v>
      </c>
      <c r="CU26" s="399">
        <f>((CU35*CU31*CU29*CU36/24))+(CU34*CU32*CU30*(CU37/24))</f>
        <v>119000</v>
      </c>
      <c r="CV26" s="95" t="s">
        <v>444</v>
      </c>
      <c r="CZ26" s="95" t="s">
        <v>263</v>
      </c>
      <c r="DA26" s="360">
        <f>(DA31*DA33*DA38*DA40)+(DA32*DA34*DA39*DA41)</f>
        <v>9583</v>
      </c>
      <c r="DB26" s="95" t="s">
        <v>445</v>
      </c>
      <c r="DF26" s="95" t="s">
        <v>67</v>
      </c>
      <c r="DG26" s="354">
        <f>B43</f>
        <v>0.2</v>
      </c>
      <c r="DO26" s="95" t="s">
        <v>73</v>
      </c>
      <c r="DP26" s="95">
        <v>0.26</v>
      </c>
      <c r="ED26" s="95" t="s">
        <v>73</v>
      </c>
      <c r="EE26" s="95">
        <v>0.25</v>
      </c>
      <c r="EJ26" s="95" t="s">
        <v>67</v>
      </c>
      <c r="EK26" s="354">
        <f>B43</f>
        <v>0.2</v>
      </c>
      <c r="ES26" s="95" t="s">
        <v>73</v>
      </c>
      <c r="ET26" s="95">
        <v>0.25</v>
      </c>
      <c r="FH26" s="95" t="s">
        <v>316</v>
      </c>
      <c r="FI26" s="95">
        <v>0.25</v>
      </c>
      <c r="FW26" s="95" t="s">
        <v>311</v>
      </c>
      <c r="FX26" s="95">
        <v>0.25</v>
      </c>
      <c r="GL26" s="95" t="s">
        <v>305</v>
      </c>
      <c r="GM26" s="95">
        <v>0.25</v>
      </c>
      <c r="HA26" s="95" t="s">
        <v>310</v>
      </c>
      <c r="HB26" s="95">
        <v>0.25</v>
      </c>
      <c r="HD26" s="95" t="s">
        <v>17</v>
      </c>
      <c r="HE26" s="354">
        <f>H3</f>
        <v>2.0419860360625861E-3</v>
      </c>
      <c r="HF26" s="95" t="s">
        <v>25</v>
      </c>
    </row>
    <row r="27" spans="1:214" s="95" customFormat="1" ht="12.75" customHeight="1" thickTop="1" x14ac:dyDescent="0.2">
      <c r="A27" s="95" t="s">
        <v>409</v>
      </c>
      <c r="B27" s="353">
        <v>1.7100000000000001E-11</v>
      </c>
      <c r="C27" s="95" t="s">
        <v>64</v>
      </c>
      <c r="D27" s="401" t="s">
        <v>3</v>
      </c>
      <c r="E27" s="19"/>
      <c r="F27" s="20" t="s">
        <v>459</v>
      </c>
      <c r="G27" s="95" t="s">
        <v>401</v>
      </c>
      <c r="H27" s="354">
        <f>B54</f>
        <v>10.4</v>
      </c>
      <c r="I27" s="95" t="s">
        <v>413</v>
      </c>
      <c r="J27" s="95" t="s">
        <v>405</v>
      </c>
      <c r="K27" s="354">
        <f>B52</f>
        <v>14.8</v>
      </c>
      <c r="L27" s="95" t="s">
        <v>413</v>
      </c>
      <c r="M27" s="95" t="s">
        <v>68</v>
      </c>
      <c r="N27" s="95">
        <v>20</v>
      </c>
      <c r="O27" s="95" t="s">
        <v>62</v>
      </c>
      <c r="P27" s="95" t="s">
        <v>68</v>
      </c>
      <c r="Q27" s="95">
        <v>20</v>
      </c>
      <c r="R27" s="95" t="s">
        <v>62</v>
      </c>
      <c r="V27" s="95" t="s">
        <v>52</v>
      </c>
      <c r="W27" s="354">
        <f>0.693/W28</f>
        <v>4.3312499999999997E-4</v>
      </c>
      <c r="Y27" s="95" t="s">
        <v>52</v>
      </c>
      <c r="Z27" s="354">
        <f>0.693/Z28</f>
        <v>4.3312499999999997E-4</v>
      </c>
      <c r="AB27" s="95" t="s">
        <v>68</v>
      </c>
      <c r="AF27" s="95">
        <v>1</v>
      </c>
      <c r="AG27" s="95">
        <v>1</v>
      </c>
      <c r="AH27" s="95" t="s">
        <v>129</v>
      </c>
      <c r="AI27" s="95" t="s">
        <v>68</v>
      </c>
      <c r="AJ27" s="95">
        <v>25</v>
      </c>
      <c r="AK27" s="95" t="s">
        <v>62</v>
      </c>
      <c r="AL27" s="95" t="s">
        <v>68</v>
      </c>
      <c r="AM27" s="95">
        <v>25</v>
      </c>
      <c r="AN27" s="95" t="s">
        <v>62</v>
      </c>
      <c r="AR27" s="95" t="s">
        <v>68</v>
      </c>
      <c r="AS27" s="95">
        <v>20</v>
      </c>
      <c r="AT27" s="95" t="s">
        <v>62</v>
      </c>
      <c r="AU27" s="95" t="s">
        <v>68</v>
      </c>
      <c r="AV27" s="95">
        <v>20</v>
      </c>
      <c r="AW27" s="95" t="s">
        <v>62</v>
      </c>
      <c r="BA27" s="95" t="s">
        <v>68</v>
      </c>
      <c r="BB27" s="95">
        <v>20</v>
      </c>
      <c r="BC27" s="95" t="s">
        <v>62</v>
      </c>
      <c r="BD27" s="95" t="s">
        <v>68</v>
      </c>
      <c r="BE27" s="95">
        <v>20</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354">
        <f>B12</f>
        <v>0.45600000000000002</v>
      </c>
      <c r="CE27" s="95" t="s">
        <v>113</v>
      </c>
      <c r="CF27" s="354">
        <f>B8</f>
        <v>0.73699999999999999</v>
      </c>
      <c r="CN27" s="95" t="s">
        <v>343</v>
      </c>
      <c r="CO27" s="357">
        <v>1</v>
      </c>
      <c r="CP27" s="95" t="s">
        <v>80</v>
      </c>
      <c r="CT27" s="95" t="s">
        <v>117</v>
      </c>
      <c r="CU27" s="95">
        <f>B47</f>
        <v>60</v>
      </c>
      <c r="CV27" s="95" t="s">
        <v>96</v>
      </c>
      <c r="CZ27" s="95" t="s">
        <v>105</v>
      </c>
      <c r="DA27" s="95">
        <f>B49</f>
        <v>100</v>
      </c>
      <c r="DB27" s="95" t="s">
        <v>59</v>
      </c>
      <c r="EB27" s="354"/>
      <c r="ED27" s="95" t="s">
        <v>347</v>
      </c>
      <c r="EE27" s="354">
        <f>B35</f>
        <v>1E-3</v>
      </c>
      <c r="EQ27" s="354"/>
      <c r="ES27" s="95" t="s">
        <v>348</v>
      </c>
      <c r="ET27" s="354">
        <f>B36</f>
        <v>1E-3</v>
      </c>
      <c r="FH27" s="95" t="s">
        <v>349</v>
      </c>
      <c r="FI27" s="356">
        <f>B38</f>
        <v>0</v>
      </c>
      <c r="FW27" s="95" t="s">
        <v>350</v>
      </c>
      <c r="FX27" s="357">
        <v>1</v>
      </c>
      <c r="GL27" s="95" t="s">
        <v>351</v>
      </c>
      <c r="GM27" s="356">
        <f>B37</f>
        <v>0</v>
      </c>
      <c r="HA27" s="95" t="s">
        <v>352</v>
      </c>
      <c r="HB27" s="356">
        <f>B39</f>
        <v>0</v>
      </c>
      <c r="HD27" s="95" t="s">
        <v>52</v>
      </c>
      <c r="HE27" s="354">
        <f>0.693/HE28</f>
        <v>4.3312499999999997E-4</v>
      </c>
    </row>
    <row r="28" spans="1:214" s="95" customFormat="1" ht="14.25" x14ac:dyDescent="0.2">
      <c r="A28" s="95" t="s">
        <v>415</v>
      </c>
      <c r="B28" s="353">
        <v>5.1499999999999998E-10</v>
      </c>
      <c r="C28" s="95" t="s">
        <v>64</v>
      </c>
      <c r="D28" s="402" t="s">
        <v>166</v>
      </c>
      <c r="E28" s="101" t="s">
        <v>17</v>
      </c>
      <c r="F28" s="102" t="s">
        <v>23</v>
      </c>
      <c r="G28" s="95" t="s">
        <v>145</v>
      </c>
      <c r="H28" s="95">
        <v>0.5</v>
      </c>
      <c r="I28" s="95" t="s">
        <v>146</v>
      </c>
      <c r="J28" s="95" t="s">
        <v>402</v>
      </c>
      <c r="K28" s="360">
        <f>(K31*K35*K29)+(K32*K34*K30)</f>
        <v>190820</v>
      </c>
      <c r="L28" s="95" t="s">
        <v>230</v>
      </c>
      <c r="M28" s="95" t="s">
        <v>91</v>
      </c>
      <c r="N28" s="95">
        <v>0.4</v>
      </c>
      <c r="P28" s="95" t="s">
        <v>91</v>
      </c>
      <c r="Q28" s="95">
        <v>0.4</v>
      </c>
      <c r="V28" s="95" t="s">
        <v>448</v>
      </c>
      <c r="W28" s="354">
        <f>B29</f>
        <v>1600</v>
      </c>
      <c r="X28" s="95" t="s">
        <v>129</v>
      </c>
      <c r="Y28" s="95" t="s">
        <v>448</v>
      </c>
      <c r="Z28" s="354">
        <f>B29</f>
        <v>1600</v>
      </c>
      <c r="AA28" s="95" t="s">
        <v>129</v>
      </c>
      <c r="AB28" s="95" t="s">
        <v>171</v>
      </c>
      <c r="AC28" s="354">
        <v>5</v>
      </c>
      <c r="AD28" s="354">
        <v>8</v>
      </c>
      <c r="AE28" s="354">
        <v>8</v>
      </c>
      <c r="AF28" s="354">
        <f t="shared" ref="AF28:AF29" si="0">8/24</f>
        <v>0.33333333333333331</v>
      </c>
      <c r="AG28" s="354">
        <f>8/24</f>
        <v>0.33333333333333331</v>
      </c>
      <c r="AH28" s="95" t="s">
        <v>127</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2</v>
      </c>
      <c r="CA28" s="95" t="s">
        <v>85</v>
      </c>
      <c r="CB28" s="95" t="s">
        <v>182</v>
      </c>
      <c r="CC28" s="95">
        <v>2</v>
      </c>
      <c r="CD28" s="95" t="s">
        <v>127</v>
      </c>
      <c r="CE28" s="95" t="s">
        <v>182</v>
      </c>
      <c r="CF28" s="95">
        <v>2</v>
      </c>
      <c r="CG28" s="95" t="s">
        <v>127</v>
      </c>
      <c r="CN28" s="95" t="s">
        <v>344</v>
      </c>
      <c r="CO28" s="357">
        <v>1</v>
      </c>
      <c r="CP28" s="95" t="s">
        <v>80</v>
      </c>
      <c r="CT28" s="95" t="s">
        <v>140</v>
      </c>
      <c r="CU28" s="95">
        <f>B48</f>
        <v>200</v>
      </c>
      <c r="CV28" s="95" t="s">
        <v>96</v>
      </c>
      <c r="CZ28" s="95" t="s">
        <v>135</v>
      </c>
      <c r="DA28" s="95">
        <f>B50</f>
        <v>0.78</v>
      </c>
      <c r="DB28" s="95" t="s">
        <v>59</v>
      </c>
      <c r="FW28" s="95" t="s">
        <v>203</v>
      </c>
      <c r="FX28" s="354">
        <v>30</v>
      </c>
      <c r="HD28" s="95" t="s">
        <v>448</v>
      </c>
      <c r="HE28" s="354">
        <f>B29</f>
        <v>1600</v>
      </c>
      <c r="HF28" s="95" t="s">
        <v>129</v>
      </c>
    </row>
    <row r="29" spans="1:214" s="95" customFormat="1" ht="15" x14ac:dyDescent="0.2">
      <c r="A29" s="95" t="s">
        <v>448</v>
      </c>
      <c r="B29" s="353">
        <v>1600</v>
      </c>
      <c r="C29" s="95" t="s">
        <v>454</v>
      </c>
      <c r="D29" s="402" t="s">
        <v>166</v>
      </c>
      <c r="E29" s="403">
        <f>E36</f>
        <v>7.4869773387913402E-3</v>
      </c>
      <c r="F29" s="184"/>
      <c r="G29" s="95" t="s">
        <v>70</v>
      </c>
      <c r="H29" s="95">
        <v>350</v>
      </c>
      <c r="I29" s="95" t="s">
        <v>55</v>
      </c>
      <c r="J29" s="95" t="s">
        <v>400</v>
      </c>
      <c r="K29" s="354">
        <f>B53</f>
        <v>56.2</v>
      </c>
      <c r="L29" s="95" t="s">
        <v>413</v>
      </c>
      <c r="M29" s="95" t="s">
        <v>102</v>
      </c>
      <c r="N29" s="354">
        <f>B11</f>
        <v>3.44E-2</v>
      </c>
      <c r="P29" s="95" t="s">
        <v>102</v>
      </c>
      <c r="Q29" s="354">
        <f>B7</f>
        <v>6.8599999999999994E-2</v>
      </c>
      <c r="V29" s="95" t="s">
        <v>54</v>
      </c>
      <c r="W29" s="95">
        <v>130</v>
      </c>
      <c r="X29" s="95" t="s">
        <v>63</v>
      </c>
      <c r="Y29" s="95" t="s">
        <v>54</v>
      </c>
      <c r="Z29" s="95">
        <f>Z41*Z42</f>
        <v>250</v>
      </c>
      <c r="AA29" s="95" t="s">
        <v>63</v>
      </c>
      <c r="AB29" s="95" t="s">
        <v>174</v>
      </c>
      <c r="AC29" s="354">
        <v>5</v>
      </c>
      <c r="AD29" s="354">
        <v>8</v>
      </c>
      <c r="AE29" s="354">
        <v>8</v>
      </c>
      <c r="AF29" s="354">
        <f t="shared" si="0"/>
        <v>0.33333333333333331</v>
      </c>
      <c r="AG29" s="354">
        <f>8/24</f>
        <v>0.33333333333333331</v>
      </c>
      <c r="AH29" s="95" t="s">
        <v>127</v>
      </c>
      <c r="AI29" s="95" t="s">
        <v>102</v>
      </c>
      <c r="AJ29" s="354">
        <f>B11</f>
        <v>3.44E-2</v>
      </c>
      <c r="AL29" s="95" t="s">
        <v>102</v>
      </c>
      <c r="AM29" s="354">
        <f>B7</f>
        <v>6.8599999999999994E-2</v>
      </c>
      <c r="AR29" s="95" t="s">
        <v>102</v>
      </c>
      <c r="AS29" s="354">
        <f>B11</f>
        <v>3.44E-2</v>
      </c>
      <c r="AU29" s="95" t="s">
        <v>102</v>
      </c>
      <c r="AV29" s="354">
        <f>B7</f>
        <v>6.8599999999999994E-2</v>
      </c>
      <c r="BA29" s="95" t="s">
        <v>102</v>
      </c>
      <c r="BB29" s="354">
        <f>B11</f>
        <v>3.44E-2</v>
      </c>
      <c r="BD29" s="95" t="s">
        <v>102</v>
      </c>
      <c r="BE29" s="354">
        <f>B7</f>
        <v>6.8599999999999994E-2</v>
      </c>
      <c r="BJ29" s="95" t="s">
        <v>68</v>
      </c>
      <c r="BK29" s="95">
        <v>1</v>
      </c>
      <c r="BL29" s="95" t="s">
        <v>62</v>
      </c>
      <c r="BM29" s="95" t="s">
        <v>68</v>
      </c>
      <c r="BN29" s="95">
        <v>1</v>
      </c>
      <c r="BO29" s="95" t="s">
        <v>62</v>
      </c>
      <c r="BT29" s="404"/>
      <c r="BU29" s="355"/>
      <c r="BW29" s="95">
        <v>1000</v>
      </c>
      <c r="BX29" s="95" t="s">
        <v>173</v>
      </c>
      <c r="BY29" s="95" t="s">
        <v>259</v>
      </c>
      <c r="BZ29" s="95">
        <v>2</v>
      </c>
      <c r="CA29" s="95" t="s">
        <v>85</v>
      </c>
      <c r="CB29" s="95" t="s">
        <v>131</v>
      </c>
      <c r="CC29" s="354">
        <f>B22</f>
        <v>1.5400000000000001E-6</v>
      </c>
      <c r="CD29" s="95" t="s">
        <v>132</v>
      </c>
      <c r="CE29" s="95" t="s">
        <v>131</v>
      </c>
      <c r="CF29" s="354">
        <f>B24</f>
        <v>4.5299999999999998E-6</v>
      </c>
      <c r="CG29" s="95" t="s">
        <v>132</v>
      </c>
      <c r="CT29" s="95" t="s">
        <v>240</v>
      </c>
      <c r="CU29" s="95">
        <f>B44</f>
        <v>0</v>
      </c>
      <c r="CV29" s="95" t="s">
        <v>83</v>
      </c>
      <c r="CZ29" s="95" t="s">
        <v>240</v>
      </c>
      <c r="DA29" s="95">
        <f>B44</f>
        <v>0</v>
      </c>
      <c r="DB29" s="95" t="s">
        <v>264</v>
      </c>
      <c r="FW29" s="95" t="s">
        <v>322</v>
      </c>
      <c r="FX29" s="354">
        <v>8.1999999999999993</v>
      </c>
      <c r="HD29" s="95" t="s">
        <v>172</v>
      </c>
      <c r="HE29" s="95">
        <v>0.3</v>
      </c>
    </row>
    <row r="30" spans="1:214" s="95" customFormat="1" ht="15.75" thickBot="1" x14ac:dyDescent="0.25">
      <c r="A30" s="95" t="s">
        <v>164</v>
      </c>
      <c r="B30" s="353">
        <f>PEF!D3</f>
        <v>1359344473.5814338</v>
      </c>
      <c r="D30" s="405"/>
      <c r="E30" s="256" t="s">
        <v>34</v>
      </c>
      <c r="F30" s="257"/>
      <c r="G30" s="95" t="s">
        <v>78</v>
      </c>
      <c r="H30" s="95">
        <v>350</v>
      </c>
      <c r="I30" s="95" t="s">
        <v>55</v>
      </c>
      <c r="J30" s="95" t="s">
        <v>401</v>
      </c>
      <c r="K30" s="354">
        <f>B54</f>
        <v>10.4</v>
      </c>
      <c r="L30" s="95" t="s">
        <v>413</v>
      </c>
      <c r="M30" s="95" t="s">
        <v>113</v>
      </c>
      <c r="N30" s="354">
        <f>B12</f>
        <v>0.45600000000000002</v>
      </c>
      <c r="P30" s="95" t="s">
        <v>113</v>
      </c>
      <c r="Q30" s="354">
        <f>B8</f>
        <v>0.73699999999999999</v>
      </c>
      <c r="V30" s="95" t="s">
        <v>68</v>
      </c>
      <c r="W30" s="95">
        <v>25</v>
      </c>
      <c r="X30" s="95" t="s">
        <v>62</v>
      </c>
      <c r="Y30" s="95" t="s">
        <v>68</v>
      </c>
      <c r="Z30" s="95">
        <v>1</v>
      </c>
      <c r="AA30" s="95" t="s">
        <v>62</v>
      </c>
      <c r="AB30" s="95" t="s">
        <v>177</v>
      </c>
      <c r="AC30" s="95">
        <v>0.4</v>
      </c>
      <c r="AD30" s="95">
        <v>0.4</v>
      </c>
      <c r="AE30" s="95">
        <v>0.4</v>
      </c>
      <c r="AF30" s="95">
        <v>0.4</v>
      </c>
      <c r="AG30" s="95">
        <v>0.4</v>
      </c>
      <c r="AI30" s="95" t="s">
        <v>113</v>
      </c>
      <c r="AJ30" s="354">
        <v>0.46300000000000002</v>
      </c>
      <c r="AL30" s="95" t="s">
        <v>113</v>
      </c>
      <c r="AM30" s="354">
        <f>B8</f>
        <v>0.73699999999999999</v>
      </c>
      <c r="AR30" s="95" t="s">
        <v>113</v>
      </c>
      <c r="AS30" s="354">
        <f>B12</f>
        <v>0.45600000000000002</v>
      </c>
      <c r="AU30" s="95" t="s">
        <v>113</v>
      </c>
      <c r="AV30" s="354">
        <f>B8</f>
        <v>0.73699999999999999</v>
      </c>
      <c r="BA30" s="95" t="s">
        <v>113</v>
      </c>
      <c r="BB30" s="354">
        <f>B12</f>
        <v>0.45600000000000002</v>
      </c>
      <c r="BD30" s="95" t="s">
        <v>113</v>
      </c>
      <c r="BE30" s="354">
        <f>B8</f>
        <v>0.73699999999999999</v>
      </c>
      <c r="BT30" s="354"/>
      <c r="BW30" s="95">
        <v>1000</v>
      </c>
      <c r="BX30" s="95" t="s">
        <v>408</v>
      </c>
      <c r="BY30" s="95" t="s">
        <v>260</v>
      </c>
      <c r="BZ30" s="95">
        <v>2</v>
      </c>
      <c r="CA30" s="95" t="s">
        <v>85</v>
      </c>
      <c r="CT30" s="95" t="s">
        <v>241</v>
      </c>
      <c r="CU30" s="95">
        <f>B45</f>
        <v>10</v>
      </c>
      <c r="CV30" s="95" t="s">
        <v>83</v>
      </c>
      <c r="CZ30" s="95" t="s">
        <v>241</v>
      </c>
      <c r="DA30" s="95">
        <f>B45</f>
        <v>10</v>
      </c>
      <c r="DB30" s="95" t="s">
        <v>264</v>
      </c>
      <c r="FX30" s="95">
        <v>1000</v>
      </c>
      <c r="FY30" s="95" t="s">
        <v>230</v>
      </c>
      <c r="HD30" s="95" t="s">
        <v>175</v>
      </c>
      <c r="HE30" s="354">
        <v>1.5</v>
      </c>
    </row>
    <row r="31" spans="1:214" s="95" customFormat="1" ht="13.5" thickTop="1" x14ac:dyDescent="0.2">
      <c r="A31" s="95" t="s">
        <v>201</v>
      </c>
      <c r="B31" s="353">
        <f>PEF!G3</f>
        <v>773681.6396651821</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B17</f>
        <v>1.16E-8</v>
      </c>
      <c r="X31" s="95" t="s">
        <v>76</v>
      </c>
      <c r="Y31" s="95" t="s">
        <v>75</v>
      </c>
      <c r="Z31" s="354">
        <f>B17</f>
        <v>1.16E-8</v>
      </c>
      <c r="AA31" s="95" t="s">
        <v>76</v>
      </c>
      <c r="AB31" s="95" t="s">
        <v>160</v>
      </c>
      <c r="AC31" s="95">
        <v>20</v>
      </c>
      <c r="AD31" s="95">
        <v>25</v>
      </c>
      <c r="AE31" s="95">
        <v>25</v>
      </c>
      <c r="AF31" s="95">
        <v>1</v>
      </c>
      <c r="AG31" s="95">
        <v>1</v>
      </c>
      <c r="AH31" s="95" t="s">
        <v>94</v>
      </c>
      <c r="AI31" s="95" t="s">
        <v>124</v>
      </c>
      <c r="AJ31" s="95">
        <v>0</v>
      </c>
      <c r="AK31" s="95" t="s">
        <v>127</v>
      </c>
      <c r="AL31" s="95" t="s">
        <v>124</v>
      </c>
      <c r="AM31" s="95">
        <v>0</v>
      </c>
      <c r="AN31" s="95" t="s">
        <v>127</v>
      </c>
      <c r="AR31" s="95" t="s">
        <v>126</v>
      </c>
      <c r="AS31" s="95">
        <v>5</v>
      </c>
      <c r="AT31" s="95" t="s">
        <v>127</v>
      </c>
      <c r="AU31" s="95" t="s">
        <v>124</v>
      </c>
      <c r="AV31" s="95">
        <v>5</v>
      </c>
      <c r="AW31" s="95" t="s">
        <v>127</v>
      </c>
      <c r="BA31" s="95" t="s">
        <v>126</v>
      </c>
      <c r="BB31" s="95">
        <v>5</v>
      </c>
      <c r="BC31" s="95" t="s">
        <v>127</v>
      </c>
      <c r="BD31" s="95" t="s">
        <v>124</v>
      </c>
      <c r="BE31" s="95">
        <v>5</v>
      </c>
      <c r="BF31" s="95" t="s">
        <v>127</v>
      </c>
      <c r="BJ31" s="95" t="s">
        <v>102</v>
      </c>
      <c r="BK31" s="354">
        <f>B11</f>
        <v>3.44E-2</v>
      </c>
      <c r="BM31" s="95" t="s">
        <v>102</v>
      </c>
      <c r="BN31" s="354">
        <f>B7</f>
        <v>6.8599999999999994E-2</v>
      </c>
      <c r="BW31" s="95">
        <v>365</v>
      </c>
      <c r="BX31" s="95" t="s">
        <v>55</v>
      </c>
      <c r="BY31" s="95" t="s">
        <v>243</v>
      </c>
      <c r="BZ31" s="354">
        <f>B2</f>
        <v>0.124</v>
      </c>
      <c r="CT31" s="95" t="s">
        <v>70</v>
      </c>
      <c r="CU31" s="95">
        <v>350</v>
      </c>
      <c r="CV31" s="95" t="s">
        <v>55</v>
      </c>
      <c r="CZ31" s="95" t="s">
        <v>269</v>
      </c>
      <c r="DA31" s="95">
        <v>350</v>
      </c>
      <c r="DB31" s="95" t="s">
        <v>268</v>
      </c>
      <c r="HD31" s="95" t="s">
        <v>61</v>
      </c>
      <c r="HE31" s="95">
        <v>26</v>
      </c>
    </row>
    <row r="32" spans="1:214" s="95" customFormat="1" x14ac:dyDescent="0.2">
      <c r="A32" s="95" t="s">
        <v>202</v>
      </c>
      <c r="B32" s="353">
        <f>PEF!J3</f>
        <v>36055860.959050171</v>
      </c>
      <c r="D32" s="95" t="s">
        <v>54</v>
      </c>
      <c r="E32" s="95">
        <v>350</v>
      </c>
      <c r="F32" s="95" t="s">
        <v>55</v>
      </c>
      <c r="G32" s="95" t="s">
        <v>88</v>
      </c>
      <c r="H32" s="95">
        <v>6</v>
      </c>
      <c r="J32" s="95" t="s">
        <v>78</v>
      </c>
      <c r="K32" s="95">
        <v>350</v>
      </c>
      <c r="L32" s="95" t="s">
        <v>55</v>
      </c>
      <c r="M32" s="95" t="s">
        <v>131</v>
      </c>
      <c r="N32" s="354">
        <f>B22</f>
        <v>1.5400000000000001E-6</v>
      </c>
      <c r="O32" s="95" t="s">
        <v>132</v>
      </c>
      <c r="P32" s="95" t="s">
        <v>131</v>
      </c>
      <c r="Q32" s="354">
        <f>B24</f>
        <v>4.5299999999999998E-6</v>
      </c>
      <c r="R32" s="95" t="s">
        <v>132</v>
      </c>
      <c r="V32" s="95" t="s">
        <v>84</v>
      </c>
      <c r="W32" s="95">
        <v>8</v>
      </c>
      <c r="X32" s="95" t="s">
        <v>85</v>
      </c>
      <c r="Y32" s="95" t="s">
        <v>84</v>
      </c>
      <c r="Z32" s="95">
        <v>8</v>
      </c>
      <c r="AA32" s="95" t="s">
        <v>85</v>
      </c>
      <c r="AB32" s="95" t="s">
        <v>52</v>
      </c>
      <c r="AC32" s="354">
        <f>0.693/AC33</f>
        <v>4.3312499999999997E-4</v>
      </c>
      <c r="AD32" s="354">
        <f>0.693/AD33</f>
        <v>4.3312499999999997E-4</v>
      </c>
      <c r="AE32" s="354">
        <f>0.693/AE33</f>
        <v>4.3312499999999997E-4</v>
      </c>
      <c r="AF32" s="354">
        <f>0.693/AF33</f>
        <v>4.3312499999999997E-4</v>
      </c>
      <c r="AG32" s="354">
        <f>0.693/AG33</f>
        <v>4.3312499999999997E-4</v>
      </c>
      <c r="AI32" s="95" t="s">
        <v>131</v>
      </c>
      <c r="AJ32" s="354">
        <f>B22</f>
        <v>1.5400000000000001E-6</v>
      </c>
      <c r="AK32" s="95" t="s">
        <v>132</v>
      </c>
      <c r="AL32" s="95" t="s">
        <v>131</v>
      </c>
      <c r="AM32" s="354">
        <f>B24</f>
        <v>4.5299999999999998E-6</v>
      </c>
      <c r="AN32" s="95" t="s">
        <v>132</v>
      </c>
      <c r="AR32" s="95" t="s">
        <v>131</v>
      </c>
      <c r="AS32" s="354">
        <f>B22</f>
        <v>1.5400000000000001E-6</v>
      </c>
      <c r="AT32" s="95" t="s">
        <v>132</v>
      </c>
      <c r="AU32" s="95" t="s">
        <v>131</v>
      </c>
      <c r="AV32" s="354">
        <f>B24</f>
        <v>4.5299999999999998E-6</v>
      </c>
      <c r="AW32" s="95" t="s">
        <v>132</v>
      </c>
      <c r="BA32" s="95" t="s">
        <v>131</v>
      </c>
      <c r="BB32" s="354">
        <f>B22</f>
        <v>1.5400000000000001E-6</v>
      </c>
      <c r="BC32" s="95" t="s">
        <v>132</v>
      </c>
      <c r="BD32" s="95" t="s">
        <v>131</v>
      </c>
      <c r="BE32" s="354">
        <f>B24</f>
        <v>4.5299999999999998E-6</v>
      </c>
      <c r="BF32" s="95" t="s">
        <v>132</v>
      </c>
      <c r="BJ32" s="95" t="s">
        <v>113</v>
      </c>
      <c r="BK32" s="354">
        <f>B12</f>
        <v>0.45600000000000002</v>
      </c>
      <c r="BM32" s="95" t="s">
        <v>113</v>
      </c>
      <c r="BN32" s="354">
        <f>B8</f>
        <v>0.73699999999999999</v>
      </c>
      <c r="BT32" s="354"/>
      <c r="BW32" s="95">
        <v>8760</v>
      </c>
      <c r="BX32" s="95" t="s">
        <v>258</v>
      </c>
      <c r="BY32" s="95" t="s">
        <v>113</v>
      </c>
      <c r="BZ32" s="354">
        <f>B3</f>
        <v>0.79200000000000004</v>
      </c>
      <c r="CT32" s="95" t="s">
        <v>78</v>
      </c>
      <c r="CU32" s="95">
        <v>350</v>
      </c>
      <c r="CV32" s="95" t="s">
        <v>55</v>
      </c>
      <c r="CZ32" s="95" t="s">
        <v>270</v>
      </c>
      <c r="DA32" s="95">
        <v>350</v>
      </c>
      <c r="DB32" s="95" t="s">
        <v>268</v>
      </c>
      <c r="DY32" s="406"/>
      <c r="HD32" s="95" t="s">
        <v>68</v>
      </c>
      <c r="HE32" s="354">
        <v>70</v>
      </c>
    </row>
    <row r="33" spans="1:214" s="95" customFormat="1" ht="13.15" customHeight="1" x14ac:dyDescent="0.2">
      <c r="A33" s="95" t="s">
        <v>448</v>
      </c>
      <c r="B33" s="353">
        <v>584000</v>
      </c>
      <c r="C33" s="95" t="s">
        <v>416</v>
      </c>
      <c r="D33" s="95" t="s">
        <v>415</v>
      </c>
      <c r="E33" s="354">
        <f>B28</f>
        <v>5.1499999999999998E-10</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B29</f>
        <v>1600</v>
      </c>
      <c r="AD33" s="354">
        <f>B29</f>
        <v>1600</v>
      </c>
      <c r="AE33" s="354">
        <f>B29</f>
        <v>1600</v>
      </c>
      <c r="AF33" s="354">
        <f>B29</f>
        <v>1600</v>
      </c>
      <c r="AG33" s="354">
        <f>B29</f>
        <v>1600</v>
      </c>
      <c r="AH33" s="95" t="s">
        <v>129</v>
      </c>
      <c r="AI33" s="95" t="s">
        <v>151</v>
      </c>
      <c r="AJ33" s="95">
        <v>8</v>
      </c>
      <c r="AK33" s="95" t="s">
        <v>127</v>
      </c>
      <c r="AL33" s="95" t="s">
        <v>151</v>
      </c>
      <c r="AM33" s="95">
        <v>8</v>
      </c>
      <c r="AN33" s="95" t="s">
        <v>127</v>
      </c>
      <c r="AR33" s="95" t="s">
        <v>151</v>
      </c>
      <c r="AS33" s="95">
        <v>0</v>
      </c>
      <c r="AT33" s="95" t="s">
        <v>125</v>
      </c>
      <c r="AU33" s="95" t="s">
        <v>151</v>
      </c>
      <c r="AV33" s="95">
        <v>0</v>
      </c>
      <c r="AW33" s="95" t="s">
        <v>125</v>
      </c>
      <c r="BA33" s="95" t="s">
        <v>151</v>
      </c>
      <c r="BB33" s="95">
        <v>0</v>
      </c>
      <c r="BC33" s="95" t="s">
        <v>127</v>
      </c>
      <c r="BD33" s="95" t="s">
        <v>151</v>
      </c>
      <c r="BE33" s="95">
        <v>0</v>
      </c>
      <c r="BF33" s="95" t="s">
        <v>127</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246</v>
      </c>
      <c r="DA33" s="95">
        <v>6</v>
      </c>
      <c r="DB33" s="95" t="s">
        <v>129</v>
      </c>
      <c r="DY33" s="406"/>
      <c r="HD33" s="95" t="s">
        <v>428</v>
      </c>
      <c r="HE33" s="354">
        <f>1+((HE35*HE36*HE37)/(HE38*HE39))</f>
        <v>16.660043458695149</v>
      </c>
    </row>
    <row r="34" spans="1:214" s="95" customFormat="1" ht="13.15" customHeight="1" x14ac:dyDescent="0.2">
      <c r="A34" s="95" t="s">
        <v>203</v>
      </c>
      <c r="B34" s="353">
        <v>50</v>
      </c>
      <c r="C34" s="95" t="s">
        <v>48</v>
      </c>
      <c r="D34" s="95" t="s">
        <v>68</v>
      </c>
      <c r="E34" s="95">
        <v>26</v>
      </c>
      <c r="F34" s="95" t="s">
        <v>129</v>
      </c>
      <c r="G34" s="95" t="s">
        <v>179</v>
      </c>
      <c r="H34" s="95">
        <v>0.54</v>
      </c>
      <c r="I34" s="95" t="s">
        <v>180</v>
      </c>
      <c r="J34" s="95" t="s">
        <v>106</v>
      </c>
      <c r="K34" s="95">
        <v>20</v>
      </c>
      <c r="L34" s="95" t="s">
        <v>129</v>
      </c>
      <c r="V34" s="95" t="s">
        <v>104</v>
      </c>
      <c r="W34" s="95">
        <v>55</v>
      </c>
      <c r="X34" s="95" t="s">
        <v>83</v>
      </c>
      <c r="Y34" s="95" t="s">
        <v>484</v>
      </c>
      <c r="Z34" s="95">
        <v>60</v>
      </c>
      <c r="AA34" s="95" t="s">
        <v>83</v>
      </c>
      <c r="AC34" s="95">
        <v>365</v>
      </c>
      <c r="AD34" s="95">
        <v>365</v>
      </c>
      <c r="AE34" s="95">
        <v>365</v>
      </c>
      <c r="AF34" s="95">
        <v>365</v>
      </c>
      <c r="AG34" s="95">
        <v>365</v>
      </c>
      <c r="AH34" s="95" t="s">
        <v>189</v>
      </c>
      <c r="BJ34" s="95" t="s">
        <v>131</v>
      </c>
      <c r="BK34" s="354">
        <f>B22</f>
        <v>1.5400000000000001E-6</v>
      </c>
      <c r="BL34" s="95" t="s">
        <v>132</v>
      </c>
      <c r="BM34" s="95" t="s">
        <v>131</v>
      </c>
      <c r="BN34" s="354">
        <f>B24</f>
        <v>4.5299999999999998E-6</v>
      </c>
      <c r="BO34" s="95" t="s">
        <v>132</v>
      </c>
      <c r="BZ34" s="95">
        <v>365</v>
      </c>
      <c r="CA34" s="95" t="s">
        <v>189</v>
      </c>
      <c r="CH34" s="483" t="s">
        <v>430</v>
      </c>
      <c r="CI34" s="483"/>
      <c r="CJ34" s="483"/>
      <c r="CK34" s="483"/>
      <c r="CL34" s="483"/>
      <c r="CT34" s="95" t="s">
        <v>106</v>
      </c>
      <c r="CU34" s="95">
        <v>34</v>
      </c>
      <c r="CV34" s="95" t="s">
        <v>129</v>
      </c>
      <c r="CZ34" s="95" t="s">
        <v>247</v>
      </c>
      <c r="DA34" s="95">
        <v>34</v>
      </c>
      <c r="DB34" s="95" t="s">
        <v>129</v>
      </c>
      <c r="DS34" s="354"/>
      <c r="DY34" s="406"/>
      <c r="EH34" s="354"/>
      <c r="HD34" s="95" t="s">
        <v>183</v>
      </c>
      <c r="HE34" s="95">
        <v>8.1999999999999993</v>
      </c>
    </row>
    <row r="35" spans="1:214" s="95" customFormat="1" ht="13.15" customHeight="1" x14ac:dyDescent="0.2">
      <c r="A35" s="95" t="s">
        <v>458</v>
      </c>
      <c r="B35" s="353">
        <v>1E-3</v>
      </c>
      <c r="D35" s="95" t="s">
        <v>178</v>
      </c>
      <c r="E35" s="95">
        <f>B55</f>
        <v>28.5</v>
      </c>
      <c r="F35" s="95" t="s">
        <v>96</v>
      </c>
      <c r="G35" s="95" t="s">
        <v>181</v>
      </c>
      <c r="H35" s="95">
        <v>0.71</v>
      </c>
      <c r="I35" s="95" t="s">
        <v>180</v>
      </c>
      <c r="J35" s="95" t="s">
        <v>88</v>
      </c>
      <c r="K35" s="95">
        <v>6</v>
      </c>
      <c r="L35" s="95" t="s">
        <v>129</v>
      </c>
      <c r="M35" s="407"/>
      <c r="N35" s="407"/>
      <c r="O35" s="407"/>
      <c r="P35" s="407"/>
      <c r="Q35" s="407"/>
      <c r="R35" s="407"/>
      <c r="V35" s="95" t="s">
        <v>115</v>
      </c>
      <c r="W35" s="354">
        <f>B26</f>
        <v>7.8700000000000003E-9</v>
      </c>
      <c r="X35" s="95" t="s">
        <v>116</v>
      </c>
      <c r="Y35" s="95" t="s">
        <v>115</v>
      </c>
      <c r="Z35" s="354">
        <f>B26</f>
        <v>7.8700000000000003E-9</v>
      </c>
      <c r="AA35" s="95" t="s">
        <v>116</v>
      </c>
      <c r="AB35" s="95" t="s">
        <v>38</v>
      </c>
      <c r="AC35" s="95">
        <f>(AC31*AC32)/(1-EXP(-AC32*AC31))</f>
        <v>1.0043375032343622</v>
      </c>
      <c r="AD35" s="95">
        <f>(AD31*AD32)/(1-EXP(-AD32*AD31))</f>
        <v>1.0054238331718262</v>
      </c>
      <c r="AE35" s="95">
        <f>(AE31*AE32)/(1-EXP(-AE32*AE31))</f>
        <v>1.0054238331718262</v>
      </c>
      <c r="AF35" s="95">
        <f>(AF31*AF32)/(1-EXP(-AF32*AF31))</f>
        <v>1.0002165781331087</v>
      </c>
      <c r="AG35" s="95">
        <f>(AG31*AG32)/(1-EXP(-AG32*AG31))</f>
        <v>1.0002165781331087</v>
      </c>
      <c r="BT35" s="354"/>
      <c r="BZ35" s="95">
        <v>1000</v>
      </c>
      <c r="CA35" s="95" t="s">
        <v>195</v>
      </c>
      <c r="CH35" s="483"/>
      <c r="CI35" s="483"/>
      <c r="CJ35" s="483"/>
      <c r="CK35" s="483"/>
      <c r="CL35" s="483"/>
      <c r="CT35" s="95" t="s">
        <v>88</v>
      </c>
      <c r="CU35" s="95">
        <v>6</v>
      </c>
      <c r="CV35" s="95" t="s">
        <v>129</v>
      </c>
      <c r="CZ35" s="95" t="s">
        <v>248</v>
      </c>
      <c r="DA35" s="95">
        <v>40</v>
      </c>
      <c r="DB35" s="95" t="s">
        <v>129</v>
      </c>
      <c r="DS35" s="354"/>
      <c r="DY35" s="406"/>
      <c r="EH35" s="354"/>
      <c r="HD35" s="95" t="s">
        <v>145</v>
      </c>
      <c r="HE35" s="408">
        <v>5</v>
      </c>
      <c r="HF35" s="95" t="s">
        <v>186</v>
      </c>
    </row>
    <row r="36" spans="1:214" s="95" customFormat="1" ht="13.15" customHeight="1" thickBot="1" x14ac:dyDescent="0.25">
      <c r="A36" s="95" t="s">
        <v>455</v>
      </c>
      <c r="B36" s="353">
        <v>1E-3</v>
      </c>
      <c r="D36" s="95" t="s">
        <v>142</v>
      </c>
      <c r="E36" s="354">
        <f>E31/(E33*E32*E34*E35)</f>
        <v>7.4869773387913402E-3</v>
      </c>
      <c r="F36" s="95" t="s">
        <v>23</v>
      </c>
      <c r="G36" s="95" t="s">
        <v>184</v>
      </c>
      <c r="H36" s="95">
        <v>24</v>
      </c>
      <c r="I36" s="95" t="s">
        <v>85</v>
      </c>
      <c r="J36" s="95" t="s">
        <v>259</v>
      </c>
      <c r="K36" s="95">
        <v>24</v>
      </c>
      <c r="L36" s="95" t="s">
        <v>85</v>
      </c>
      <c r="M36" s="407"/>
      <c r="N36" s="407"/>
      <c r="O36" s="407"/>
      <c r="P36" s="407"/>
      <c r="Q36" s="407"/>
      <c r="R36" s="407"/>
      <c r="V36" s="95" t="s">
        <v>414</v>
      </c>
      <c r="W36" s="354">
        <f>B2</f>
        <v>0.124</v>
      </c>
      <c r="Y36" s="95" t="s">
        <v>414</v>
      </c>
      <c r="Z36" s="354">
        <f>B2</f>
        <v>0.124</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446</v>
      </c>
      <c r="DA36" s="95">
        <v>24</v>
      </c>
      <c r="DB36" s="95" t="s">
        <v>85</v>
      </c>
      <c r="DS36" s="354"/>
      <c r="DY36" s="409"/>
      <c r="EH36" s="354"/>
      <c r="HD36" s="95" t="s">
        <v>187</v>
      </c>
      <c r="HE36" s="408">
        <v>5</v>
      </c>
      <c r="HF36" s="95" t="s">
        <v>188</v>
      </c>
    </row>
    <row r="37" spans="1:214" s="95" customFormat="1" ht="13.5" thickBot="1" x14ac:dyDescent="0.25">
      <c r="A37" s="95" t="s">
        <v>456</v>
      </c>
      <c r="B37" s="353">
        <v>0</v>
      </c>
      <c r="G37" s="95" t="s">
        <v>184</v>
      </c>
      <c r="H37" s="95">
        <v>24</v>
      </c>
      <c r="I37" s="95" t="s">
        <v>85</v>
      </c>
      <c r="J37" s="95" t="s">
        <v>260</v>
      </c>
      <c r="K37" s="95">
        <v>24</v>
      </c>
      <c r="L37" s="95" t="s">
        <v>85</v>
      </c>
      <c r="V37" s="374" t="s">
        <v>134</v>
      </c>
      <c r="W37" s="375">
        <f>W26/((W32/W33)*W29*W30*W31*W34)</f>
        <v>1.4468290330359296E-3</v>
      </c>
      <c r="X37" s="376" t="s">
        <v>37</v>
      </c>
      <c r="Y37" s="376" t="s">
        <v>134</v>
      </c>
      <c r="Z37" s="375">
        <f>(Z26*Z45*Z27)/((1-EXP(-Z27*Z45))*Z31*Z29*Z30*(Z32/Z33)*Z36*Z34)</f>
        <v>0.13907349529103291</v>
      </c>
      <c r="AA37" s="377" t="s">
        <v>38</v>
      </c>
      <c r="AB37" s="374" t="s">
        <v>142</v>
      </c>
      <c r="AC37" s="375">
        <f>(AC5/(AC8*AC16*AC7*AC11*(1/AC6)))*AC35</f>
        <v>15.475154133041018</v>
      </c>
      <c r="AD37" s="375">
        <f>(AD5/(AD8*AD16*AD7*AD11*(1/AD6)))*AD35</f>
        <v>20.973639283897281</v>
      </c>
      <c r="AE37" s="375">
        <f>(AE5/(AE8*AE16*AE7*AE11*(1/AE6)))*AE35</f>
        <v>10.486819641948641</v>
      </c>
      <c r="AF37" s="410">
        <f>(AF5/(AF8*AF16*AF7*AF11*(1/AF6)))*AF35</f>
        <v>79.03414153001529</v>
      </c>
      <c r="AG37" s="354">
        <f>(AG5/(AG8*AG16*AG7*AG11*(1/AG6)))*AG35</f>
        <v>79.03414153001529</v>
      </c>
      <c r="BK37" s="483"/>
      <c r="BL37" s="483"/>
      <c r="BM37" s="483"/>
      <c r="BN37" s="483"/>
      <c r="BO37" s="483"/>
      <c r="CH37" s="483"/>
      <c r="CI37" s="483"/>
      <c r="CJ37" s="483"/>
      <c r="CK37" s="483"/>
      <c r="CL37" s="483"/>
      <c r="CT37" s="95" t="s">
        <v>260</v>
      </c>
      <c r="CU37" s="95">
        <v>24</v>
      </c>
      <c r="CV37" s="95" t="s">
        <v>85</v>
      </c>
      <c r="CZ37" s="95" t="s">
        <v>447</v>
      </c>
      <c r="DA37" s="95">
        <v>24</v>
      </c>
      <c r="DB37" s="95" t="s">
        <v>85</v>
      </c>
      <c r="DS37" s="354"/>
      <c r="DY37" s="406"/>
      <c r="EH37" s="354"/>
      <c r="HD37" s="95" t="s">
        <v>191</v>
      </c>
      <c r="HE37" s="408">
        <f>(0.0112*HE39*HE39)^0.5+HE40*(1-EXP((-HE38*HE39)/(HE35*HE36*HE40)))</f>
        <v>6.2013772096432787</v>
      </c>
      <c r="HF37" s="95" t="s">
        <v>192</v>
      </c>
    </row>
    <row r="38" spans="1:214" s="95" customFormat="1" ht="14.25" thickTop="1" thickBot="1" x14ac:dyDescent="0.25">
      <c r="A38" s="95" t="s">
        <v>349</v>
      </c>
      <c r="B38" s="353">
        <v>0</v>
      </c>
      <c r="D38" s="19" t="s">
        <v>3</v>
      </c>
      <c r="E38" s="19"/>
      <c r="F38" s="20" t="s">
        <v>459</v>
      </c>
      <c r="G38" s="95" t="s">
        <v>167</v>
      </c>
      <c r="H38" s="95">
        <v>1</v>
      </c>
      <c r="I38" s="95" t="s">
        <v>168</v>
      </c>
      <c r="J38" s="95" t="s">
        <v>399</v>
      </c>
      <c r="K38" s="95">
        <v>0.25</v>
      </c>
      <c r="V38" s="383" t="s">
        <v>139</v>
      </c>
      <c r="W38" s="384">
        <f>(W26)/((W32/W33)*W29*W30*W35*(1/365)*W36)</f>
        <v>345.25051945226562</v>
      </c>
      <c r="X38" s="385" t="s">
        <v>37</v>
      </c>
      <c r="Y38" s="385" t="s">
        <v>139</v>
      </c>
      <c r="Z38" s="384">
        <f>(Z26*Z30*Z27)/((1-EXP(-Z27*Z30))*Z35*Z29*Z43*(Z32/Z33)*Z36*(Z43/Z44))</f>
        <v>4489.2288111479038</v>
      </c>
      <c r="AA38" s="386" t="s">
        <v>38</v>
      </c>
      <c r="AB38" s="411" t="s">
        <v>134</v>
      </c>
      <c r="AC38" s="354">
        <f>(AC5/(AC24*AC20*AC7*(AC29/24)*AC11*(1/AC40)*AC36))*AC35</f>
        <v>2567.8507234461549</v>
      </c>
      <c r="AD38" s="354">
        <f>(AD5/(AD24*AD20*AD7*(AD29/24)*AD11*(1/AD40)*AD36))*AD35</f>
        <v>1977.4063147757654</v>
      </c>
      <c r="AE38" s="354">
        <f>(AE5/(AE24*AE20*AE7*(AE29/24)*AE11*(1/AE40)*AE36))*AE35</f>
        <v>1812.6224552111187</v>
      </c>
      <c r="AF38" s="413">
        <f>(AF5*AF31*AF32)/((1-EXP(-AF32*AF31))*AF9*AF7*AF11*(AF14/24)*AF20*(1/AF41)*AF36)</f>
        <v>25.658130046098183</v>
      </c>
      <c r="AG38" s="354">
        <f>(AG5*AG31*AG32)/((1-EXP(-AG32*AG31))*AG9*AG7*AG15*(AG14/24)*AG20*(1/AG42)*AG36)</f>
        <v>1195.7450222183127</v>
      </c>
      <c r="BK38" s="483"/>
      <c r="BL38" s="483"/>
      <c r="BM38" s="483"/>
      <c r="BN38" s="483"/>
      <c r="BO38" s="483"/>
      <c r="CT38" s="95" t="s">
        <v>420</v>
      </c>
      <c r="CU38" s="95">
        <v>1</v>
      </c>
      <c r="CZ38" s="95" t="s">
        <v>167</v>
      </c>
      <c r="DA38" s="95">
        <v>1</v>
      </c>
      <c r="DB38" s="95" t="s">
        <v>271</v>
      </c>
      <c r="DY38" s="406"/>
      <c r="HD38" s="95" t="s">
        <v>194</v>
      </c>
      <c r="HE38" s="408">
        <v>0.18</v>
      </c>
      <c r="HF38" s="95" t="s">
        <v>186</v>
      </c>
    </row>
    <row r="39" spans="1:214" s="95" customFormat="1" ht="13.5" thickBot="1" x14ac:dyDescent="0.25">
      <c r="A39" s="95" t="s">
        <v>457</v>
      </c>
      <c r="B39" s="353">
        <v>0</v>
      </c>
      <c r="D39" s="101" t="s">
        <v>166</v>
      </c>
      <c r="E39" s="101" t="s">
        <v>17</v>
      </c>
      <c r="F39" s="102" t="s">
        <v>25</v>
      </c>
      <c r="G39" s="95" t="s">
        <v>169</v>
      </c>
      <c r="H39" s="95">
        <v>1</v>
      </c>
      <c r="I39" s="95" t="s">
        <v>168</v>
      </c>
      <c r="J39" s="95" t="s">
        <v>171</v>
      </c>
      <c r="K39" s="95">
        <v>1.752</v>
      </c>
      <c r="L39" s="95" t="s">
        <v>127</v>
      </c>
      <c r="V39" s="374" t="s">
        <v>134</v>
      </c>
      <c r="W39" s="375">
        <f>(W26*W27*W30)/((W32/W33)*(1-EXP(-W27*W30))*W31*W34*W29*W30)</f>
        <v>1.4546763923392709E-3</v>
      </c>
      <c r="X39" s="376" t="s">
        <v>38</v>
      </c>
      <c r="Y39" s="376" t="s">
        <v>134</v>
      </c>
      <c r="Z39" s="375">
        <f>Z26/((Z31*Z29*Z43*(Z32/Z33)*Z34))</f>
        <v>1.7241379310344827E-2</v>
      </c>
      <c r="AA39" s="377" t="s">
        <v>37</v>
      </c>
      <c r="AB39" s="385" t="s">
        <v>197</v>
      </c>
      <c r="AC39" s="384">
        <f>(AC5/(AC23*AC22*(AC28/24)*AC19*AC7*(1/AC34)*AC11))*AC35</f>
        <v>0.52759325369352694</v>
      </c>
      <c r="AD39" s="384">
        <f>(AD5/(AD23*AD22*(AD29/24)*AD21*AD7*(1/AD34)*AD11))*AD35</f>
        <v>0.12594678063171691</v>
      </c>
      <c r="AE39" s="384">
        <f>(AE5/(AE23*AE22*(AE28/24)*AE19*AE7*(1/AE34)*AE11))*AE35</f>
        <v>0.40627993752166752</v>
      </c>
      <c r="AF39" s="414">
        <f>(AF5*AF31*AF32)/((1-EXP(-AF32*AF31))*AF10*AF7*(1/365)*AF15*(AF14/24)*AF19*AF22)</f>
        <v>10.104393676199226</v>
      </c>
      <c r="AG39" s="354">
        <f>(AG5*AG31*AG32)/((1-EXP(-AG32*AG31))*AG10*AG7*AG15*(AG14/24)*AG19*AG22*(1/365))</f>
        <v>10.104393676199225</v>
      </c>
      <c r="BK39" s="483"/>
      <c r="BL39" s="483"/>
      <c r="BM39" s="483"/>
      <c r="BN39" s="483"/>
      <c r="BO39" s="483"/>
      <c r="BT39" s="404"/>
      <c r="BU39" s="355"/>
      <c r="CT39" s="95" t="s">
        <v>171</v>
      </c>
      <c r="CU39" s="95">
        <v>12.167999999999999</v>
      </c>
      <c r="CV39" s="95" t="s">
        <v>127</v>
      </c>
      <c r="CZ39" s="95" t="s">
        <v>169</v>
      </c>
      <c r="DA39" s="95">
        <v>1</v>
      </c>
      <c r="DB39" s="95" t="s">
        <v>271</v>
      </c>
      <c r="DY39" s="406"/>
      <c r="HD39" s="95" t="s">
        <v>196</v>
      </c>
      <c r="HE39" s="408">
        <v>55</v>
      </c>
      <c r="HF39" s="95" t="s">
        <v>192</v>
      </c>
    </row>
    <row r="40" spans="1:214" s="95" customFormat="1" ht="15" customHeight="1" thickBot="1" x14ac:dyDescent="0.25">
      <c r="A40" s="95" t="s">
        <v>433</v>
      </c>
      <c r="B40" s="353">
        <f>B36</f>
        <v>1E-3</v>
      </c>
      <c r="D40" s="101" t="s">
        <v>193</v>
      </c>
      <c r="E40" s="403">
        <f>E50</f>
        <v>0.14973954677582679</v>
      </c>
      <c r="F40" s="184"/>
      <c r="H40" s="95">
        <f>1/1000</f>
        <v>1E-3</v>
      </c>
      <c r="I40" s="95" t="s">
        <v>170</v>
      </c>
      <c r="J40" s="95" t="s">
        <v>174</v>
      </c>
      <c r="K40" s="95">
        <v>16.416</v>
      </c>
      <c r="L40" s="95" t="s">
        <v>127</v>
      </c>
      <c r="V40" s="383" t="s">
        <v>139</v>
      </c>
      <c r="W40" s="384">
        <f>(W26*W30*W27)/((1-EXP(-W27*W30))*W35*W29*(1/365)*W30*(W32/W33)*W36)</f>
        <v>347.12310067226093</v>
      </c>
      <c r="X40" s="385" t="s">
        <v>38</v>
      </c>
      <c r="Y40" s="385" t="s">
        <v>139</v>
      </c>
      <c r="Z40" s="384">
        <f>Z26/(Z35*Z29*(1/Z44)*Z43*(Z32/Z33)*Z36)</f>
        <v>4488.2567528794516</v>
      </c>
      <c r="AA40" s="386" t="s">
        <v>37</v>
      </c>
      <c r="AB40" s="95" t="s">
        <v>164</v>
      </c>
      <c r="AC40" s="354">
        <f>B30</f>
        <v>1359344473.5814338</v>
      </c>
      <c r="AD40" s="354">
        <f>B30</f>
        <v>1359344473.5814338</v>
      </c>
      <c r="AE40" s="354">
        <f>B30</f>
        <v>1359344473.5814338</v>
      </c>
      <c r="AG40" s="354">
        <f>(AG5/(AG23*AG22*(AG28+AG29*AG21)*AG7*(1/AG34)*AG11))*AG35</f>
        <v>0.89496058274907431</v>
      </c>
      <c r="BT40" s="404"/>
      <c r="BU40" s="355"/>
      <c r="CT40" s="95" t="s">
        <v>174</v>
      </c>
      <c r="CU40" s="95">
        <v>10.007999999999999</v>
      </c>
      <c r="CV40" s="95" t="s">
        <v>127</v>
      </c>
      <c r="CZ40" s="95" t="s">
        <v>272</v>
      </c>
      <c r="DA40" s="95">
        <v>0.54</v>
      </c>
      <c r="DB40" s="95" t="s">
        <v>274</v>
      </c>
      <c r="DY40" s="406"/>
      <c r="HD40" s="95" t="s">
        <v>198</v>
      </c>
      <c r="HE40" s="408">
        <v>5</v>
      </c>
      <c r="HF40" s="95" t="s">
        <v>192</v>
      </c>
    </row>
    <row r="41" spans="1:214" s="95" customFormat="1" ht="15" thickBot="1" x14ac:dyDescent="0.25">
      <c r="A41" s="95" t="s">
        <v>432</v>
      </c>
      <c r="B41" s="353">
        <f>B37</f>
        <v>0</v>
      </c>
      <c r="D41" s="433" t="s">
        <v>10</v>
      </c>
      <c r="E41" s="256" t="s">
        <v>34</v>
      </c>
      <c r="F41" s="257"/>
      <c r="H41" s="95">
        <v>1000</v>
      </c>
      <c r="I41" s="95" t="s">
        <v>173</v>
      </c>
      <c r="J41" s="95" t="s">
        <v>177</v>
      </c>
      <c r="K41" s="95">
        <v>0.4</v>
      </c>
      <c r="Y41" s="95" t="s">
        <v>411</v>
      </c>
      <c r="Z41" s="95">
        <v>50</v>
      </c>
      <c r="AA41" s="95" t="s">
        <v>211</v>
      </c>
      <c r="AB41" s="415" t="s">
        <v>201</v>
      </c>
      <c r="AF41" s="416">
        <f>B31</f>
        <v>773681.6396651821</v>
      </c>
      <c r="AH41" s="415" t="s">
        <v>165</v>
      </c>
      <c r="BT41" s="354"/>
      <c r="CT41" s="95" t="s">
        <v>177</v>
      </c>
      <c r="CU41" s="95">
        <v>0.4</v>
      </c>
      <c r="CZ41" s="95" t="s">
        <v>273</v>
      </c>
      <c r="DA41" s="95">
        <v>0.71</v>
      </c>
      <c r="DB41" s="95" t="s">
        <v>274</v>
      </c>
      <c r="DY41" s="406"/>
      <c r="HD41" s="95" t="s">
        <v>199</v>
      </c>
      <c r="HE41" s="408">
        <v>5</v>
      </c>
      <c r="HF41" s="95" t="s">
        <v>192</v>
      </c>
    </row>
    <row r="42" spans="1:214" s="95" customFormat="1" ht="13.9" customHeight="1" thickTop="1" x14ac:dyDescent="0.2">
      <c r="A42" s="95" t="s">
        <v>66</v>
      </c>
      <c r="B42" s="353">
        <v>0.04</v>
      </c>
      <c r="D42" s="95" t="s">
        <v>46</v>
      </c>
      <c r="E42" s="354">
        <v>9.9999999999999995E-7</v>
      </c>
      <c r="H42" s="95">
        <v>1000</v>
      </c>
      <c r="I42" s="95" t="s">
        <v>408</v>
      </c>
      <c r="J42" s="95" t="s">
        <v>242</v>
      </c>
      <c r="K42" s="95">
        <v>0.4</v>
      </c>
      <c r="Y42" s="95" t="s">
        <v>410</v>
      </c>
      <c r="Z42" s="95">
        <v>5</v>
      </c>
      <c r="AA42" s="95" t="s">
        <v>327</v>
      </c>
      <c r="AB42" s="415" t="s">
        <v>202</v>
      </c>
      <c r="AF42" s="415"/>
      <c r="AG42" s="416">
        <f>B32</f>
        <v>36055860.959050171</v>
      </c>
      <c r="AH42" s="415"/>
      <c r="AI42" s="415"/>
      <c r="AJ42" s="415"/>
      <c r="AK42" s="415"/>
      <c r="CT42" s="95" t="s">
        <v>242</v>
      </c>
      <c r="CU42" s="95">
        <v>0.4</v>
      </c>
      <c r="DA42" s="95">
        <v>365</v>
      </c>
      <c r="DB42" s="95" t="s">
        <v>268</v>
      </c>
    </row>
    <row r="43" spans="1:214" s="95" customFormat="1" ht="13.15" customHeight="1" x14ac:dyDescent="0.2">
      <c r="A43" s="95" t="s">
        <v>67</v>
      </c>
      <c r="B43" s="353">
        <v>0.2</v>
      </c>
      <c r="D43" s="95" t="s">
        <v>54</v>
      </c>
      <c r="E43" s="95">
        <v>350</v>
      </c>
      <c r="F43" s="95" t="s">
        <v>55</v>
      </c>
      <c r="G43" s="95" t="s">
        <v>399</v>
      </c>
      <c r="H43" s="95">
        <v>0.25</v>
      </c>
      <c r="J43" s="95" t="s">
        <v>243</v>
      </c>
      <c r="K43" s="354">
        <f>B2</f>
        <v>0.124</v>
      </c>
      <c r="Y43" s="95" t="s">
        <v>328</v>
      </c>
      <c r="Z43" s="95">
        <v>1</v>
      </c>
      <c r="AA43" s="95" t="s">
        <v>276</v>
      </c>
      <c r="AF43" s="483" t="s">
        <v>429</v>
      </c>
      <c r="AG43" s="483"/>
      <c r="AH43" s="483"/>
      <c r="AI43" s="415"/>
      <c r="AJ43" s="415"/>
      <c r="AK43" s="415"/>
      <c r="BT43" s="354"/>
      <c r="CT43" s="95" t="s">
        <v>243</v>
      </c>
      <c r="CU43" s="354">
        <f>B2</f>
        <v>0.124</v>
      </c>
      <c r="CZ43" s="95" t="s">
        <v>145</v>
      </c>
      <c r="DA43" s="95">
        <v>0.5</v>
      </c>
      <c r="DB43" s="95" t="s">
        <v>275</v>
      </c>
    </row>
    <row r="44" spans="1:214" s="95" customFormat="1" x14ac:dyDescent="0.2">
      <c r="D44" s="95" t="s">
        <v>415</v>
      </c>
      <c r="E44" s="354">
        <f>B28</f>
        <v>5.1499999999999998E-10</v>
      </c>
      <c r="F44" s="95" t="s">
        <v>176</v>
      </c>
      <c r="H44" s="95">
        <v>365</v>
      </c>
      <c r="I44" s="95" t="s">
        <v>55</v>
      </c>
      <c r="J44" s="95" t="s">
        <v>113</v>
      </c>
      <c r="K44" s="354">
        <f>B3</f>
        <v>0.79200000000000004</v>
      </c>
      <c r="Z44" s="95">
        <v>365</v>
      </c>
      <c r="AA44" s="95" t="s">
        <v>161</v>
      </c>
      <c r="AF44" s="483"/>
      <c r="AG44" s="483"/>
      <c r="AH44" s="483"/>
      <c r="CT44" s="95" t="s">
        <v>113</v>
      </c>
      <c r="CU44" s="354">
        <f>B3</f>
        <v>0.79200000000000004</v>
      </c>
      <c r="DA44" s="95">
        <v>1</v>
      </c>
      <c r="DB44" s="95" t="s">
        <v>276</v>
      </c>
    </row>
    <row r="45" spans="1:214" s="95" customFormat="1" ht="12.75" customHeight="1" x14ac:dyDescent="0.2">
      <c r="A45" s="95" t="s">
        <v>93</v>
      </c>
      <c r="B45" s="397">
        <v>10</v>
      </c>
      <c r="C45" s="95" t="s">
        <v>83</v>
      </c>
      <c r="D45" s="95" t="s">
        <v>68</v>
      </c>
      <c r="E45" s="95">
        <v>26</v>
      </c>
      <c r="F45" s="95" t="s">
        <v>129</v>
      </c>
      <c r="H45" s="95">
        <v>8760</v>
      </c>
      <c r="I45" s="95" t="s">
        <v>258</v>
      </c>
      <c r="J45" s="95" t="s">
        <v>185</v>
      </c>
      <c r="K45" s="95">
        <v>26</v>
      </c>
      <c r="L45" s="95" t="s">
        <v>94</v>
      </c>
      <c r="Y45" s="95" t="s">
        <v>483</v>
      </c>
      <c r="Z45" s="95">
        <v>1</v>
      </c>
      <c r="AA45" s="95" t="s">
        <v>276</v>
      </c>
      <c r="AB45" s="415"/>
      <c r="AC45" s="415"/>
      <c r="AF45" s="483"/>
      <c r="AG45" s="483"/>
      <c r="AH45" s="483"/>
      <c r="AI45" s="415"/>
      <c r="AJ45" s="415"/>
      <c r="AK45" s="415"/>
      <c r="CT45" s="95" t="s">
        <v>329</v>
      </c>
      <c r="CU45" s="95">
        <v>40</v>
      </c>
      <c r="CV45" s="95" t="s">
        <v>94</v>
      </c>
      <c r="DA45" s="95">
        <v>8760</v>
      </c>
      <c r="DB45" s="95" t="s">
        <v>258</v>
      </c>
    </row>
    <row r="46" spans="1:214" s="95" customFormat="1" x14ac:dyDescent="0.2">
      <c r="A46" s="95" t="s">
        <v>103</v>
      </c>
      <c r="B46" s="397">
        <v>20</v>
      </c>
      <c r="C46" s="95" t="s">
        <v>83</v>
      </c>
      <c r="D46" s="95" t="s">
        <v>178</v>
      </c>
      <c r="E46" s="95">
        <f>B55</f>
        <v>28.5</v>
      </c>
      <c r="F46" s="95" t="s">
        <v>96</v>
      </c>
      <c r="G46" s="95" t="s">
        <v>49</v>
      </c>
      <c r="H46" s="95">
        <f>H48</f>
        <v>1E-3</v>
      </c>
      <c r="K46" s="95">
        <v>365</v>
      </c>
      <c r="L46" s="95" t="s">
        <v>189</v>
      </c>
      <c r="AB46" s="415"/>
      <c r="AC46" s="417"/>
      <c r="AI46" s="415"/>
      <c r="AJ46" s="415"/>
      <c r="AK46" s="415"/>
      <c r="CU46" s="95">
        <v>365</v>
      </c>
      <c r="CV46" s="95" t="s">
        <v>189</v>
      </c>
      <c r="DA46" s="95">
        <v>1000</v>
      </c>
      <c r="DB46" s="95" t="s">
        <v>195</v>
      </c>
    </row>
    <row r="47" spans="1:214" s="95" customFormat="1" x14ac:dyDescent="0.2">
      <c r="A47" s="95" t="s">
        <v>104</v>
      </c>
      <c r="B47" s="397">
        <v>60</v>
      </c>
      <c r="C47" s="95" t="s">
        <v>83</v>
      </c>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row>
    <row r="48" spans="1:214" s="95" customFormat="1" x14ac:dyDescent="0.2">
      <c r="A48" s="95" t="s">
        <v>117</v>
      </c>
      <c r="B48" s="397">
        <v>200</v>
      </c>
      <c r="C48" s="95" t="s">
        <v>96</v>
      </c>
      <c r="D48" s="95" t="s">
        <v>203</v>
      </c>
      <c r="E48" s="95">
        <f>B34</f>
        <v>50</v>
      </c>
      <c r="F48" s="95" t="s">
        <v>48</v>
      </c>
      <c r="G48" s="95" t="s">
        <v>66</v>
      </c>
      <c r="H48" s="95">
        <f>B40</f>
        <v>1E-3</v>
      </c>
      <c r="K48" s="95">
        <v>1000</v>
      </c>
      <c r="L48" s="95" t="s">
        <v>53</v>
      </c>
      <c r="W48" s="404"/>
      <c r="X48" s="355"/>
      <c r="Y48" s="355"/>
      <c r="Z48" s="355"/>
      <c r="AA48" s="355"/>
      <c r="AB48" s="415"/>
      <c r="AC48" s="415"/>
      <c r="AF48" s="418"/>
      <c r="AG48" s="415"/>
      <c r="AH48" s="415"/>
      <c r="AI48" s="415"/>
      <c r="AJ48" s="415"/>
      <c r="AK48" s="415"/>
      <c r="CU48" s="95">
        <v>1000</v>
      </c>
      <c r="CV48" s="95" t="s">
        <v>53</v>
      </c>
    </row>
    <row r="49" spans="1:105" s="95" customFormat="1" x14ac:dyDescent="0.2">
      <c r="A49" s="95" t="s">
        <v>140</v>
      </c>
      <c r="B49" s="397">
        <v>100</v>
      </c>
      <c r="C49" s="95" t="s">
        <v>96</v>
      </c>
      <c r="D49" s="95" t="s">
        <v>205</v>
      </c>
      <c r="E49" s="95">
        <v>1</v>
      </c>
      <c r="F49" s="95" t="s">
        <v>206</v>
      </c>
      <c r="G49" s="95" t="s">
        <v>73</v>
      </c>
      <c r="H49" s="95">
        <v>0.26</v>
      </c>
      <c r="J49" s="95" t="s">
        <v>49</v>
      </c>
      <c r="K49" s="95">
        <f>K51</f>
        <v>0.04</v>
      </c>
      <c r="W49" s="354"/>
      <c r="AB49" s="415"/>
      <c r="AC49" s="415"/>
      <c r="AF49" s="418"/>
      <c r="AG49" s="415"/>
      <c r="AH49" s="415"/>
      <c r="AI49" s="415"/>
      <c r="AJ49" s="415"/>
      <c r="AK49" s="415"/>
      <c r="BT49" s="354"/>
    </row>
    <row r="50" spans="1:105" s="95" customFormat="1" x14ac:dyDescent="0.2">
      <c r="A50" s="95" t="s">
        <v>451</v>
      </c>
      <c r="B50" s="397">
        <v>0.78</v>
      </c>
      <c r="D50" s="95" t="s">
        <v>142</v>
      </c>
      <c r="E50" s="354">
        <f>E42/(E44*E43*E45*E46*E48*E49*(1/E47))</f>
        <v>0.14973954677582679</v>
      </c>
      <c r="G50" s="95" t="s">
        <v>47</v>
      </c>
      <c r="H50" s="354">
        <f>(H53*H54*H55*((1-EXP(-H56*H57))))/(H58*H56)</f>
        <v>1.4210610877202989</v>
      </c>
      <c r="I50" s="95" t="s">
        <v>48</v>
      </c>
      <c r="J50" s="95" t="s">
        <v>57</v>
      </c>
      <c r="K50" s="95">
        <f>K52</f>
        <v>0.26</v>
      </c>
      <c r="W50" s="354"/>
      <c r="AB50" s="415"/>
      <c r="AC50" s="415"/>
      <c r="AF50" s="418"/>
      <c r="AG50" s="415"/>
      <c r="AH50" s="415"/>
      <c r="AI50" s="415"/>
      <c r="AJ50" s="415"/>
      <c r="AK50" s="415"/>
      <c r="BW50" s="354"/>
    </row>
    <row r="51" spans="1:105" s="95" customFormat="1" x14ac:dyDescent="0.2">
      <c r="A51" s="95" t="s">
        <v>452</v>
      </c>
      <c r="B51" s="397">
        <v>2.5</v>
      </c>
      <c r="G51" s="95" t="s">
        <v>56</v>
      </c>
      <c r="H51" s="354">
        <f>(H53*H54*H59*((1-EXP(-H56*H57))))/(H58*H56)</f>
        <v>9.2368970701819411</v>
      </c>
      <c r="I51" s="95" t="s">
        <v>48</v>
      </c>
      <c r="J51" s="95" t="s">
        <v>66</v>
      </c>
      <c r="K51" s="354">
        <f>B42</f>
        <v>0.04</v>
      </c>
      <c r="AB51" s="415"/>
      <c r="AC51" s="415"/>
      <c r="AF51" s="418"/>
      <c r="AG51" s="415"/>
      <c r="BW51" s="354"/>
    </row>
    <row r="52" spans="1:105" s="95" customFormat="1" x14ac:dyDescent="0.2">
      <c r="A52" s="95" t="s">
        <v>404</v>
      </c>
      <c r="B52" s="353">
        <v>14.8</v>
      </c>
      <c r="C52" s="95" t="s">
        <v>413</v>
      </c>
      <c r="G52" s="95" t="s">
        <v>65</v>
      </c>
      <c r="H52" s="354">
        <f>(H53*H54*H60*H66*((1-EXP(-H61*H62))))/(H63*H61)</f>
        <v>3.6423470278489711</v>
      </c>
      <c r="I52" s="95" t="s">
        <v>48</v>
      </c>
      <c r="J52" s="95" t="s">
        <v>73</v>
      </c>
      <c r="K52" s="95">
        <v>0.26</v>
      </c>
      <c r="AB52" s="415"/>
      <c r="AC52" s="415"/>
      <c r="AF52" s="418"/>
      <c r="AG52" s="415"/>
      <c r="BW52" s="354"/>
    </row>
    <row r="53" spans="1:105" s="95" customFormat="1" x14ac:dyDescent="0.2">
      <c r="A53" s="95" t="s">
        <v>405</v>
      </c>
      <c r="B53" s="353">
        <v>56.2</v>
      </c>
      <c r="C53" s="95" t="s">
        <v>413</v>
      </c>
      <c r="G53" s="95" t="s">
        <v>71</v>
      </c>
      <c r="H53" s="95">
        <v>3.62</v>
      </c>
      <c r="I53" s="95" t="s">
        <v>72</v>
      </c>
      <c r="W53" s="354"/>
      <c r="AB53" s="415"/>
      <c r="AC53" s="415"/>
      <c r="AF53" s="418"/>
      <c r="AG53" s="415"/>
    </row>
    <row r="54" spans="1:105" s="95" customFormat="1" x14ac:dyDescent="0.2">
      <c r="A54" s="95" t="s">
        <v>400</v>
      </c>
      <c r="B54" s="353">
        <v>10.4</v>
      </c>
      <c r="C54" s="95" t="s">
        <v>413</v>
      </c>
      <c r="G54" s="95" t="s">
        <v>79</v>
      </c>
      <c r="H54" s="95">
        <v>0.25</v>
      </c>
      <c r="I54" s="95" t="s">
        <v>80</v>
      </c>
      <c r="AB54" s="415"/>
      <c r="AC54" s="415"/>
      <c r="AF54" s="418"/>
      <c r="AG54" s="415"/>
    </row>
    <row r="55" spans="1:105" s="95" customFormat="1" x14ac:dyDescent="0.2">
      <c r="A55" s="95" t="s">
        <v>401</v>
      </c>
      <c r="B55" s="353">
        <v>28.5</v>
      </c>
      <c r="C55" s="95" t="s">
        <v>413</v>
      </c>
      <c r="G55" s="95" t="s">
        <v>66</v>
      </c>
      <c r="H55" s="354">
        <f>B42</f>
        <v>0.04</v>
      </c>
      <c r="AB55" s="415"/>
      <c r="AC55" s="415"/>
      <c r="AD55" s="415"/>
      <c r="AF55" s="418"/>
      <c r="AG55" s="415"/>
      <c r="AH55" s="415"/>
      <c r="AI55" s="415"/>
      <c r="AJ55" s="415"/>
      <c r="AK55" s="415"/>
    </row>
    <row r="56" spans="1:105" s="95" customFormat="1" x14ac:dyDescent="0.2">
      <c r="A56" s="95" t="s">
        <v>178</v>
      </c>
      <c r="B56" s="397">
        <v>54</v>
      </c>
      <c r="C56" s="95" t="s">
        <v>96</v>
      </c>
      <c r="G56" s="95" t="s">
        <v>99</v>
      </c>
      <c r="H56" s="95">
        <f>H64+H65</f>
        <v>2.8186643835616437E-5</v>
      </c>
      <c r="AB56" s="415"/>
      <c r="AC56" s="415"/>
      <c r="AD56" s="415"/>
      <c r="AF56" s="418"/>
      <c r="AG56" s="415"/>
      <c r="AH56" s="415"/>
      <c r="AI56" s="415"/>
      <c r="AJ56" s="415"/>
      <c r="AK56" s="415"/>
    </row>
    <row r="57" spans="1:105" s="95" customFormat="1" x14ac:dyDescent="0.2">
      <c r="A57" s="95" t="s">
        <v>278</v>
      </c>
      <c r="B57" s="397">
        <v>256</v>
      </c>
      <c r="C57" s="95" t="s">
        <v>413</v>
      </c>
      <c r="G57" s="95" t="s">
        <v>109</v>
      </c>
      <c r="H57" s="95">
        <v>10950</v>
      </c>
      <c r="I57" s="95" t="s">
        <v>110</v>
      </c>
      <c r="AB57" s="415"/>
      <c r="AC57" s="415"/>
      <c r="AD57" s="415"/>
      <c r="AF57" s="418"/>
      <c r="AG57" s="415"/>
      <c r="AH57" s="415"/>
      <c r="AI57" s="415"/>
      <c r="AJ57" s="415"/>
      <c r="AK57" s="415"/>
    </row>
    <row r="58" spans="1:105" s="95" customFormat="1" x14ac:dyDescent="0.2">
      <c r="A58" s="95" t="s">
        <v>279</v>
      </c>
      <c r="B58" s="397">
        <v>615</v>
      </c>
      <c r="C58" s="95" t="s">
        <v>413</v>
      </c>
      <c r="G58" s="95" t="s">
        <v>120</v>
      </c>
      <c r="H58" s="95">
        <v>240</v>
      </c>
      <c r="I58" s="95" t="s">
        <v>121</v>
      </c>
      <c r="AB58" s="415"/>
      <c r="AC58" s="415"/>
      <c r="AF58" s="418"/>
      <c r="AG58" s="415"/>
      <c r="AH58" s="415"/>
      <c r="AI58" s="415"/>
      <c r="AJ58" s="415"/>
      <c r="AK58" s="415"/>
    </row>
    <row r="59" spans="1:105" s="95" customFormat="1" x14ac:dyDescent="0.2">
      <c r="G59" s="95" t="s">
        <v>130</v>
      </c>
      <c r="H59" s="95">
        <v>0.26</v>
      </c>
      <c r="AB59" s="415"/>
      <c r="AC59" s="415"/>
      <c r="AF59" s="415"/>
      <c r="AG59" s="415"/>
      <c r="AH59" s="415"/>
      <c r="AI59" s="415"/>
      <c r="AJ59" s="415"/>
      <c r="AK59" s="415"/>
    </row>
    <row r="60" spans="1:105" s="95" customFormat="1" x14ac:dyDescent="0.2">
      <c r="G60" s="95" t="s">
        <v>137</v>
      </c>
      <c r="H60" s="95">
        <v>0.42</v>
      </c>
      <c r="I60" s="95" t="s">
        <v>80</v>
      </c>
      <c r="AB60" s="415"/>
      <c r="AC60" s="415"/>
      <c r="AF60" s="415"/>
      <c r="AG60" s="415"/>
      <c r="AH60" s="415"/>
      <c r="AI60" s="415"/>
      <c r="AJ60" s="415"/>
      <c r="AK60" s="415"/>
    </row>
    <row r="61" spans="1:105" s="95" customFormat="1" x14ac:dyDescent="0.2">
      <c r="G61" s="95" t="s">
        <v>143</v>
      </c>
      <c r="H61" s="95">
        <f>H65+(0.693/H67)</f>
        <v>4.9501186643835612E-2</v>
      </c>
      <c r="I61" s="95" t="s">
        <v>144</v>
      </c>
      <c r="AB61" s="415"/>
      <c r="AC61" s="415"/>
      <c r="AD61" s="415"/>
      <c r="AF61" s="415"/>
      <c r="AG61" s="415"/>
      <c r="AH61" s="415"/>
      <c r="AI61" s="415"/>
      <c r="AJ61" s="415"/>
      <c r="AK61" s="415"/>
      <c r="DA61" s="354"/>
    </row>
    <row r="62" spans="1:105" s="95" customFormat="1" x14ac:dyDescent="0.2">
      <c r="G62" s="95" t="s">
        <v>148</v>
      </c>
      <c r="H62" s="95">
        <v>60</v>
      </c>
      <c r="I62" s="95" t="s">
        <v>110</v>
      </c>
      <c r="AB62" s="415"/>
      <c r="AC62" s="415"/>
      <c r="AD62" s="415"/>
      <c r="AF62" s="418"/>
      <c r="AG62" s="415"/>
      <c r="AH62" s="415"/>
      <c r="AI62" s="415"/>
      <c r="AJ62" s="415"/>
      <c r="AK62" s="415"/>
    </row>
    <row r="63" spans="1:105" s="95" customFormat="1" x14ac:dyDescent="0.2">
      <c r="G63" s="95" t="s">
        <v>150</v>
      </c>
      <c r="H63" s="95">
        <v>2</v>
      </c>
      <c r="I63" s="95" t="s">
        <v>121</v>
      </c>
      <c r="AB63" s="415"/>
      <c r="AC63" s="415"/>
      <c r="AD63" s="415"/>
      <c r="AF63" s="418"/>
      <c r="AG63" s="415"/>
      <c r="AH63" s="415"/>
      <c r="AI63" s="415"/>
      <c r="AJ63" s="415"/>
      <c r="AK63" s="415"/>
    </row>
    <row r="64" spans="1:105"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1.1866438356164383E-6</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B43</f>
        <v>0.2</v>
      </c>
      <c r="AB68" s="415"/>
      <c r="AC68" s="420"/>
      <c r="AD68" s="415"/>
      <c r="AF68" s="418"/>
      <c r="AG68" s="415"/>
      <c r="AH68" s="415"/>
      <c r="AI68" s="415"/>
      <c r="AJ68" s="415"/>
      <c r="AK68" s="415"/>
    </row>
    <row r="69" spans="7:105" s="95" customFormat="1" x14ac:dyDescent="0.2">
      <c r="G69" s="95" t="s">
        <v>453</v>
      </c>
      <c r="H69" s="354">
        <f>B33</f>
        <v>584000</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kLzNsGni5Q1PYwhgs4Z13I+Ji9twuI8uuAL5yUyZIvWYc+SA5CWEEBpsF6wuQYK/l6zh5PTE3fnH2INqaP7bsw==" saltValue="PlpUXzHrY7Nxk+noyPM4Cw==" spinCount="100000" sheet="1" objects="1" scenarios="1" formatColumns="0" formatRows="0"/>
  <mergeCells count="6">
    <mergeCell ref="CH34:CL37"/>
    <mergeCell ref="BK36:BO39"/>
    <mergeCell ref="AF43:AH45"/>
    <mergeCell ref="A1:C1"/>
    <mergeCell ref="A4:C4"/>
    <mergeCell ref="A13:C1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F86"/>
  <sheetViews>
    <sheetView workbookViewId="0">
      <pane xSplit="3" topLeftCell="D1" activePane="topRight" state="frozen"/>
      <selection pane="topRight" activeCell="D1" sqref="D1"/>
    </sheetView>
  </sheetViews>
  <sheetFormatPr defaultRowHeight="12.75" x14ac:dyDescent="0.2"/>
  <cols>
    <col min="1" max="1" width="14.42578125" bestFit="1" customWidth="1"/>
    <col min="2" max="2" width="8.85546875" bestFit="1" customWidth="1"/>
    <col min="3" max="3" width="14.28515625" bestFit="1" customWidth="1"/>
    <col min="4" max="4" width="8.5703125" customWidth="1"/>
    <col min="5" max="5" width="12.5703125" customWidth="1"/>
    <col min="6" max="6" width="19" customWidth="1"/>
    <col min="7" max="7" width="10" customWidth="1"/>
    <col min="8" max="8" width="12" customWidth="1"/>
    <col min="9" max="9" width="13.28515625" customWidth="1"/>
    <col min="10" max="10" width="10" customWidth="1"/>
    <col min="11" max="11" width="12.85546875" customWidth="1"/>
    <col min="12" max="12" width="14.28515625" customWidth="1"/>
    <col min="13" max="13" width="10.42578125" customWidth="1"/>
    <col min="14" max="14" width="11.5703125" customWidth="1"/>
    <col min="15" max="15" width="15.42578125" customWidth="1"/>
    <col min="16" max="16" width="10.42578125" customWidth="1"/>
    <col min="17" max="17" width="8.85546875" customWidth="1"/>
    <col min="18" max="18" width="15.42578125" customWidth="1"/>
    <col min="19" max="19" width="10.42578125" customWidth="1"/>
    <col min="20" max="20" width="8.85546875" customWidth="1"/>
    <col min="21" max="21" width="15.42578125" customWidth="1"/>
    <col min="22" max="22" width="8.5703125" customWidth="1"/>
    <col min="23" max="23" width="9" customWidth="1"/>
    <col min="24" max="24" width="16.85546875" customWidth="1"/>
    <col min="25" max="25" width="9.28515625" customWidth="1"/>
    <col min="26" max="26" width="11.140625" customWidth="1"/>
    <col min="27" max="27" width="16.85546875" customWidth="1"/>
    <col min="28" max="28" width="12.85546875" customWidth="1"/>
    <col min="29" max="29" width="17.42578125" customWidth="1"/>
    <col min="30" max="30" width="15.7109375" customWidth="1"/>
    <col min="31" max="31" width="15" customWidth="1"/>
    <col min="32" max="32" width="20.5703125" customWidth="1"/>
    <col min="33" max="33" width="24.28515625" customWidth="1"/>
    <col min="34" max="34" width="15.7109375" customWidth="1"/>
    <col min="35" max="35" width="10.42578125" customWidth="1"/>
    <col min="36" max="36" width="11.5703125" customWidth="1"/>
    <col min="37" max="37" width="15.42578125" customWidth="1"/>
    <col min="38" max="38" width="10.42578125" customWidth="1"/>
    <col min="39" max="39" width="8.85546875" customWidth="1"/>
    <col min="40" max="40" width="15.42578125" customWidth="1"/>
    <col min="41" max="41" width="10.42578125" customWidth="1"/>
    <col min="42" max="42" width="8.85546875" customWidth="1"/>
    <col min="43" max="43" width="15.42578125" customWidth="1"/>
    <col min="44" max="44" width="10.42578125" customWidth="1"/>
    <col min="45" max="45" width="11.5703125" customWidth="1"/>
    <col min="46" max="46" width="15.42578125" customWidth="1"/>
    <col min="47" max="47" width="10.42578125" customWidth="1"/>
    <col min="48" max="48" width="8.85546875" customWidth="1"/>
    <col min="49" max="49" width="15.42578125" customWidth="1"/>
    <col min="50" max="50" width="10.42578125" bestFit="1" customWidth="1"/>
    <col min="51" max="51" width="8.85546875" customWidth="1"/>
    <col min="52" max="52" width="15.42578125" customWidth="1"/>
    <col min="53" max="53" width="10.42578125" bestFit="1" customWidth="1"/>
    <col min="54" max="54" width="11.5703125" bestFit="1" customWidth="1"/>
    <col min="55" max="55" width="15.42578125" bestFit="1" customWidth="1"/>
    <col min="56" max="56" width="10.42578125" bestFit="1" customWidth="1"/>
    <col min="57" max="57" width="8.85546875" bestFit="1" customWidth="1"/>
    <col min="58" max="58" width="15.42578125" bestFit="1" customWidth="1"/>
    <col min="59" max="59" width="10.42578125" bestFit="1" customWidth="1"/>
    <col min="60" max="60" width="8.85546875" bestFit="1" customWidth="1"/>
    <col min="61" max="61" width="15.42578125" bestFit="1" customWidth="1"/>
    <col min="62" max="62" width="10.42578125" bestFit="1" customWidth="1"/>
    <col min="63" max="63" width="11.5703125" bestFit="1" customWidth="1"/>
    <col min="64" max="64" width="15.42578125" bestFit="1" customWidth="1"/>
    <col min="65" max="65" width="10.42578125" bestFit="1" customWidth="1"/>
    <col min="66" max="66" width="8.85546875" bestFit="1" customWidth="1"/>
    <col min="67" max="67" width="15.42578125" bestFit="1" customWidth="1"/>
    <col min="68" max="68" width="10.42578125" bestFit="1" customWidth="1"/>
    <col min="69" max="69" width="8.85546875" bestFit="1" customWidth="1"/>
    <col min="70" max="70" width="15.42578125" bestFit="1" customWidth="1"/>
    <col min="71" max="71" width="8.5703125" customWidth="1"/>
    <col min="72" max="72" width="10.5703125" bestFit="1" customWidth="1"/>
    <col min="73" max="73" width="19" bestFit="1" customWidth="1"/>
    <col min="74" max="75" width="12" bestFit="1" customWidth="1"/>
    <col min="76" max="76" width="10.42578125" bestFit="1" customWidth="1"/>
    <col min="77" max="77" width="10" bestFit="1" customWidth="1"/>
    <col min="78" max="78" width="11.28515625" bestFit="1" customWidth="1"/>
    <col min="79" max="79" width="14.28515625" customWidth="1"/>
    <col min="80" max="80" width="10.28515625" bestFit="1" customWidth="1"/>
    <col min="81" max="81" width="11.5703125" bestFit="1" customWidth="1"/>
    <col min="82" max="82" width="15.7109375" bestFit="1" customWidth="1"/>
    <col min="83" max="83" width="10.42578125" bestFit="1" customWidth="1"/>
    <col min="84" max="84" width="8.85546875" bestFit="1" customWidth="1"/>
    <col min="85" max="85" width="15.42578125" bestFit="1" customWidth="1"/>
    <col min="86" max="86" width="10.42578125" bestFit="1" customWidth="1"/>
    <col min="87" max="87" width="8.85546875" bestFit="1" customWidth="1"/>
    <col min="88" max="88" width="15.42578125" bestFit="1" customWidth="1"/>
    <col min="89" max="89" width="9" bestFit="1" customWidth="1"/>
    <col min="90" max="90" width="8.85546875" bestFit="1" customWidth="1"/>
    <col min="91" max="91" width="8.140625" bestFit="1" customWidth="1"/>
    <col min="92" max="92" width="9.85546875" bestFit="1" customWidth="1"/>
    <col min="93" max="93" width="8.85546875" bestFit="1" customWidth="1"/>
    <col min="94" max="94" width="7.42578125" bestFit="1" customWidth="1"/>
    <col min="95" max="95" width="9.42578125" bestFit="1" customWidth="1"/>
    <col min="96" max="96" width="8.85546875" bestFit="1" customWidth="1"/>
    <col min="97" max="97" width="7.42578125" bestFit="1" customWidth="1"/>
    <col min="98" max="98" width="10" bestFit="1" customWidth="1"/>
    <col min="99" max="99" width="12.85546875" bestFit="1" customWidth="1"/>
    <col min="100" max="100" width="14.28515625" customWidth="1"/>
    <col min="101" max="101" width="8.5703125" customWidth="1"/>
    <col min="102" max="102" width="10.5703125" bestFit="1" customWidth="1"/>
    <col min="103" max="103" width="16.85546875" bestFit="1" customWidth="1"/>
    <col min="104" max="104" width="10.42578125" bestFit="1" customWidth="1"/>
    <col min="105" max="105" width="11.28515625" bestFit="1" customWidth="1"/>
    <col min="106" max="106" width="9.42578125" customWidth="1"/>
    <col min="107" max="107" width="9.140625" customWidth="1"/>
    <col min="108" max="108" width="11.28515625" bestFit="1" customWidth="1"/>
    <col min="109" max="109" width="9.140625" customWidth="1"/>
    <col min="110" max="110" width="9.85546875" bestFit="1" customWidth="1"/>
    <col min="111" max="111" width="12" customWidth="1"/>
    <col min="112" max="112" width="9.42578125" customWidth="1"/>
    <col min="113" max="113" width="7.5703125" bestFit="1" customWidth="1"/>
    <col min="114" max="114" width="8.28515625" bestFit="1" customWidth="1"/>
    <col min="115" max="115" width="7.42578125" bestFit="1" customWidth="1"/>
    <col min="116" max="116" width="7.5703125" bestFit="1" customWidth="1"/>
    <col min="117" max="117" width="8.28515625" bestFit="1" customWidth="1"/>
    <col min="118" max="118" width="7.42578125" bestFit="1" customWidth="1"/>
    <col min="119" max="119" width="9.85546875" bestFit="1" customWidth="1"/>
    <col min="120" max="120" width="12" customWidth="1"/>
    <col min="121" max="121" width="9.42578125" customWidth="1"/>
    <col min="122" max="122" width="8" bestFit="1" customWidth="1"/>
    <col min="123" max="123" width="12.85546875" bestFit="1" customWidth="1"/>
    <col min="124" max="124" width="9.140625" customWidth="1"/>
    <col min="125" max="125" width="8.85546875" bestFit="1" customWidth="1"/>
    <col min="126" max="126" width="8.85546875" customWidth="1"/>
    <col min="127" max="127" width="7.42578125" bestFit="1" customWidth="1"/>
    <col min="128" max="128" width="6.28515625" customWidth="1"/>
    <col min="129" max="129" width="8.85546875" customWidth="1"/>
    <col min="130" max="130" width="7.42578125" bestFit="1" customWidth="1"/>
    <col min="131" max="131" width="6.28515625" customWidth="1"/>
    <col min="132" max="132" width="8.85546875" customWidth="1"/>
    <col min="133" max="133" width="7.42578125" bestFit="1" customWidth="1"/>
    <col min="134" max="134" width="9.85546875" bestFit="1" customWidth="1"/>
    <col min="135" max="135" width="9.42578125" bestFit="1" customWidth="1"/>
    <col min="136" max="136" width="7.42578125" bestFit="1" customWidth="1"/>
    <col min="137" max="137" width="8" bestFit="1" customWidth="1"/>
    <col min="138" max="138" width="12.85546875" bestFit="1" customWidth="1"/>
    <col min="139" max="139" width="9.140625" customWidth="1"/>
    <col min="140" max="140" width="8.28515625" customWidth="1"/>
    <col min="141" max="141" width="8.85546875" customWidth="1"/>
    <col min="142" max="142" width="7.42578125" bestFit="1" customWidth="1"/>
    <col min="143" max="143" width="6.28515625" customWidth="1"/>
    <col min="144" max="144" width="8.85546875" customWidth="1"/>
    <col min="145" max="145" width="7.42578125" bestFit="1" customWidth="1"/>
    <col min="146" max="146" width="6.28515625" customWidth="1"/>
    <col min="147" max="147" width="8.85546875" customWidth="1"/>
    <col min="148" max="148" width="7.42578125" bestFit="1" customWidth="1"/>
    <col min="149" max="149" width="9.85546875" bestFit="1" customWidth="1"/>
    <col min="150" max="150" width="9.42578125" bestFit="1" customWidth="1"/>
    <col min="151" max="151" width="7.42578125" bestFit="1" customWidth="1"/>
    <col min="152" max="152" width="8" bestFit="1" customWidth="1"/>
    <col min="153" max="153" width="11.28515625" bestFit="1" customWidth="1"/>
    <col min="154" max="154" width="9.140625" customWidth="1"/>
    <col min="155" max="155" width="7.85546875" bestFit="1" customWidth="1"/>
    <col min="156" max="156" width="8.85546875" customWidth="1"/>
    <col min="157" max="157" width="7.42578125" bestFit="1" customWidth="1"/>
    <col min="158" max="158" width="8.28515625" bestFit="1" customWidth="1"/>
    <col min="159" max="159" width="8.85546875" bestFit="1" customWidth="1"/>
    <col min="160" max="160" width="7.42578125" bestFit="1" customWidth="1"/>
    <col min="161" max="162" width="8.28515625" bestFit="1" customWidth="1"/>
    <col min="163" max="163" width="7.42578125" bestFit="1" customWidth="1"/>
    <col min="164" max="164" width="9.85546875" bestFit="1" customWidth="1"/>
    <col min="165" max="165" width="9" bestFit="1" customWidth="1"/>
    <col min="166" max="166" width="7.42578125" bestFit="1" customWidth="1"/>
    <col min="167" max="167" width="8.28515625" bestFit="1" customWidth="1"/>
    <col min="168" max="168" width="12.85546875" bestFit="1" customWidth="1"/>
    <col min="169" max="169" width="9.140625" customWidth="1"/>
    <col min="170" max="170" width="7.7109375" bestFit="1" customWidth="1"/>
    <col min="171" max="171" width="8.28515625" bestFit="1" customWidth="1"/>
    <col min="172" max="172" width="7.42578125" bestFit="1" customWidth="1"/>
    <col min="173" max="173" width="6.5703125" bestFit="1" customWidth="1"/>
    <col min="174" max="174" width="9" bestFit="1" customWidth="1"/>
    <col min="175" max="175" width="7.42578125" bestFit="1" customWidth="1"/>
    <col min="176" max="176" width="6.5703125" bestFit="1" customWidth="1"/>
    <col min="177" max="177" width="9" bestFit="1" customWidth="1"/>
    <col min="178" max="178" width="7.42578125" bestFit="1" customWidth="1"/>
    <col min="179" max="179" width="9.85546875" bestFit="1" customWidth="1"/>
    <col min="180" max="180" width="9" bestFit="1" customWidth="1"/>
    <col min="181" max="181" width="7.42578125" bestFit="1" customWidth="1"/>
    <col min="182" max="182" width="8" customWidth="1"/>
    <col min="183" max="183" width="12.85546875" bestFit="1" customWidth="1"/>
    <col min="184" max="184" width="9.140625" customWidth="1"/>
    <col min="185" max="185" width="6.85546875" bestFit="1" customWidth="1"/>
    <col min="186" max="186" width="8.85546875" bestFit="1" customWidth="1"/>
    <col min="187" max="187" width="7.42578125" bestFit="1" customWidth="1"/>
    <col min="188" max="188" width="7.28515625" bestFit="1" customWidth="1"/>
    <col min="189" max="189" width="8.85546875" bestFit="1" customWidth="1"/>
    <col min="190" max="190" width="7.42578125" bestFit="1" customWidth="1"/>
    <col min="191" max="191" width="7.28515625" bestFit="1" customWidth="1"/>
    <col min="192" max="192" width="8.28515625" bestFit="1" customWidth="1"/>
    <col min="193" max="193" width="7.42578125" bestFit="1" customWidth="1"/>
    <col min="194" max="194" width="9.85546875" bestFit="1" customWidth="1"/>
    <col min="195" max="195" width="9" bestFit="1" customWidth="1"/>
    <col min="196" max="196" width="7.42578125" bestFit="1" customWidth="1"/>
    <col min="197" max="197" width="9.7109375" bestFit="1" customWidth="1"/>
    <col min="198" max="198" width="12" bestFit="1" customWidth="1"/>
    <col min="199" max="199" width="9.140625" customWidth="1"/>
    <col min="200" max="200" width="9.5703125" bestFit="1" customWidth="1"/>
    <col min="201" max="201" width="8.85546875" bestFit="1" customWidth="1"/>
    <col min="202" max="202" width="7.42578125" bestFit="1" customWidth="1"/>
    <col min="203" max="203" width="7.5703125" bestFit="1" customWidth="1"/>
    <col min="204" max="204" width="8.85546875" bestFit="1" customWidth="1"/>
    <col min="205" max="205" width="7.42578125" bestFit="1" customWidth="1"/>
    <col min="206" max="206" width="7.5703125" bestFit="1" customWidth="1"/>
    <col min="207" max="207" width="8.85546875" bestFit="1" customWidth="1"/>
    <col min="208" max="208" width="7.42578125" bestFit="1" customWidth="1"/>
    <col min="209" max="209" width="9.85546875" bestFit="1" customWidth="1"/>
    <col min="210" max="210" width="9" bestFit="1" customWidth="1"/>
    <col min="211" max="211" width="7.42578125" bestFit="1" customWidth="1"/>
    <col min="212" max="212" width="10.28515625" bestFit="1" customWidth="1"/>
    <col min="213" max="213" width="9" bestFit="1" customWidth="1"/>
    <col min="214" max="214" width="12.5703125" bestFit="1" customWidth="1"/>
  </cols>
  <sheetData>
    <row r="1" spans="1:214" s="95" customFormat="1" ht="13.9" customHeight="1" thickTop="1" thickBot="1" x14ac:dyDescent="0.25">
      <c r="A1" s="493" t="s">
        <v>462</v>
      </c>
      <c r="B1" s="494"/>
      <c r="C1" s="495"/>
      <c r="D1" s="14" t="s">
        <v>3</v>
      </c>
      <c r="E1" s="15"/>
      <c r="F1" s="15" t="s">
        <v>460</v>
      </c>
      <c r="G1" s="16" t="s">
        <v>3</v>
      </c>
      <c r="H1" s="17"/>
      <c r="I1" s="17" t="s">
        <v>460</v>
      </c>
      <c r="J1" s="18" t="s">
        <v>3</v>
      </c>
      <c r="K1" s="19"/>
      <c r="L1" s="20" t="s">
        <v>460</v>
      </c>
      <c r="M1" s="21" t="s">
        <v>13</v>
      </c>
      <c r="N1" s="22" t="s">
        <v>14</v>
      </c>
      <c r="O1" s="22" t="s">
        <v>460</v>
      </c>
      <c r="P1" s="23" t="s">
        <v>13</v>
      </c>
      <c r="Q1" s="22" t="s">
        <v>157</v>
      </c>
      <c r="R1" s="22" t="s">
        <v>460</v>
      </c>
      <c r="S1" s="23" t="s">
        <v>13</v>
      </c>
      <c r="T1" s="22" t="s">
        <v>16</v>
      </c>
      <c r="U1" s="24" t="s">
        <v>460</v>
      </c>
      <c r="V1" s="25" t="s">
        <v>1</v>
      </c>
      <c r="W1" s="26" t="s">
        <v>2</v>
      </c>
      <c r="X1" s="26" t="s">
        <v>460</v>
      </c>
      <c r="Y1" s="27" t="s">
        <v>1</v>
      </c>
      <c r="Z1" s="26" t="s">
        <v>4</v>
      </c>
      <c r="AA1" s="28" t="s">
        <v>460</v>
      </c>
      <c r="AB1" s="29" t="s">
        <v>1</v>
      </c>
      <c r="AC1" s="30" t="s">
        <v>4</v>
      </c>
      <c r="AD1" s="31" t="s">
        <v>5</v>
      </c>
      <c r="AE1" s="30" t="s">
        <v>2</v>
      </c>
      <c r="AF1" s="30" t="s">
        <v>7</v>
      </c>
      <c r="AG1" s="31" t="s">
        <v>6</v>
      </c>
      <c r="AH1" s="32" t="s">
        <v>15</v>
      </c>
      <c r="AI1" s="33" t="s">
        <v>13</v>
      </c>
      <c r="AJ1" s="34" t="s">
        <v>14</v>
      </c>
      <c r="AK1" s="34" t="s">
        <v>460</v>
      </c>
      <c r="AL1" s="35" t="s">
        <v>13</v>
      </c>
      <c r="AM1" s="34" t="s">
        <v>157</v>
      </c>
      <c r="AN1" s="34" t="s">
        <v>460</v>
      </c>
      <c r="AO1" s="35" t="s">
        <v>13</v>
      </c>
      <c r="AP1" s="34" t="s">
        <v>16</v>
      </c>
      <c r="AQ1" s="36" t="s">
        <v>460</v>
      </c>
      <c r="AR1" s="37" t="s">
        <v>13</v>
      </c>
      <c r="AS1" s="38" t="s">
        <v>14</v>
      </c>
      <c r="AT1" s="38" t="s">
        <v>460</v>
      </c>
      <c r="AU1" s="39" t="s">
        <v>13</v>
      </c>
      <c r="AV1" s="38" t="s">
        <v>157</v>
      </c>
      <c r="AW1" s="38" t="s">
        <v>460</v>
      </c>
      <c r="AX1" s="39" t="s">
        <v>13</v>
      </c>
      <c r="AY1" s="38" t="s">
        <v>16</v>
      </c>
      <c r="AZ1" s="40" t="s">
        <v>460</v>
      </c>
      <c r="BA1" s="37" t="s">
        <v>13</v>
      </c>
      <c r="BB1" s="38" t="s">
        <v>14</v>
      </c>
      <c r="BC1" s="38" t="s">
        <v>460</v>
      </c>
      <c r="BD1" s="39" t="s">
        <v>13</v>
      </c>
      <c r="BE1" s="38" t="s">
        <v>157</v>
      </c>
      <c r="BF1" s="38" t="s">
        <v>460</v>
      </c>
      <c r="BG1" s="39" t="s">
        <v>13</v>
      </c>
      <c r="BH1" s="38" t="s">
        <v>16</v>
      </c>
      <c r="BI1" s="40" t="s">
        <v>460</v>
      </c>
      <c r="BJ1" s="37" t="s">
        <v>13</v>
      </c>
      <c r="BK1" s="38" t="s">
        <v>14</v>
      </c>
      <c r="BL1" s="38" t="s">
        <v>460</v>
      </c>
      <c r="BM1" s="39" t="s">
        <v>13</v>
      </c>
      <c r="BN1" s="38" t="s">
        <v>157</v>
      </c>
      <c r="BO1" s="38" t="s">
        <v>460</v>
      </c>
      <c r="BP1" s="39" t="s">
        <v>13</v>
      </c>
      <c r="BQ1" s="38" t="s">
        <v>16</v>
      </c>
      <c r="BR1" s="40" t="s">
        <v>460</v>
      </c>
      <c r="BS1" s="41" t="s">
        <v>8</v>
      </c>
      <c r="BT1" s="42"/>
      <c r="BU1" s="42" t="s">
        <v>460</v>
      </c>
      <c r="BV1" s="41" t="s">
        <v>8</v>
      </c>
      <c r="BW1" s="42"/>
      <c r="BX1" s="42" t="s">
        <v>460</v>
      </c>
      <c r="BY1" s="41" t="s">
        <v>434</v>
      </c>
      <c r="BZ1" s="42"/>
      <c r="CA1" s="42" t="s">
        <v>460</v>
      </c>
      <c r="CB1" s="41" t="s">
        <v>8</v>
      </c>
      <c r="CC1" s="42" t="s">
        <v>14</v>
      </c>
      <c r="CD1" s="42" t="s">
        <v>460</v>
      </c>
      <c r="CE1" s="41" t="s">
        <v>8</v>
      </c>
      <c r="CF1" s="42" t="s">
        <v>157</v>
      </c>
      <c r="CG1" s="42" t="s">
        <v>460</v>
      </c>
      <c r="CH1" s="41" t="s">
        <v>8</v>
      </c>
      <c r="CI1" s="42" t="s">
        <v>16</v>
      </c>
      <c r="CJ1" s="43" t="s">
        <v>460</v>
      </c>
      <c r="CK1" s="41" t="s">
        <v>8</v>
      </c>
      <c r="CL1" s="42" t="s">
        <v>331</v>
      </c>
      <c r="CM1" s="43" t="s">
        <v>460</v>
      </c>
      <c r="CN1" s="41" t="s">
        <v>8</v>
      </c>
      <c r="CO1" s="42" t="s">
        <v>331</v>
      </c>
      <c r="CP1" s="43" t="s">
        <v>460</v>
      </c>
      <c r="CQ1" s="41" t="s">
        <v>8</v>
      </c>
      <c r="CR1" s="42" t="s">
        <v>331</v>
      </c>
      <c r="CS1" s="43" t="s">
        <v>460</v>
      </c>
      <c r="CT1" s="44" t="s">
        <v>321</v>
      </c>
      <c r="CU1" s="45"/>
      <c r="CV1" s="46" t="s">
        <v>460</v>
      </c>
      <c r="CW1" s="47" t="s">
        <v>321</v>
      </c>
      <c r="CX1" s="48"/>
      <c r="CY1" s="48" t="s">
        <v>460</v>
      </c>
      <c r="CZ1" s="49" t="s">
        <v>9</v>
      </c>
      <c r="DA1" s="50"/>
      <c r="DB1" s="51" t="s">
        <v>460</v>
      </c>
      <c r="DC1" s="52" t="s">
        <v>9</v>
      </c>
      <c r="DD1" s="52"/>
      <c r="DE1" s="52" t="s">
        <v>460</v>
      </c>
      <c r="DF1" s="53" t="s">
        <v>9</v>
      </c>
      <c r="DG1" s="54" t="s">
        <v>10</v>
      </c>
      <c r="DH1" s="54" t="s">
        <v>460</v>
      </c>
      <c r="DI1" s="55" t="s">
        <v>9</v>
      </c>
      <c r="DJ1" s="54" t="s">
        <v>11</v>
      </c>
      <c r="DK1" s="54" t="s">
        <v>460</v>
      </c>
      <c r="DL1" s="55" t="s">
        <v>9</v>
      </c>
      <c r="DM1" s="54" t="s">
        <v>12</v>
      </c>
      <c r="DN1" s="54" t="s">
        <v>460</v>
      </c>
      <c r="DO1" s="55" t="s">
        <v>9</v>
      </c>
      <c r="DP1" s="54" t="s">
        <v>12</v>
      </c>
      <c r="DQ1" s="56" t="s">
        <v>460</v>
      </c>
      <c r="DR1" s="57" t="s">
        <v>9</v>
      </c>
      <c r="DS1" s="57"/>
      <c r="DT1" s="57" t="s">
        <v>460</v>
      </c>
      <c r="DU1" s="58" t="s">
        <v>9</v>
      </c>
      <c r="DV1" s="59" t="s">
        <v>10</v>
      </c>
      <c r="DW1" s="59" t="s">
        <v>460</v>
      </c>
      <c r="DX1" s="60" t="s">
        <v>9</v>
      </c>
      <c r="DY1" s="59" t="s">
        <v>11</v>
      </c>
      <c r="DZ1" s="59" t="s">
        <v>460</v>
      </c>
      <c r="EA1" s="60" t="s">
        <v>9</v>
      </c>
      <c r="EB1" s="59" t="s">
        <v>12</v>
      </c>
      <c r="EC1" s="59" t="s">
        <v>460</v>
      </c>
      <c r="ED1" s="60" t="s">
        <v>9</v>
      </c>
      <c r="EE1" s="59" t="s">
        <v>12</v>
      </c>
      <c r="EF1" s="61" t="s">
        <v>460</v>
      </c>
      <c r="EG1" s="62" t="s">
        <v>9</v>
      </c>
      <c r="EH1" s="62"/>
      <c r="EI1" s="62" t="s">
        <v>460</v>
      </c>
      <c r="EJ1" s="63" t="s">
        <v>9</v>
      </c>
      <c r="EK1" s="64" t="s">
        <v>10</v>
      </c>
      <c r="EL1" s="64" t="s">
        <v>460</v>
      </c>
      <c r="EM1" s="65" t="s">
        <v>9</v>
      </c>
      <c r="EN1" s="64" t="s">
        <v>11</v>
      </c>
      <c r="EO1" s="64" t="s">
        <v>460</v>
      </c>
      <c r="EP1" s="65" t="s">
        <v>9</v>
      </c>
      <c r="EQ1" s="64" t="s">
        <v>12</v>
      </c>
      <c r="ER1" s="64" t="s">
        <v>460</v>
      </c>
      <c r="ES1" s="65" t="s">
        <v>9</v>
      </c>
      <c r="ET1" s="64" t="s">
        <v>12</v>
      </c>
      <c r="EU1" s="66" t="s">
        <v>460</v>
      </c>
      <c r="EV1" s="67" t="s">
        <v>9</v>
      </c>
      <c r="EW1" s="67"/>
      <c r="EX1" s="67" t="s">
        <v>460</v>
      </c>
      <c r="EY1" s="68" t="s">
        <v>9</v>
      </c>
      <c r="EZ1" s="69" t="s">
        <v>10</v>
      </c>
      <c r="FA1" s="69" t="s">
        <v>460</v>
      </c>
      <c r="FB1" s="70" t="s">
        <v>9</v>
      </c>
      <c r="FC1" s="69" t="s">
        <v>11</v>
      </c>
      <c r="FD1" s="69" t="s">
        <v>460</v>
      </c>
      <c r="FE1" s="70" t="s">
        <v>9</v>
      </c>
      <c r="FF1" s="69" t="s">
        <v>12</v>
      </c>
      <c r="FG1" s="69" t="s">
        <v>460</v>
      </c>
      <c r="FH1" s="70" t="s">
        <v>9</v>
      </c>
      <c r="FI1" s="69" t="s">
        <v>12</v>
      </c>
      <c r="FJ1" s="71" t="s">
        <v>460</v>
      </c>
      <c r="FK1" s="72" t="s">
        <v>9</v>
      </c>
      <c r="FL1" s="73"/>
      <c r="FM1" s="74" t="s">
        <v>460</v>
      </c>
      <c r="FN1" s="75" t="s">
        <v>9</v>
      </c>
      <c r="FO1" s="76" t="s">
        <v>10</v>
      </c>
      <c r="FP1" s="76" t="s">
        <v>460</v>
      </c>
      <c r="FQ1" s="77" t="s">
        <v>9</v>
      </c>
      <c r="FR1" s="76" t="s">
        <v>11</v>
      </c>
      <c r="FS1" s="76" t="s">
        <v>460</v>
      </c>
      <c r="FT1" s="77" t="s">
        <v>9</v>
      </c>
      <c r="FU1" s="76" t="s">
        <v>12</v>
      </c>
      <c r="FV1" s="76" t="s">
        <v>460</v>
      </c>
      <c r="FW1" s="77" t="s">
        <v>9</v>
      </c>
      <c r="FX1" s="76" t="s">
        <v>12</v>
      </c>
      <c r="FY1" s="78" t="s">
        <v>460</v>
      </c>
      <c r="FZ1" s="79" t="s">
        <v>9</v>
      </c>
      <c r="GA1" s="80"/>
      <c r="GB1" s="81" t="s">
        <v>460</v>
      </c>
      <c r="GC1" s="82" t="s">
        <v>9</v>
      </c>
      <c r="GD1" s="83" t="s">
        <v>10</v>
      </c>
      <c r="GE1" s="83" t="s">
        <v>460</v>
      </c>
      <c r="GF1" s="84" t="s">
        <v>9</v>
      </c>
      <c r="GG1" s="83" t="s">
        <v>11</v>
      </c>
      <c r="GH1" s="83" t="s">
        <v>460</v>
      </c>
      <c r="GI1" s="84" t="s">
        <v>9</v>
      </c>
      <c r="GJ1" s="83" t="s">
        <v>12</v>
      </c>
      <c r="GK1" s="83" t="s">
        <v>460</v>
      </c>
      <c r="GL1" s="84" t="s">
        <v>9</v>
      </c>
      <c r="GM1" s="83" t="s">
        <v>12</v>
      </c>
      <c r="GN1" s="85" t="s">
        <v>460</v>
      </c>
      <c r="GO1" s="86" t="s">
        <v>9</v>
      </c>
      <c r="GP1" s="87"/>
      <c r="GQ1" s="88" t="s">
        <v>460</v>
      </c>
      <c r="GR1" s="89" t="s">
        <v>9</v>
      </c>
      <c r="GS1" s="90" t="s">
        <v>10</v>
      </c>
      <c r="GT1" s="90" t="s">
        <v>460</v>
      </c>
      <c r="GU1" s="91" t="s">
        <v>9</v>
      </c>
      <c r="GV1" s="90" t="s">
        <v>11</v>
      </c>
      <c r="GW1" s="90" t="s">
        <v>460</v>
      </c>
      <c r="GX1" s="91" t="s">
        <v>9</v>
      </c>
      <c r="GY1" s="90" t="s">
        <v>12</v>
      </c>
      <c r="GZ1" s="90" t="s">
        <v>460</v>
      </c>
      <c r="HA1" s="91" t="s">
        <v>9</v>
      </c>
      <c r="HB1" s="90" t="s">
        <v>12</v>
      </c>
      <c r="HC1" s="90" t="s">
        <v>460</v>
      </c>
      <c r="HD1" s="92" t="s">
        <v>17</v>
      </c>
      <c r="HE1" s="93" t="s">
        <v>460</v>
      </c>
      <c r="HF1" s="94" t="s">
        <v>18</v>
      </c>
    </row>
    <row r="2" spans="1:214" s="95" customFormat="1" ht="13.5" thickTop="1" x14ac:dyDescent="0.2">
      <c r="A2" s="423" t="s">
        <v>243</v>
      </c>
      <c r="B2" s="424">
        <v>6.8000000000000005E-2</v>
      </c>
      <c r="C2" s="425"/>
      <c r="D2" s="97" t="s">
        <v>19</v>
      </c>
      <c r="E2" s="97" t="s">
        <v>17</v>
      </c>
      <c r="F2" s="97" t="s">
        <v>20</v>
      </c>
      <c r="G2" s="98" t="s">
        <v>21</v>
      </c>
      <c r="H2" s="99" t="s">
        <v>17</v>
      </c>
      <c r="I2" s="99" t="s">
        <v>22</v>
      </c>
      <c r="J2" s="100" t="s">
        <v>11</v>
      </c>
      <c r="K2" s="101" t="s">
        <v>17</v>
      </c>
      <c r="L2" s="102" t="s">
        <v>23</v>
      </c>
      <c r="M2" s="103" t="s">
        <v>33</v>
      </c>
      <c r="N2" s="104" t="s">
        <v>34</v>
      </c>
      <c r="O2" s="105" t="s">
        <v>23</v>
      </c>
      <c r="P2" s="106" t="s">
        <v>33</v>
      </c>
      <c r="Q2" s="104" t="s">
        <v>34</v>
      </c>
      <c r="R2" s="105" t="s">
        <v>23</v>
      </c>
      <c r="S2" s="106" t="s">
        <v>33</v>
      </c>
      <c r="T2" s="104" t="s">
        <v>34</v>
      </c>
      <c r="U2" s="107" t="s">
        <v>23</v>
      </c>
      <c r="V2" s="108" t="s">
        <v>19</v>
      </c>
      <c r="W2" s="109" t="s">
        <v>17</v>
      </c>
      <c r="X2" s="109" t="s">
        <v>20</v>
      </c>
      <c r="Y2" s="110" t="s">
        <v>19</v>
      </c>
      <c r="Z2" s="109" t="s">
        <v>17</v>
      </c>
      <c r="AA2" s="111" t="s">
        <v>20</v>
      </c>
      <c r="AB2" s="112" t="s">
        <v>11</v>
      </c>
      <c r="AC2" s="113" t="s">
        <v>17</v>
      </c>
      <c r="AD2" s="114" t="s">
        <v>17</v>
      </c>
      <c r="AE2" s="113" t="s">
        <v>17</v>
      </c>
      <c r="AF2" s="113" t="s">
        <v>17</v>
      </c>
      <c r="AG2" s="114" t="s">
        <v>17</v>
      </c>
      <c r="AH2" s="115" t="s">
        <v>23</v>
      </c>
      <c r="AI2" s="116" t="s">
        <v>5</v>
      </c>
      <c r="AJ2" s="117" t="s">
        <v>35</v>
      </c>
      <c r="AK2" s="118" t="s">
        <v>23</v>
      </c>
      <c r="AL2" s="119" t="s">
        <v>5</v>
      </c>
      <c r="AM2" s="117" t="s">
        <v>35</v>
      </c>
      <c r="AN2" s="118" t="s">
        <v>23</v>
      </c>
      <c r="AO2" s="119" t="s">
        <v>5</v>
      </c>
      <c r="AP2" s="117" t="s">
        <v>35</v>
      </c>
      <c r="AQ2" s="120" t="s">
        <v>23</v>
      </c>
      <c r="AR2" s="121" t="s">
        <v>2</v>
      </c>
      <c r="AS2" s="122" t="s">
        <v>35</v>
      </c>
      <c r="AT2" s="123" t="s">
        <v>23</v>
      </c>
      <c r="AU2" s="124" t="s">
        <v>2</v>
      </c>
      <c r="AV2" s="122" t="s">
        <v>35</v>
      </c>
      <c r="AW2" s="123" t="s">
        <v>23</v>
      </c>
      <c r="AX2" s="124" t="s">
        <v>2</v>
      </c>
      <c r="AY2" s="122" t="s">
        <v>35</v>
      </c>
      <c r="AZ2" s="125" t="s">
        <v>23</v>
      </c>
      <c r="BA2" s="121" t="s">
        <v>4</v>
      </c>
      <c r="BB2" s="122" t="s">
        <v>35</v>
      </c>
      <c r="BC2" s="123" t="s">
        <v>23</v>
      </c>
      <c r="BD2" s="124" t="s">
        <v>4</v>
      </c>
      <c r="BE2" s="122" t="s">
        <v>35</v>
      </c>
      <c r="BF2" s="123" t="s">
        <v>23</v>
      </c>
      <c r="BG2" s="124" t="s">
        <v>4</v>
      </c>
      <c r="BH2" s="122" t="s">
        <v>35</v>
      </c>
      <c r="BI2" s="125" t="s">
        <v>23</v>
      </c>
      <c r="BJ2" s="121" t="s">
        <v>239</v>
      </c>
      <c r="BK2" s="122" t="s">
        <v>35</v>
      </c>
      <c r="BL2" s="123" t="s">
        <v>23</v>
      </c>
      <c r="BM2" s="124" t="s">
        <v>239</v>
      </c>
      <c r="BN2" s="122" t="s">
        <v>35</v>
      </c>
      <c r="BO2" s="123" t="s">
        <v>23</v>
      </c>
      <c r="BP2" s="124" t="s">
        <v>239</v>
      </c>
      <c r="BQ2" s="122" t="s">
        <v>35</v>
      </c>
      <c r="BR2" s="125" t="s">
        <v>23</v>
      </c>
      <c r="BS2" s="126" t="s">
        <v>19</v>
      </c>
      <c r="BT2" s="127" t="s">
        <v>17</v>
      </c>
      <c r="BU2" s="128" t="s">
        <v>20</v>
      </c>
      <c r="BV2" s="126" t="s">
        <v>24</v>
      </c>
      <c r="BW2" s="127" t="s">
        <v>17</v>
      </c>
      <c r="BX2" s="128" t="s">
        <v>22</v>
      </c>
      <c r="BY2" s="126" t="s">
        <v>11</v>
      </c>
      <c r="BZ2" s="127" t="s">
        <v>17</v>
      </c>
      <c r="CA2" s="128" t="s">
        <v>23</v>
      </c>
      <c r="CB2" s="126" t="s">
        <v>33</v>
      </c>
      <c r="CC2" s="127" t="s">
        <v>13</v>
      </c>
      <c r="CD2" s="128" t="s">
        <v>23</v>
      </c>
      <c r="CE2" s="126" t="s">
        <v>33</v>
      </c>
      <c r="CF2" s="127" t="s">
        <v>13</v>
      </c>
      <c r="CG2" s="128" t="s">
        <v>23</v>
      </c>
      <c r="CH2" s="126" t="s">
        <v>33</v>
      </c>
      <c r="CI2" s="127" t="s">
        <v>13</v>
      </c>
      <c r="CJ2" s="129" t="s">
        <v>23</v>
      </c>
      <c r="CK2" s="126" t="s">
        <v>333</v>
      </c>
      <c r="CL2" s="127"/>
      <c r="CM2" s="129" t="s">
        <v>23</v>
      </c>
      <c r="CN2" s="126" t="s">
        <v>11</v>
      </c>
      <c r="CO2" s="127"/>
      <c r="CP2" s="129" t="s">
        <v>23</v>
      </c>
      <c r="CQ2" s="126" t="s">
        <v>10</v>
      </c>
      <c r="CR2" s="127"/>
      <c r="CS2" s="129" t="s">
        <v>23</v>
      </c>
      <c r="CT2" s="130" t="s">
        <v>11</v>
      </c>
      <c r="CU2" s="131" t="s">
        <v>17</v>
      </c>
      <c r="CV2" s="132" t="s">
        <v>23</v>
      </c>
      <c r="CW2" s="133" t="s">
        <v>19</v>
      </c>
      <c r="CX2" s="134" t="s">
        <v>17</v>
      </c>
      <c r="CY2" s="134" t="s">
        <v>20</v>
      </c>
      <c r="CZ2" s="135" t="s">
        <v>21</v>
      </c>
      <c r="DA2" s="136" t="s">
        <v>17</v>
      </c>
      <c r="DB2" s="137" t="s">
        <v>26</v>
      </c>
      <c r="DC2" s="138" t="s">
        <v>27</v>
      </c>
      <c r="DD2" s="138" t="s">
        <v>17</v>
      </c>
      <c r="DE2" s="138" t="s">
        <v>26</v>
      </c>
      <c r="DF2" s="139" t="s">
        <v>27</v>
      </c>
      <c r="DG2" s="140" t="s">
        <v>17</v>
      </c>
      <c r="DH2" s="140" t="s">
        <v>30</v>
      </c>
      <c r="DI2" s="141" t="s">
        <v>27</v>
      </c>
      <c r="DJ2" s="140" t="s">
        <v>17</v>
      </c>
      <c r="DK2" s="140" t="s">
        <v>30</v>
      </c>
      <c r="DL2" s="141" t="s">
        <v>27</v>
      </c>
      <c r="DM2" s="140" t="s">
        <v>31</v>
      </c>
      <c r="DN2" s="140" t="s">
        <v>30</v>
      </c>
      <c r="DO2" s="141" t="s">
        <v>27</v>
      </c>
      <c r="DP2" s="140" t="s">
        <v>32</v>
      </c>
      <c r="DQ2" s="142" t="s">
        <v>30</v>
      </c>
      <c r="DR2" s="143" t="s">
        <v>28</v>
      </c>
      <c r="DS2" s="143" t="s">
        <v>17</v>
      </c>
      <c r="DT2" s="143" t="s">
        <v>26</v>
      </c>
      <c r="DU2" s="144" t="s">
        <v>28</v>
      </c>
      <c r="DV2" s="145" t="s">
        <v>17</v>
      </c>
      <c r="DW2" s="145" t="s">
        <v>30</v>
      </c>
      <c r="DX2" s="146" t="s">
        <v>28</v>
      </c>
      <c r="DY2" s="145" t="s">
        <v>17</v>
      </c>
      <c r="DZ2" s="145" t="s">
        <v>30</v>
      </c>
      <c r="EA2" s="146" t="s">
        <v>28</v>
      </c>
      <c r="EB2" s="145" t="s">
        <v>31</v>
      </c>
      <c r="EC2" s="145" t="s">
        <v>30</v>
      </c>
      <c r="ED2" s="146" t="s">
        <v>28</v>
      </c>
      <c r="EE2" s="145" t="s">
        <v>32</v>
      </c>
      <c r="EF2" s="147" t="s">
        <v>30</v>
      </c>
      <c r="EG2" s="148" t="s">
        <v>29</v>
      </c>
      <c r="EH2" s="148" t="s">
        <v>17</v>
      </c>
      <c r="EI2" s="148" t="s">
        <v>26</v>
      </c>
      <c r="EJ2" s="149" t="s">
        <v>29</v>
      </c>
      <c r="EK2" s="150" t="s">
        <v>17</v>
      </c>
      <c r="EL2" s="150" t="s">
        <v>30</v>
      </c>
      <c r="EM2" s="151" t="s">
        <v>29</v>
      </c>
      <c r="EN2" s="150" t="s">
        <v>17</v>
      </c>
      <c r="EO2" s="150" t="s">
        <v>30</v>
      </c>
      <c r="EP2" s="151" t="s">
        <v>29</v>
      </c>
      <c r="EQ2" s="150" t="s">
        <v>31</v>
      </c>
      <c r="ER2" s="150" t="s">
        <v>30</v>
      </c>
      <c r="ES2" s="151" t="s">
        <v>29</v>
      </c>
      <c r="ET2" s="150" t="s">
        <v>32</v>
      </c>
      <c r="EU2" s="152" t="s">
        <v>30</v>
      </c>
      <c r="EV2" s="153" t="s">
        <v>249</v>
      </c>
      <c r="EW2" s="153" t="s">
        <v>17</v>
      </c>
      <c r="EX2" s="153" t="s">
        <v>26</v>
      </c>
      <c r="EY2" s="154" t="s">
        <v>249</v>
      </c>
      <c r="EZ2" s="155" t="s">
        <v>17</v>
      </c>
      <c r="FA2" s="155" t="s">
        <v>30</v>
      </c>
      <c r="FB2" s="156" t="s">
        <v>249</v>
      </c>
      <c r="FC2" s="155" t="s">
        <v>17</v>
      </c>
      <c r="FD2" s="155" t="s">
        <v>30</v>
      </c>
      <c r="FE2" s="156" t="s">
        <v>249</v>
      </c>
      <c r="FF2" s="155" t="s">
        <v>31</v>
      </c>
      <c r="FG2" s="155" t="s">
        <v>30</v>
      </c>
      <c r="FH2" s="156" t="s">
        <v>249</v>
      </c>
      <c r="FI2" s="155" t="s">
        <v>32</v>
      </c>
      <c r="FJ2" s="157" t="s">
        <v>30</v>
      </c>
      <c r="FK2" s="158" t="s">
        <v>166</v>
      </c>
      <c r="FL2" s="159" t="s">
        <v>17</v>
      </c>
      <c r="FM2" s="160" t="s">
        <v>26</v>
      </c>
      <c r="FN2" s="161" t="s">
        <v>166</v>
      </c>
      <c r="FO2" s="162" t="s">
        <v>17</v>
      </c>
      <c r="FP2" s="162" t="s">
        <v>30</v>
      </c>
      <c r="FQ2" s="163" t="s">
        <v>166</v>
      </c>
      <c r="FR2" s="162" t="s">
        <v>17</v>
      </c>
      <c r="FS2" s="162" t="s">
        <v>30</v>
      </c>
      <c r="FT2" s="163" t="s">
        <v>166</v>
      </c>
      <c r="FU2" s="162" t="s">
        <v>31</v>
      </c>
      <c r="FV2" s="162" t="s">
        <v>30</v>
      </c>
      <c r="FW2" s="163" t="s">
        <v>166</v>
      </c>
      <c r="FX2" s="162" t="s">
        <v>32</v>
      </c>
      <c r="FY2" s="164" t="s">
        <v>30</v>
      </c>
      <c r="FZ2" s="165" t="s">
        <v>250</v>
      </c>
      <c r="GA2" s="166" t="s">
        <v>17</v>
      </c>
      <c r="GB2" s="167" t="s">
        <v>26</v>
      </c>
      <c r="GC2" s="168" t="s">
        <v>250</v>
      </c>
      <c r="GD2" s="169" t="s">
        <v>17</v>
      </c>
      <c r="GE2" s="169" t="s">
        <v>30</v>
      </c>
      <c r="GF2" s="170" t="s">
        <v>250</v>
      </c>
      <c r="GG2" s="169" t="s">
        <v>17</v>
      </c>
      <c r="GH2" s="169" t="s">
        <v>30</v>
      </c>
      <c r="GI2" s="170" t="s">
        <v>250</v>
      </c>
      <c r="GJ2" s="169" t="s">
        <v>31</v>
      </c>
      <c r="GK2" s="169" t="s">
        <v>30</v>
      </c>
      <c r="GL2" s="170" t="s">
        <v>250</v>
      </c>
      <c r="GM2" s="169" t="s">
        <v>32</v>
      </c>
      <c r="GN2" s="171" t="s">
        <v>30</v>
      </c>
      <c r="GO2" s="172" t="s">
        <v>251</v>
      </c>
      <c r="GP2" s="173" t="s">
        <v>17</v>
      </c>
      <c r="GQ2" s="174" t="s">
        <v>26</v>
      </c>
      <c r="GR2" s="175" t="s">
        <v>251</v>
      </c>
      <c r="GS2" s="176" t="s">
        <v>17</v>
      </c>
      <c r="GT2" s="176" t="s">
        <v>30</v>
      </c>
      <c r="GU2" s="177" t="s">
        <v>251</v>
      </c>
      <c r="GV2" s="176" t="s">
        <v>17</v>
      </c>
      <c r="GW2" s="176" t="s">
        <v>30</v>
      </c>
      <c r="GX2" s="177" t="s">
        <v>251</v>
      </c>
      <c r="GY2" s="176" t="s">
        <v>31</v>
      </c>
      <c r="GZ2" s="176" t="s">
        <v>30</v>
      </c>
      <c r="HA2" s="177" t="s">
        <v>251</v>
      </c>
      <c r="HB2" s="176" t="s">
        <v>32</v>
      </c>
      <c r="HC2" s="176" t="s">
        <v>30</v>
      </c>
      <c r="HD2" s="178" t="s">
        <v>23</v>
      </c>
      <c r="HE2" s="179" t="s">
        <v>34</v>
      </c>
      <c r="HF2" s="180" t="s">
        <v>36</v>
      </c>
    </row>
    <row r="3" spans="1:214" s="95" customFormat="1" ht="13.5" thickBot="1" x14ac:dyDescent="0.25">
      <c r="A3" s="426" t="s">
        <v>113</v>
      </c>
      <c r="B3" s="427">
        <v>0.75600000000000001</v>
      </c>
      <c r="C3" s="428"/>
      <c r="D3" s="97" t="s">
        <v>37</v>
      </c>
      <c r="E3" s="181">
        <f>1/((1/E20)+(1/E21))</f>
        <v>0.7853556686477281</v>
      </c>
      <c r="F3" s="182"/>
      <c r="G3" s="98"/>
      <c r="H3" s="181" t="e">
        <f>1/((1/H10)+(1/H11)+(1/H12)+(1/H13))</f>
        <v>#DIV/0!</v>
      </c>
      <c r="I3" s="183"/>
      <c r="J3" s="100"/>
      <c r="K3" s="181" t="e">
        <f>1/((1/K14)+(1/K15)+(1/K16+(1/K17)))</f>
        <v>#DIV/0!</v>
      </c>
      <c r="L3" s="184"/>
      <c r="M3" s="103" t="s">
        <v>39</v>
      </c>
      <c r="N3" s="185">
        <f>(N5*N6*N7)/((1-EXP(-N7*N6))*N10*N15*(N9/365)*N13*(((N14/24)*N12)+((N16/24)*N11)))</f>
        <v>245.83999607819533</v>
      </c>
      <c r="O3" s="105"/>
      <c r="P3" s="106" t="s">
        <v>39</v>
      </c>
      <c r="Q3" s="185">
        <f>(Q5*Q6*Q7)/((1-EXP(-Q7*Q6))*Q10*Q15*(Q9/365)*Q13*(((Q14/24)*Q12)+((Q16/24)*Q11)))</f>
        <v>2481713.5967014916</v>
      </c>
      <c r="R3" s="105"/>
      <c r="S3" s="106" t="s">
        <v>39</v>
      </c>
      <c r="T3" s="185">
        <f>(T5*T6*T7)/((1-EXP(-T7*T6))*T10*T15*(T9/365)*T13*(((T14/24)*T12)+((T16/24)*T11)))</f>
        <v>313.48534053323328</v>
      </c>
      <c r="U3" s="107"/>
      <c r="V3" s="108" t="s">
        <v>38</v>
      </c>
      <c r="W3" s="186">
        <f>1/((1/W18)+(1/W19))</f>
        <v>2217.5615672227723</v>
      </c>
      <c r="X3" s="187"/>
      <c r="Y3" s="188" t="s">
        <v>38</v>
      </c>
      <c r="Z3" s="186">
        <f>1/((1/Z18)+(1/Z19))</f>
        <v>1569.6665987709785</v>
      </c>
      <c r="AA3" s="189"/>
      <c r="AB3" s="112"/>
      <c r="AC3" s="434">
        <f>1/(((1/AC38)+(1/AC39)))</f>
        <v>1329.3589380631786</v>
      </c>
      <c r="AD3" s="434">
        <f>1/(((1/AD38)+(1/AD39)))</f>
        <v>217.29917920776182</v>
      </c>
      <c r="AE3" s="434">
        <f>1/(((1/AE38)+(1/AE39)))</f>
        <v>1278.2297481376722</v>
      </c>
      <c r="AF3" s="434">
        <f>1/(((1/AF38)+(1/AF39)))</f>
        <v>1276.7383893264118</v>
      </c>
      <c r="AG3" s="434">
        <f>1/(((1/AG38)+(1/AG39)))</f>
        <v>1278.1985421977895</v>
      </c>
      <c r="AH3" s="192"/>
      <c r="AI3" s="116" t="s">
        <v>39</v>
      </c>
      <c r="AJ3" s="193">
        <f>(AJ5*AJ6*AJ7)/((1-EXP(-AJ7*AJ6))*AJ10*AJ15*(AJ9/365)*AJ13*((AJ14*AJ12)+((AJ16/24)*AJ11)))</f>
        <v>217.29920173349728</v>
      </c>
      <c r="AK3" s="118"/>
      <c r="AL3" s="119" t="s">
        <v>39</v>
      </c>
      <c r="AM3" s="193">
        <f>(AM5*AM6*AM7)/((1-EXP(-AM7*AM6))*AM10*AM15*(AM9/365)*AM13*((AM14*AM12)+((AM16/24)*AM11)))</f>
        <v>2175836.1677614101</v>
      </c>
      <c r="AN3" s="118"/>
      <c r="AO3" s="119" t="s">
        <v>39</v>
      </c>
      <c r="AP3" s="193">
        <f>(AP5*AP6*AP7)/((1-EXP(-AP7*AP6))*AP10*AP15*(AP9/365)*AP13*((AP14*AP12)+((AP16/24)*AP11)))</f>
        <v>276.39416498370963</v>
      </c>
      <c r="AQ3" s="120"/>
      <c r="AR3" s="121" t="s">
        <v>39</v>
      </c>
      <c r="AS3" s="194">
        <f>(AS5*AS6*AS7)/((1-EXP(-AS7*AS6))*AS10*AS15*(AS9/365)*AS13*(((AS14/24)*AS12)+(AS16*AS11)))</f>
        <v>1329.3598223696301</v>
      </c>
      <c r="AT3" s="123"/>
      <c r="AU3" s="124" t="s">
        <v>39</v>
      </c>
      <c r="AV3" s="194">
        <f>(AV5*AV6*AV7)/((1-EXP(-AV7*AV6))*AV10*AV15*(AV9/365)*AV13*(((AV14/24)*AV12)+(AV16*AV11)))</f>
        <v>24397516.058995865</v>
      </c>
      <c r="AW3" s="123"/>
      <c r="AX3" s="124" t="s">
        <v>39</v>
      </c>
      <c r="AY3" s="194">
        <f>(AY5*AY6*AY7)/((1-EXP(-AY7*AY6))*AY10*AY15*(AY9/365)*AY13*(((AY14/24)*AY12)+(AY16*AY11)))</f>
        <v>1968.835147829164</v>
      </c>
      <c r="AZ3" s="125"/>
      <c r="BA3" s="121" t="s">
        <v>39</v>
      </c>
      <c r="BB3" s="194">
        <f>(BB5*BB6*BB7)/((1-EXP(-BB7*BB6))*BB10*BB15*(BB9/365)*BB13*(((BB14/24)*BB12)+(BB16*BB11)))</f>
        <v>1329.3598223696301</v>
      </c>
      <c r="BC3" s="123"/>
      <c r="BD3" s="124" t="s">
        <v>39</v>
      </c>
      <c r="BE3" s="194">
        <f>(BE5*BE6*BE7)/((1-EXP(-BE7*BE6))*BE10*BE15*(BE9/365)*BE13*(((BE14/24)*BE12)+(BE16*BE11)))</f>
        <v>24397516.058995865</v>
      </c>
      <c r="BF3" s="123"/>
      <c r="BG3" s="124" t="s">
        <v>39</v>
      </c>
      <c r="BH3" s="194">
        <f>(BH5*BH6*BH7)/((1-EXP(-BH7*BH6))*BH10*BH15*(BH9/365)*BH13*(((BH14/24)*BH12)+(BH16*BH11)))</f>
        <v>1968.835147829164</v>
      </c>
      <c r="BI3" s="125"/>
      <c r="BJ3" s="121" t="s">
        <v>39</v>
      </c>
      <c r="BK3" s="194">
        <f>(BK5*BK6*BK7)/((1-EXP(-BK7*BK6))*BK12*BK16*(BK9/365)*BK14*BK15*BK13)</f>
        <v>664.67991118481518</v>
      </c>
      <c r="BL3" s="123"/>
      <c r="BM3" s="124" t="s">
        <v>39</v>
      </c>
      <c r="BN3" s="194">
        <f>(BN5*BN6*BN7)/((1-EXP(-BN7*BN6))*BN12*BN16*(BN9/365)*BN14*BN15*BN13)</f>
        <v>12198758.029497936</v>
      </c>
      <c r="BO3" s="123"/>
      <c r="BP3" s="124" t="s">
        <v>39</v>
      </c>
      <c r="BQ3" s="194">
        <f>(BQ5*BQ6*BQ7)/((1-EXP(-BQ7*BQ6))*BQ12*BQ16*(BQ9/365)*BQ14*BQ15*BQ13)</f>
        <v>984.41757391458236</v>
      </c>
      <c r="BR3" s="125"/>
      <c r="BS3" s="126" t="s">
        <v>37</v>
      </c>
      <c r="BT3" s="195">
        <f>1/((1/BT21)+(1/BT22))</f>
        <v>87.959834888545558</v>
      </c>
      <c r="BU3" s="128"/>
      <c r="BV3" s="126"/>
      <c r="BW3" s="195" t="e">
        <f>1/((1/BW10)+(1/BW12))</f>
        <v>#DIV/0!</v>
      </c>
      <c r="BX3" s="128"/>
      <c r="BY3" s="126"/>
      <c r="BZ3" s="195" t="e">
        <f>1/((1/BZ13)+(1/BZ14)+(1/BZ15))</f>
        <v>#DIV/0!</v>
      </c>
      <c r="CA3" s="128"/>
      <c r="CB3" s="126" t="s">
        <v>39</v>
      </c>
      <c r="CC3" s="195">
        <f>(CC5*CC6*CC7)/((1-EXP(-CC7*CC6))*CC10*CC14*(CC9/365)*CC12*(CC13/24)*CC11)</f>
        <v>8308.498889810191</v>
      </c>
      <c r="CD3" s="128"/>
      <c r="CE3" s="126" t="s">
        <v>39</v>
      </c>
      <c r="CF3" s="195">
        <f>(CF5*CF6*CF7)/((1-EXP(-CF7*CF6))*CF10*CF14*(CF9/365)*CF12*(CF13/24)*CF11)</f>
        <v>152484475.3687242</v>
      </c>
      <c r="CG3" s="128"/>
      <c r="CH3" s="126" t="s">
        <v>39</v>
      </c>
      <c r="CI3" s="195">
        <f>(CI5*CI6*CI7)/((1-EXP(-CI7*CI6))*CI10*CI14*(CI9/365)*CI12*(CI13/24)*CI11)</f>
        <v>12305.219673932277</v>
      </c>
      <c r="CJ3" s="129"/>
      <c r="CK3" s="126" t="s">
        <v>17</v>
      </c>
      <c r="CL3" s="195" t="e">
        <f>CL5/(CL6*CL7*CL8*CL9)</f>
        <v>#DIV/0!</v>
      </c>
      <c r="CM3" s="129"/>
      <c r="CN3" s="126" t="s">
        <v>17</v>
      </c>
      <c r="CO3" s="195" t="e">
        <f>CL3/(CO5*((CO10*CO12*CO13*(CO6+CO7))+(CO11*CO12)))</f>
        <v>#DIV/0!</v>
      </c>
      <c r="CP3" s="129"/>
      <c r="CQ3" s="126" t="s">
        <v>17</v>
      </c>
      <c r="CR3" s="195" t="e">
        <f>CL3/(CR5*CR6*(1/CR7))</f>
        <v>#DIV/0!</v>
      </c>
      <c r="CS3" s="129"/>
      <c r="CT3" s="130"/>
      <c r="CU3" s="196" t="e">
        <f>1/((1/CU14)+(1/CU15)+(1/CU16+(1/CU17)))</f>
        <v>#DIV/0!</v>
      </c>
      <c r="CV3" s="197"/>
      <c r="CW3" s="133" t="s">
        <v>37</v>
      </c>
      <c r="CX3" s="198">
        <f>1/((1/CX20)+(1/CX21))</f>
        <v>2.108705806364767</v>
      </c>
      <c r="CY3" s="199"/>
      <c r="CZ3" s="200"/>
      <c r="DA3" s="201" t="e">
        <f>1/((1/DA13)+(1/DA14)+(1/DA15)+(1/DA16))</f>
        <v>#DIV/0!</v>
      </c>
      <c r="DB3" s="202"/>
      <c r="DC3" s="138"/>
      <c r="DD3" s="203" t="e">
        <f>DD7</f>
        <v>#DIV/0!</v>
      </c>
      <c r="DE3" s="204" t="s">
        <v>421</v>
      </c>
      <c r="DF3" s="139"/>
      <c r="DG3" s="205" t="e">
        <f>DD7/((1/DG24)*(DG5+DG6+DG7))</f>
        <v>#DIV/0!</v>
      </c>
      <c r="DH3" s="206" t="s">
        <v>421</v>
      </c>
      <c r="DI3" s="141"/>
      <c r="DJ3" s="205" t="e">
        <f>DD7/(DJ5+DJ6)</f>
        <v>#DIV/0!</v>
      </c>
      <c r="DK3" s="206" t="s">
        <v>421</v>
      </c>
      <c r="DL3" s="141"/>
      <c r="DM3" s="205" t="e">
        <f>(DD7)/(DM5+DM6)</f>
        <v>#DIV/0!</v>
      </c>
      <c r="DN3" s="206"/>
      <c r="DO3" s="141"/>
      <c r="DP3" s="205">
        <f>-(DP5+DP6+DP7)/(DP23+DP24)</f>
        <v>-49.755719687869203</v>
      </c>
      <c r="DQ3" s="207"/>
      <c r="DR3" s="143"/>
      <c r="DS3" s="208" t="e">
        <f>DS7</f>
        <v>#DIV/0!</v>
      </c>
      <c r="DT3" s="209" t="s">
        <v>421</v>
      </c>
      <c r="DU3" s="144"/>
      <c r="DV3" s="210" t="e">
        <f>DS7/(DV5*DV6)</f>
        <v>#DIV/0!</v>
      </c>
      <c r="DW3" s="211"/>
      <c r="DX3" s="146"/>
      <c r="DY3" s="210" t="e">
        <f>DS7/(DY9*((DY10*DY12*DY13*(DY5+DY6))+(DY11*DY12)))</f>
        <v>#DIV/0!</v>
      </c>
      <c r="DZ3" s="211" t="s">
        <v>421</v>
      </c>
      <c r="EA3" s="146"/>
      <c r="EB3" s="210" t="e">
        <f>DS7/(EB9*((EB10*EB12*EB13*(EB5+EB6))+(EB11*EB12)))</f>
        <v>#DIV/0!</v>
      </c>
      <c r="EC3" s="211"/>
      <c r="ED3" s="146"/>
      <c r="EE3" s="210">
        <f>-EE15/((EE10*EE12*EE13*(EE5+EE6))+(EE11*EE12))</f>
        <v>-19.848975188781015</v>
      </c>
      <c r="EF3" s="212"/>
      <c r="EG3" s="148"/>
      <c r="EH3" s="213" t="e">
        <f>EH7</f>
        <v>#DIV/0!</v>
      </c>
      <c r="EI3" s="214" t="s">
        <v>421</v>
      </c>
      <c r="EJ3" s="149"/>
      <c r="EK3" s="215" t="e">
        <f>EH7/(EK5*EK6)</f>
        <v>#DIV/0!</v>
      </c>
      <c r="EL3" s="216"/>
      <c r="EM3" s="151"/>
      <c r="EN3" s="215" t="e">
        <f>EH7/(EN9*((EN10*EN12*EN13*(EN5+EN6))+(EN11*EN12)))</f>
        <v>#DIV/0!</v>
      </c>
      <c r="EO3" s="216" t="s">
        <v>421</v>
      </c>
      <c r="EP3" s="151"/>
      <c r="EQ3" s="215" t="e">
        <f>EH7/(EQ9*((EQ10*EQ12*EQ13*(EQ5+EQ6))+(EQ11*EQ12)))</f>
        <v>#DIV/0!</v>
      </c>
      <c r="ER3" s="216"/>
      <c r="ES3" s="151"/>
      <c r="ET3" s="215">
        <f>-ET15/((ET10*ET12*ET13*(ET5+ET6))+(ET11*ET12))</f>
        <v>-15.9039759939985</v>
      </c>
      <c r="EU3" s="217"/>
      <c r="EV3" s="218"/>
      <c r="EW3" s="219" t="e">
        <f>EW7</f>
        <v>#DIV/0!</v>
      </c>
      <c r="EX3" s="218" t="s">
        <v>421</v>
      </c>
      <c r="EY3" s="220"/>
      <c r="EZ3" s="221" t="e">
        <f>EW7/(EZ5*EZ6*(1/EZ7))</f>
        <v>#DIV/0!</v>
      </c>
      <c r="FA3" s="221"/>
      <c r="FB3" s="222"/>
      <c r="FC3" s="221" t="e">
        <f>EW7/(FC9*((FC10*FC12*FC13*(FC5+FC6))+(FC11*FC12)))</f>
        <v>#DIV/0!</v>
      </c>
      <c r="FD3" s="223" t="s">
        <v>421</v>
      </c>
      <c r="FE3" s="224"/>
      <c r="FF3" s="221" t="e">
        <f>EW7/(FF9*(FF10*FF12*FF13*(FF5*FF6))+(FF11*FF12))</f>
        <v>#DIV/0!</v>
      </c>
      <c r="FG3" s="221"/>
      <c r="FH3" s="222"/>
      <c r="FI3" s="221">
        <f>FI15/((FI10*FI12*FI13*(FI5+FI6))+(FI11*FI12))</f>
        <v>5.5555555555555554</v>
      </c>
      <c r="FJ3" s="225"/>
      <c r="FK3" s="226"/>
      <c r="FL3" s="227" t="e">
        <f>FL7</f>
        <v>#DIV/0!</v>
      </c>
      <c r="FM3" s="228"/>
      <c r="FN3" s="229"/>
      <c r="FO3" s="230" t="e">
        <f>FL7/(FR5*(1/FO7))</f>
        <v>#DIV/0!</v>
      </c>
      <c r="FP3" s="230"/>
      <c r="FQ3" s="231"/>
      <c r="FR3" s="230" t="e">
        <f>(FL7*FR6)/FR5</f>
        <v>#DIV/0!</v>
      </c>
      <c r="FS3" s="230"/>
      <c r="FT3" s="231"/>
      <c r="FU3" s="230" t="e">
        <f>(FL7*FU15)/FU14</f>
        <v>#DIV/0!</v>
      </c>
      <c r="FV3" s="230"/>
      <c r="FW3" s="231"/>
      <c r="FX3" s="230">
        <f>-FX29/FX30</f>
        <v>-8.199999999999999E-3</v>
      </c>
      <c r="FY3" s="232"/>
      <c r="FZ3" s="233"/>
      <c r="GA3" s="234" t="e">
        <f>GA7</f>
        <v>#DIV/0!</v>
      </c>
      <c r="GB3" s="235" t="s">
        <v>421</v>
      </c>
      <c r="GC3" s="236"/>
      <c r="GD3" s="237" t="e">
        <f>FL7/(GD5*GD6*(1/GD7))</f>
        <v>#DIV/0!</v>
      </c>
      <c r="GE3" s="237"/>
      <c r="GF3" s="238"/>
      <c r="GG3" s="237" t="e">
        <f>GA7/((GG9)*((GG10*GG12*GG13*(GG5+GG6))+(GG11*GG12)))</f>
        <v>#DIV/0!</v>
      </c>
      <c r="GH3" s="237" t="s">
        <v>421</v>
      </c>
      <c r="GI3" s="238"/>
      <c r="GJ3" s="237" t="e">
        <f>FL7/(GJ9*(GJ10*GJ12*GJ13*(GJ5*GJ6))+(GJ11*GJ12))</f>
        <v>#DIV/0!</v>
      </c>
      <c r="GK3" s="237"/>
      <c r="GL3" s="238"/>
      <c r="GM3" s="237">
        <f>GM15/((GM10*GM12*GM13*(GM5+GM6))+(GM11*GM12))</f>
        <v>5.5555555555555554</v>
      </c>
      <c r="GN3" s="239"/>
      <c r="GO3" s="240"/>
      <c r="GP3" s="241" t="e">
        <f>GP7</f>
        <v>#DIV/0!</v>
      </c>
      <c r="GQ3" s="242" t="s">
        <v>421</v>
      </c>
      <c r="GR3" s="243"/>
      <c r="GS3" s="244" t="e">
        <f>GP7/(GS5*GS6*(1/GS7))</f>
        <v>#DIV/0!</v>
      </c>
      <c r="GT3" s="244"/>
      <c r="GU3" s="245"/>
      <c r="GV3" s="244" t="e">
        <f>GP7/((GV9)*((GV10*GV12*GV13*(GV5+GV6))+(GV11*GV12)))</f>
        <v>#DIV/0!</v>
      </c>
      <c r="GW3" s="244" t="s">
        <v>421</v>
      </c>
      <c r="GX3" s="245"/>
      <c r="GY3" s="244" t="e">
        <f>GP7/((GY9*((GY10*GY12*GY13*(GY5+GY6))+(GY11*GY12))))</f>
        <v>#DIV/0!</v>
      </c>
      <c r="GZ3" s="244"/>
      <c r="HA3" s="245"/>
      <c r="HB3" s="244" t="e">
        <f>GP7/((HB10*HB12*HB13*(HB5+HB6))+(HB11*HB12))</f>
        <v>#DIV/0!</v>
      </c>
      <c r="HC3" s="246"/>
      <c r="HD3" s="247">
        <f>HE5*HE13*10^-3*(HE14+(HE9/HE10))*((HE11*HE7)/(1-EXP(-HE7*HE11)))</f>
        <v>2167.2494240641768</v>
      </c>
      <c r="HE3" s="248"/>
      <c r="HF3" s="180" t="s">
        <v>40</v>
      </c>
    </row>
    <row r="4" spans="1:214" s="95" customFormat="1" ht="14.25" thickTop="1" thickBot="1" x14ac:dyDescent="0.25">
      <c r="A4" s="493" t="s">
        <v>463</v>
      </c>
      <c r="B4" s="494"/>
      <c r="C4" s="495"/>
      <c r="D4" s="429" t="s">
        <v>38</v>
      </c>
      <c r="E4" s="250">
        <f>1/((1/E22)+(1/E23))</f>
        <v>1350.8425560018454</v>
      </c>
      <c r="F4" s="251"/>
      <c r="G4" s="252"/>
      <c r="H4" s="253"/>
      <c r="I4" s="254"/>
      <c r="J4" s="255" t="s">
        <v>460</v>
      </c>
      <c r="K4" s="256" t="s">
        <v>34</v>
      </c>
      <c r="L4" s="257"/>
      <c r="M4" s="258"/>
      <c r="N4" s="259"/>
      <c r="O4" s="260"/>
      <c r="P4" s="261"/>
      <c r="Q4" s="259"/>
      <c r="R4" s="260"/>
      <c r="S4" s="261"/>
      <c r="T4" s="259"/>
      <c r="U4" s="262"/>
      <c r="V4" s="263" t="s">
        <v>37</v>
      </c>
      <c r="W4" s="264">
        <f>1/((1/W16)+(1/W17))</f>
        <v>1.3408206021065117</v>
      </c>
      <c r="X4" s="265"/>
      <c r="Y4" s="266" t="s">
        <v>37</v>
      </c>
      <c r="Z4" s="264">
        <f>1/((1/Z16)+(1/Z17))</f>
        <v>1.1863488624052001</v>
      </c>
      <c r="AA4" s="267"/>
      <c r="AB4" s="268" t="s">
        <v>460</v>
      </c>
      <c r="AC4" s="269" t="s">
        <v>41</v>
      </c>
      <c r="AD4" s="270" t="s">
        <v>42</v>
      </c>
      <c r="AE4" s="269" t="s">
        <v>43</v>
      </c>
      <c r="AF4" s="271" t="s">
        <v>44</v>
      </c>
      <c r="AG4" s="272" t="s">
        <v>44</v>
      </c>
      <c r="AH4" s="273"/>
      <c r="AI4" s="274" t="s">
        <v>33</v>
      </c>
      <c r="AJ4" s="275"/>
      <c r="AK4" s="276"/>
      <c r="AL4" s="277" t="s">
        <v>33</v>
      </c>
      <c r="AM4" s="275"/>
      <c r="AN4" s="276"/>
      <c r="AO4" s="277" t="s">
        <v>33</v>
      </c>
      <c r="AP4" s="275"/>
      <c r="AQ4" s="278"/>
      <c r="AR4" s="279" t="s">
        <v>33</v>
      </c>
      <c r="AS4" s="280"/>
      <c r="AT4" s="281"/>
      <c r="AU4" s="282" t="s">
        <v>33</v>
      </c>
      <c r="AV4" s="280"/>
      <c r="AW4" s="281"/>
      <c r="AX4" s="282" t="s">
        <v>33</v>
      </c>
      <c r="AY4" s="280"/>
      <c r="AZ4" s="283"/>
      <c r="BA4" s="279" t="s">
        <v>33</v>
      </c>
      <c r="BB4" s="280"/>
      <c r="BC4" s="281"/>
      <c r="BD4" s="282" t="s">
        <v>33</v>
      </c>
      <c r="BE4" s="280"/>
      <c r="BF4" s="281"/>
      <c r="BG4" s="282" t="s">
        <v>33</v>
      </c>
      <c r="BH4" s="280"/>
      <c r="BI4" s="283"/>
      <c r="BJ4" s="279" t="s">
        <v>33</v>
      </c>
      <c r="BK4" s="280"/>
      <c r="BL4" s="281"/>
      <c r="BM4" s="282" t="s">
        <v>33</v>
      </c>
      <c r="BN4" s="280"/>
      <c r="BO4" s="281"/>
      <c r="BP4" s="282" t="s">
        <v>33</v>
      </c>
      <c r="BQ4" s="280"/>
      <c r="BR4" s="283"/>
      <c r="BS4" s="284" t="s">
        <v>38</v>
      </c>
      <c r="BT4" s="285">
        <f>1/((1/BT23)+(1/BT24))</f>
        <v>151294.36627220668</v>
      </c>
      <c r="BU4" s="286"/>
      <c r="BV4" s="284"/>
      <c r="BW4" s="285"/>
      <c r="BX4" s="286"/>
      <c r="BY4" s="284" t="s">
        <v>460</v>
      </c>
      <c r="BZ4" s="285" t="s">
        <v>34</v>
      </c>
      <c r="CA4" s="286"/>
      <c r="CB4" s="284"/>
      <c r="CC4" s="285"/>
      <c r="CD4" s="286"/>
      <c r="CE4" s="284"/>
      <c r="CF4" s="285"/>
      <c r="CG4" s="286"/>
      <c r="CH4" s="284"/>
      <c r="CI4" s="285"/>
      <c r="CJ4" s="287"/>
      <c r="CK4" s="284"/>
      <c r="CL4" s="285"/>
      <c r="CM4" s="287"/>
      <c r="CN4" s="284"/>
      <c r="CO4" s="285"/>
      <c r="CP4" s="287"/>
      <c r="CQ4" s="284"/>
      <c r="CR4" s="285"/>
      <c r="CS4" s="287"/>
      <c r="CT4" s="288" t="s">
        <v>460</v>
      </c>
      <c r="CU4" s="289" t="s">
        <v>9</v>
      </c>
      <c r="CV4" s="290"/>
      <c r="CW4" s="291" t="s">
        <v>38</v>
      </c>
      <c r="CX4" s="292">
        <f>1/((1/CX22)+(1/CX23))</f>
        <v>5580.0872336566872</v>
      </c>
      <c r="CY4" s="293"/>
      <c r="CZ4" s="294"/>
      <c r="DA4" s="295"/>
      <c r="DB4" s="296"/>
      <c r="DC4" s="297"/>
      <c r="DD4" s="298"/>
      <c r="DE4" s="299"/>
      <c r="DF4" s="300"/>
      <c r="DG4" s="301"/>
      <c r="DH4" s="302"/>
      <c r="DI4" s="303"/>
      <c r="DJ4" s="301"/>
      <c r="DK4" s="304"/>
      <c r="DL4" s="303"/>
      <c r="DM4" s="301"/>
      <c r="DN4" s="302"/>
      <c r="DO4" s="303"/>
      <c r="DP4" s="301"/>
      <c r="DQ4" s="305"/>
      <c r="DR4" s="306"/>
      <c r="DS4" s="307"/>
      <c r="DT4" s="308"/>
      <c r="DU4" s="309"/>
      <c r="DV4" s="310"/>
      <c r="DW4" s="311"/>
      <c r="DX4" s="312"/>
      <c r="DY4" s="310"/>
      <c r="DZ4" s="313"/>
      <c r="EA4" s="312"/>
      <c r="EB4" s="310"/>
      <c r="EC4" s="311"/>
      <c r="ED4" s="312"/>
      <c r="EE4" s="310"/>
      <c r="EF4" s="314"/>
      <c r="EG4" s="315"/>
      <c r="EH4" s="316"/>
      <c r="EI4" s="317"/>
      <c r="EJ4" s="318"/>
      <c r="EK4" s="319"/>
      <c r="EL4" s="320"/>
      <c r="EM4" s="321"/>
      <c r="EN4" s="319"/>
      <c r="EO4" s="322"/>
      <c r="EP4" s="321"/>
      <c r="EQ4" s="319"/>
      <c r="ER4" s="320"/>
      <c r="ES4" s="321"/>
      <c r="ET4" s="319"/>
      <c r="EU4" s="323"/>
      <c r="EV4" s="324"/>
      <c r="EW4" s="324"/>
      <c r="EX4" s="324"/>
      <c r="EY4" s="325"/>
      <c r="EZ4" s="326"/>
      <c r="FA4" s="326"/>
      <c r="FB4" s="327"/>
      <c r="FC4" s="326"/>
      <c r="FD4" s="326"/>
      <c r="FE4" s="327"/>
      <c r="FF4" s="326"/>
      <c r="FG4" s="326"/>
      <c r="FH4" s="327"/>
      <c r="FI4" s="326"/>
      <c r="FJ4" s="328"/>
      <c r="FK4" s="329"/>
      <c r="FL4" s="330" t="s">
        <v>421</v>
      </c>
      <c r="FM4" s="331"/>
      <c r="FN4" s="332"/>
      <c r="FO4" s="333"/>
      <c r="FP4" s="333"/>
      <c r="FQ4" s="334"/>
      <c r="FR4" s="333" t="s">
        <v>421</v>
      </c>
      <c r="FS4" s="333"/>
      <c r="FT4" s="334"/>
      <c r="FU4" s="333"/>
      <c r="FV4" s="333"/>
      <c r="FW4" s="334"/>
      <c r="FX4" s="333"/>
      <c r="FY4" s="335"/>
      <c r="FZ4" s="336"/>
      <c r="GA4" s="337"/>
      <c r="GB4" s="338"/>
      <c r="GC4" s="339"/>
      <c r="GD4" s="340"/>
      <c r="GE4" s="340"/>
      <c r="GF4" s="341"/>
      <c r="GG4" s="340"/>
      <c r="GH4" s="340"/>
      <c r="GI4" s="341"/>
      <c r="GJ4" s="340"/>
      <c r="GK4" s="340"/>
      <c r="GL4" s="341"/>
      <c r="GM4" s="340"/>
      <c r="GN4" s="342"/>
      <c r="GO4" s="343"/>
      <c r="GP4" s="344"/>
      <c r="GQ4" s="345"/>
      <c r="GR4" s="346"/>
      <c r="GS4" s="347"/>
      <c r="GT4" s="347"/>
      <c r="GU4" s="348"/>
      <c r="GV4" s="347"/>
      <c r="GW4" s="347"/>
      <c r="GX4" s="348"/>
      <c r="GY4" s="347"/>
      <c r="GZ4" s="347"/>
      <c r="HA4" s="348"/>
      <c r="HB4" s="347"/>
      <c r="HC4" s="349"/>
      <c r="HD4" s="350" t="e">
        <f>HE6*HE13*10^-3*(HE14+(HE9/HE10))*((HE11*HE7)/(1-EXP(-HE7*HE11)))</f>
        <v>#DIV/0!</v>
      </c>
      <c r="HE4" s="351"/>
      <c r="HF4" s="352" t="s">
        <v>45</v>
      </c>
    </row>
    <row r="5" spans="1:214" s="95" customFormat="1" ht="13.5" thickTop="1" x14ac:dyDescent="0.2">
      <c r="A5" s="423" t="s">
        <v>464</v>
      </c>
      <c r="B5" s="424">
        <v>3.7100000000000001E-2</v>
      </c>
      <c r="C5" s="425"/>
      <c r="D5" s="95" t="s">
        <v>46</v>
      </c>
      <c r="E5" s="354">
        <v>9.9999999999999995E-7</v>
      </c>
      <c r="G5" s="95" t="s">
        <v>46</v>
      </c>
      <c r="H5" s="354">
        <v>9.9999999999999995E-7</v>
      </c>
      <c r="J5" s="95" t="s">
        <v>46</v>
      </c>
      <c r="K5" s="354">
        <v>9.9999999999999995E-7</v>
      </c>
      <c r="M5" s="95" t="s">
        <v>46</v>
      </c>
      <c r="N5" s="354">
        <v>9.9999999999999995E-7</v>
      </c>
      <c r="P5" s="95" t="s">
        <v>46</v>
      </c>
      <c r="Q5" s="354">
        <v>9.9999999999999995E-7</v>
      </c>
      <c r="S5" s="95" t="s">
        <v>46</v>
      </c>
      <c r="T5" s="354">
        <v>9.9999999999999995E-7</v>
      </c>
      <c r="V5" s="95" t="s">
        <v>46</v>
      </c>
      <c r="W5" s="354">
        <v>9.9999999999999995E-7</v>
      </c>
      <c r="Y5" s="95" t="s">
        <v>46</v>
      </c>
      <c r="Z5" s="354">
        <v>9.9999999999999995E-7</v>
      </c>
      <c r="AB5" s="95" t="s">
        <v>46</v>
      </c>
      <c r="AC5" s="354">
        <v>9.9999999999999995E-7</v>
      </c>
      <c r="AD5" s="354">
        <v>9.9999999999999995E-7</v>
      </c>
      <c r="AE5" s="354">
        <v>9.9999999999999995E-7</v>
      </c>
      <c r="AF5" s="354">
        <v>9.9999999999999995E-7</v>
      </c>
      <c r="AG5" s="354">
        <v>9.9999999999999995E-7</v>
      </c>
      <c r="AI5" s="95" t="s">
        <v>46</v>
      </c>
      <c r="AJ5" s="354">
        <v>9.9999999999999995E-7</v>
      </c>
      <c r="AL5" s="95" t="s">
        <v>46</v>
      </c>
      <c r="AM5" s="354">
        <v>9.9999999999999995E-7</v>
      </c>
      <c r="AO5" s="95" t="s">
        <v>46</v>
      </c>
      <c r="AP5" s="354">
        <v>9.9999999999999995E-7</v>
      </c>
      <c r="AR5" s="95" t="s">
        <v>46</v>
      </c>
      <c r="AS5" s="354">
        <v>9.9999999999999995E-7</v>
      </c>
      <c r="AU5" s="95" t="s">
        <v>46</v>
      </c>
      <c r="AV5" s="354">
        <v>9.9999999999999995E-7</v>
      </c>
      <c r="AX5" s="95" t="s">
        <v>46</v>
      </c>
      <c r="AY5" s="354">
        <v>9.9999999999999995E-7</v>
      </c>
      <c r="BA5" s="95" t="s">
        <v>46</v>
      </c>
      <c r="BB5" s="354">
        <v>9.9999999999999995E-7</v>
      </c>
      <c r="BD5" s="95" t="s">
        <v>46</v>
      </c>
      <c r="BE5" s="354">
        <v>9.9999999999999995E-7</v>
      </c>
      <c r="BG5" s="95" t="s">
        <v>46</v>
      </c>
      <c r="BH5" s="354">
        <v>9.9999999999999995E-7</v>
      </c>
      <c r="BJ5" s="95" t="s">
        <v>46</v>
      </c>
      <c r="BK5" s="354">
        <v>9.9999999999999995E-7</v>
      </c>
      <c r="BM5" s="95" t="s">
        <v>46</v>
      </c>
      <c r="BN5" s="354">
        <v>9.9999999999999995E-7</v>
      </c>
      <c r="BP5" s="95" t="s">
        <v>46</v>
      </c>
      <c r="BQ5" s="354">
        <v>9.9999999999999995E-7</v>
      </c>
      <c r="BS5" s="95" t="s">
        <v>46</v>
      </c>
      <c r="BT5" s="354">
        <v>9.9999999999999995E-7</v>
      </c>
      <c r="BV5" s="95" t="s">
        <v>46</v>
      </c>
      <c r="BW5" s="354">
        <v>9.9999999999999995E-7</v>
      </c>
      <c r="BY5" s="95" t="s">
        <v>46</v>
      </c>
      <c r="BZ5" s="354">
        <v>9.9999999999999995E-7</v>
      </c>
      <c r="CB5" s="95" t="s">
        <v>46</v>
      </c>
      <c r="CC5" s="354">
        <v>9.9999999999999995E-7</v>
      </c>
      <c r="CE5" s="95" t="s">
        <v>46</v>
      </c>
      <c r="CF5" s="354">
        <v>9.9999999999999995E-7</v>
      </c>
      <c r="CH5" s="95" t="s">
        <v>46</v>
      </c>
      <c r="CI5" s="354">
        <v>9.9999999999999995E-7</v>
      </c>
      <c r="CK5" s="95" t="s">
        <v>46</v>
      </c>
      <c r="CL5" s="354">
        <v>9.9999999999999995E-7</v>
      </c>
      <c r="CM5" s="355"/>
      <c r="CN5" s="95" t="s">
        <v>432</v>
      </c>
      <c r="CO5" s="354">
        <f>B41</f>
        <v>0</v>
      </c>
      <c r="CQ5" s="95" t="s">
        <v>432</v>
      </c>
      <c r="CR5" s="354">
        <f>B41</f>
        <v>0</v>
      </c>
      <c r="CT5" s="95" t="s">
        <v>46</v>
      </c>
      <c r="CU5" s="354">
        <v>9.9999999999999995E-7</v>
      </c>
      <c r="CW5" s="95" t="s">
        <v>46</v>
      </c>
      <c r="CX5" s="354">
        <v>9.9999999999999995E-7</v>
      </c>
      <c r="CZ5" s="95" t="s">
        <v>46</v>
      </c>
      <c r="DA5" s="354">
        <v>9.9999999999999995E-7</v>
      </c>
      <c r="DC5" s="95" t="s">
        <v>46</v>
      </c>
      <c r="DD5" s="354">
        <v>9.9999999999999995E-7</v>
      </c>
      <c r="DF5" s="95" t="s">
        <v>47</v>
      </c>
      <c r="DG5" s="95">
        <f>(DG8*DG9*DG10*((1-EXP(-DG11*DG12))))/(DG13*DG11)</f>
        <v>0</v>
      </c>
      <c r="DH5" s="95" t="s">
        <v>48</v>
      </c>
      <c r="DI5" s="95" t="s">
        <v>49</v>
      </c>
      <c r="DJ5" s="95">
        <f>DJ7</f>
        <v>0</v>
      </c>
      <c r="DL5" s="95" t="s">
        <v>49</v>
      </c>
      <c r="DM5" s="95">
        <f>DM7</f>
        <v>0</v>
      </c>
      <c r="DO5" s="95" t="s">
        <v>47</v>
      </c>
      <c r="DP5" s="95">
        <f>(DP8*DP9*DP10*((1-EXP(-DP11*DP12))))/(DP13*DP11)</f>
        <v>0</v>
      </c>
      <c r="DQ5" s="95" t="s">
        <v>48</v>
      </c>
      <c r="DR5" s="95" t="s">
        <v>46</v>
      </c>
      <c r="DS5" s="354">
        <v>9.9999999999999995E-7</v>
      </c>
      <c r="DU5" s="95" t="s">
        <v>347</v>
      </c>
      <c r="DV5" s="354">
        <f>B35</f>
        <v>0</v>
      </c>
      <c r="DX5" s="95" t="s">
        <v>50</v>
      </c>
      <c r="DY5" s="95">
        <f>DY7</f>
        <v>0</v>
      </c>
      <c r="EA5" s="95" t="s">
        <v>50</v>
      </c>
      <c r="EB5" s="95">
        <f>EB7</f>
        <v>0</v>
      </c>
      <c r="ED5" s="95" t="s">
        <v>50</v>
      </c>
      <c r="EE5" s="95">
        <f>EE7</f>
        <v>0</v>
      </c>
      <c r="EG5" s="95" t="s">
        <v>46</v>
      </c>
      <c r="EH5" s="354">
        <v>9.9999999999999995E-7</v>
      </c>
      <c r="EJ5" s="95" t="s">
        <v>348</v>
      </c>
      <c r="EK5" s="354">
        <f>B36</f>
        <v>0</v>
      </c>
      <c r="EM5" s="95" t="s">
        <v>50</v>
      </c>
      <c r="EN5" s="95">
        <f>EN7</f>
        <v>0</v>
      </c>
      <c r="EP5" s="95" t="s">
        <v>50</v>
      </c>
      <c r="EQ5" s="95">
        <f>EQ7</f>
        <v>0</v>
      </c>
      <c r="ES5" s="95" t="s">
        <v>50</v>
      </c>
      <c r="ET5" s="95">
        <f>ET7</f>
        <v>0</v>
      </c>
      <c r="EV5" s="95" t="s">
        <v>46</v>
      </c>
      <c r="EW5" s="354">
        <v>9.9999999999999995E-7</v>
      </c>
      <c r="EY5" s="95" t="s">
        <v>349</v>
      </c>
      <c r="EZ5" s="356">
        <f>B38</f>
        <v>0</v>
      </c>
      <c r="FB5" s="95" t="s">
        <v>50</v>
      </c>
      <c r="FC5" s="95">
        <f>FC7</f>
        <v>0</v>
      </c>
      <c r="FE5" s="95" t="s">
        <v>50</v>
      </c>
      <c r="FF5" s="95">
        <f>FF7</f>
        <v>0</v>
      </c>
      <c r="FH5" s="95" t="s">
        <v>50</v>
      </c>
      <c r="FI5" s="95">
        <f>FI7</f>
        <v>0</v>
      </c>
      <c r="FK5" s="95" t="s">
        <v>46</v>
      </c>
      <c r="FL5" s="354">
        <v>9.9999999999999995E-7</v>
      </c>
      <c r="FN5" s="95" t="s">
        <v>350</v>
      </c>
      <c r="FO5" s="357">
        <v>1</v>
      </c>
      <c r="FQ5" s="95" t="s">
        <v>203</v>
      </c>
      <c r="FR5" s="354">
        <f>B34</f>
        <v>0</v>
      </c>
      <c r="FT5" s="95" t="s">
        <v>50</v>
      </c>
      <c r="FU5" s="95">
        <f>FU7</f>
        <v>0</v>
      </c>
      <c r="FW5" s="95" t="s">
        <v>50</v>
      </c>
      <c r="FX5" s="95">
        <f>FX7</f>
        <v>0</v>
      </c>
      <c r="FZ5" s="95" t="s">
        <v>46</v>
      </c>
      <c r="GA5" s="354">
        <v>9.9999999999999995E-7</v>
      </c>
      <c r="GC5" s="95" t="s">
        <v>351</v>
      </c>
      <c r="GD5" s="356">
        <f>B37</f>
        <v>0</v>
      </c>
      <c r="GF5" s="95" t="s">
        <v>50</v>
      </c>
      <c r="GG5" s="95">
        <f>GG7</f>
        <v>0</v>
      </c>
      <c r="GI5" s="95" t="s">
        <v>50</v>
      </c>
      <c r="GJ5" s="95">
        <f>GJ7</f>
        <v>0</v>
      </c>
      <c r="GL5" s="95" t="s">
        <v>50</v>
      </c>
      <c r="GM5" s="95">
        <f>GM7</f>
        <v>0</v>
      </c>
      <c r="GO5" s="95" t="s">
        <v>46</v>
      </c>
      <c r="GP5" s="354">
        <v>9.9999999999999995E-7</v>
      </c>
      <c r="GR5" s="95" t="s">
        <v>352</v>
      </c>
      <c r="GS5" s="356">
        <f>B39</f>
        <v>0</v>
      </c>
      <c r="GU5" s="95" t="s">
        <v>50</v>
      </c>
      <c r="GV5" s="95">
        <f>GV7</f>
        <v>0</v>
      </c>
      <c r="GX5" s="95" t="s">
        <v>50</v>
      </c>
      <c r="GY5" s="95">
        <f>GY7</f>
        <v>0</v>
      </c>
      <c r="HA5" s="95" t="s">
        <v>50</v>
      </c>
      <c r="HB5" s="95">
        <f>HB7</f>
        <v>0</v>
      </c>
      <c r="HD5" s="355" t="s">
        <v>51</v>
      </c>
      <c r="HE5" s="95">
        <v>15</v>
      </c>
      <c r="HF5" s="95" t="s">
        <v>25</v>
      </c>
    </row>
    <row r="6" spans="1:214" s="95" customFormat="1" x14ac:dyDescent="0.2">
      <c r="A6" s="426" t="s">
        <v>465</v>
      </c>
      <c r="B6" s="427">
        <v>0.65</v>
      </c>
      <c r="C6" s="428"/>
      <c r="D6" s="95" t="s">
        <v>52</v>
      </c>
      <c r="E6" s="354">
        <f>0.693/E7</f>
        <v>66.155354824913829</v>
      </c>
      <c r="G6" s="95" t="s">
        <v>261</v>
      </c>
      <c r="H6" s="354">
        <f>B18</f>
        <v>0</v>
      </c>
      <c r="I6" s="95" t="s">
        <v>64</v>
      </c>
      <c r="J6" s="95" t="s">
        <v>77</v>
      </c>
      <c r="K6" s="354">
        <f>B19</f>
        <v>0</v>
      </c>
      <c r="L6" s="95" t="s">
        <v>64</v>
      </c>
      <c r="M6" s="95" t="s">
        <v>61</v>
      </c>
      <c r="N6" s="95">
        <v>20</v>
      </c>
      <c r="O6" s="95" t="s">
        <v>62</v>
      </c>
      <c r="P6" s="95" t="s">
        <v>61</v>
      </c>
      <c r="Q6" s="95">
        <v>20</v>
      </c>
      <c r="R6" s="95" t="s">
        <v>62</v>
      </c>
      <c r="S6" s="95" t="s">
        <v>61</v>
      </c>
      <c r="T6" s="95">
        <v>20</v>
      </c>
      <c r="U6" s="95" t="s">
        <v>62</v>
      </c>
      <c r="V6" s="95" t="s">
        <v>52</v>
      </c>
      <c r="W6" s="354">
        <f>0.693/W7</f>
        <v>66.155354824913829</v>
      </c>
      <c r="Y6" s="95" t="s">
        <v>52</v>
      </c>
      <c r="Z6" s="354">
        <f>0.693/Z7</f>
        <v>66.155354824913829</v>
      </c>
      <c r="AC6" s="95">
        <v>1000</v>
      </c>
      <c r="AD6" s="95">
        <v>1000</v>
      </c>
      <c r="AE6" s="95">
        <v>1000</v>
      </c>
      <c r="AF6" s="95">
        <v>1000</v>
      </c>
      <c r="AG6" s="95">
        <v>1000</v>
      </c>
      <c r="AH6" s="95" t="s">
        <v>53</v>
      </c>
      <c r="AI6" s="95" t="s">
        <v>61</v>
      </c>
      <c r="AJ6" s="95">
        <v>25</v>
      </c>
      <c r="AK6" s="95" t="s">
        <v>62</v>
      </c>
      <c r="AL6" s="95" t="s">
        <v>61</v>
      </c>
      <c r="AM6" s="95">
        <v>25</v>
      </c>
      <c r="AN6" s="95" t="s">
        <v>62</v>
      </c>
      <c r="AO6" s="95" t="s">
        <v>61</v>
      </c>
      <c r="AP6" s="95">
        <v>25</v>
      </c>
      <c r="AQ6" s="95" t="s">
        <v>62</v>
      </c>
      <c r="AR6" s="95" t="s">
        <v>61</v>
      </c>
      <c r="AS6" s="95">
        <v>20</v>
      </c>
      <c r="AT6" s="95" t="s">
        <v>62</v>
      </c>
      <c r="AU6" s="95" t="s">
        <v>61</v>
      </c>
      <c r="AV6" s="95">
        <v>20</v>
      </c>
      <c r="AW6" s="95" t="s">
        <v>62</v>
      </c>
      <c r="AX6" s="95" t="s">
        <v>61</v>
      </c>
      <c r="AY6" s="95">
        <v>20</v>
      </c>
      <c r="AZ6" s="95" t="s">
        <v>62</v>
      </c>
      <c r="BA6" s="95" t="s">
        <v>61</v>
      </c>
      <c r="BB6" s="95">
        <v>20</v>
      </c>
      <c r="BC6" s="95" t="s">
        <v>62</v>
      </c>
      <c r="BD6" s="95" t="s">
        <v>61</v>
      </c>
      <c r="BE6" s="95">
        <v>20</v>
      </c>
      <c r="BF6" s="95" t="s">
        <v>62</v>
      </c>
      <c r="BG6" s="95" t="s">
        <v>61</v>
      </c>
      <c r="BH6" s="95">
        <v>20</v>
      </c>
      <c r="BI6" s="95" t="s">
        <v>62</v>
      </c>
      <c r="BJ6" s="95" t="s">
        <v>61</v>
      </c>
      <c r="BK6" s="95">
        <v>1</v>
      </c>
      <c r="BL6" s="95" t="s">
        <v>62</v>
      </c>
      <c r="BM6" s="95" t="s">
        <v>61</v>
      </c>
      <c r="BN6" s="95">
        <v>1</v>
      </c>
      <c r="BO6" s="95" t="s">
        <v>62</v>
      </c>
      <c r="BP6" s="95" t="s">
        <v>61</v>
      </c>
      <c r="BQ6" s="95">
        <v>1</v>
      </c>
      <c r="BR6" s="95" t="s">
        <v>62</v>
      </c>
      <c r="BS6" s="95" t="s">
        <v>52</v>
      </c>
      <c r="BT6" s="354">
        <f>0.693/BT7</f>
        <v>66.155354824913829</v>
      </c>
      <c r="BV6" s="95" t="s">
        <v>261</v>
      </c>
      <c r="BW6" s="354">
        <f>H6</f>
        <v>0</v>
      </c>
      <c r="BX6" s="95" t="s">
        <v>64</v>
      </c>
      <c r="BY6" s="95" t="s">
        <v>77</v>
      </c>
      <c r="BZ6" s="354">
        <f>K6</f>
        <v>0</v>
      </c>
      <c r="CA6" s="95" t="s">
        <v>64</v>
      </c>
      <c r="CB6" s="95" t="s">
        <v>61</v>
      </c>
      <c r="CC6" s="95">
        <v>26</v>
      </c>
      <c r="CD6" s="95" t="s">
        <v>62</v>
      </c>
      <c r="CE6" s="95" t="s">
        <v>61</v>
      </c>
      <c r="CF6" s="95">
        <v>26</v>
      </c>
      <c r="CG6" s="95" t="s">
        <v>62</v>
      </c>
      <c r="CH6" s="95" t="s">
        <v>61</v>
      </c>
      <c r="CI6" s="95">
        <v>26</v>
      </c>
      <c r="CJ6" s="95" t="s">
        <v>62</v>
      </c>
      <c r="CK6" s="95" t="s">
        <v>415</v>
      </c>
      <c r="CL6" s="354">
        <f>E33</f>
        <v>0</v>
      </c>
      <c r="CM6" s="95" t="s">
        <v>23</v>
      </c>
      <c r="CN6" s="95" t="s">
        <v>50</v>
      </c>
      <c r="CO6" s="95">
        <f>CO8</f>
        <v>0</v>
      </c>
      <c r="CQ6" s="95" t="s">
        <v>345</v>
      </c>
      <c r="CR6" s="357">
        <v>0.5</v>
      </c>
      <c r="CS6" s="95" t="s">
        <v>59</v>
      </c>
      <c r="CT6" s="95" t="s">
        <v>77</v>
      </c>
      <c r="CU6" s="354">
        <f>B19</f>
        <v>0</v>
      </c>
      <c r="CV6" s="95" t="s">
        <v>64</v>
      </c>
      <c r="CW6" s="95" t="s">
        <v>52</v>
      </c>
      <c r="CX6" s="354">
        <f>0.693/CX7</f>
        <v>66.155354824913829</v>
      </c>
      <c r="CZ6" s="95" t="s">
        <v>261</v>
      </c>
      <c r="DA6" s="354">
        <f>B18</f>
        <v>0</v>
      </c>
      <c r="DB6" s="95" t="s">
        <v>64</v>
      </c>
      <c r="DC6" s="95" t="s">
        <v>415</v>
      </c>
      <c r="DD6" s="354">
        <f>B28</f>
        <v>0</v>
      </c>
      <c r="DE6" s="95" t="s">
        <v>64</v>
      </c>
      <c r="DF6" s="95" t="s">
        <v>56</v>
      </c>
      <c r="DG6" s="95">
        <f>(DG8*DG9*DG14*((1-EXP(-DG11*DG12))))/(DG13*DG11)</f>
        <v>5.4035127681958941E-3</v>
      </c>
      <c r="DH6" s="95" t="s">
        <v>48</v>
      </c>
      <c r="DI6" s="95" t="s">
        <v>57</v>
      </c>
      <c r="DJ6" s="95">
        <f>DJ8</f>
        <v>0.26</v>
      </c>
      <c r="DL6" s="95" t="s">
        <v>57</v>
      </c>
      <c r="DM6" s="95">
        <f>DM8</f>
        <v>0.26</v>
      </c>
      <c r="DO6" s="95" t="s">
        <v>56</v>
      </c>
      <c r="DP6" s="95">
        <f>(DP8*DP9*DP14*((1-EXP(-DP11*DP12))))/(DP13*DP11)</f>
        <v>9.2940667982112686</v>
      </c>
      <c r="DQ6" s="95" t="s">
        <v>48</v>
      </c>
      <c r="DR6" s="95" t="s">
        <v>415</v>
      </c>
      <c r="DS6" s="354">
        <f>B28</f>
        <v>0</v>
      </c>
      <c r="DT6" s="95" t="s">
        <v>64</v>
      </c>
      <c r="DU6" s="95" t="s">
        <v>58</v>
      </c>
      <c r="DV6" s="95">
        <v>92</v>
      </c>
      <c r="DW6" s="95" t="s">
        <v>59</v>
      </c>
      <c r="DX6" s="95" t="s">
        <v>57</v>
      </c>
      <c r="DY6" s="95">
        <f>DY8</f>
        <v>0.25</v>
      </c>
      <c r="EA6" s="95" t="s">
        <v>57</v>
      </c>
      <c r="EB6" s="95">
        <f>EB8</f>
        <v>0.25</v>
      </c>
      <c r="ED6" s="95" t="s">
        <v>57</v>
      </c>
      <c r="EE6" s="95">
        <f>EE8</f>
        <v>0.25</v>
      </c>
      <c r="EG6" s="95" t="s">
        <v>415</v>
      </c>
      <c r="EH6" s="354">
        <f>B28</f>
        <v>0</v>
      </c>
      <c r="EI6" s="95" t="s">
        <v>64</v>
      </c>
      <c r="EJ6" s="95" t="s">
        <v>60</v>
      </c>
      <c r="EK6" s="95">
        <v>53</v>
      </c>
      <c r="EL6" s="95" t="s">
        <v>59</v>
      </c>
      <c r="EM6" s="95" t="s">
        <v>57</v>
      </c>
      <c r="EN6" s="95">
        <f>EN8</f>
        <v>0.25</v>
      </c>
      <c r="EP6" s="95" t="s">
        <v>57</v>
      </c>
      <c r="EQ6" s="95">
        <f>EQ8</f>
        <v>0.25</v>
      </c>
      <c r="ES6" s="95" t="s">
        <v>57</v>
      </c>
      <c r="ET6" s="95">
        <f>ET8</f>
        <v>0.25</v>
      </c>
      <c r="EV6" s="95" t="s">
        <v>415</v>
      </c>
      <c r="EW6" s="354">
        <f>B28</f>
        <v>0</v>
      </c>
      <c r="EX6" s="95" t="s">
        <v>64</v>
      </c>
      <c r="EY6" s="95" t="s">
        <v>297</v>
      </c>
      <c r="EZ6" s="95">
        <v>0.4</v>
      </c>
      <c r="FA6" s="95" t="s">
        <v>59</v>
      </c>
      <c r="FB6" s="95" t="s">
        <v>57</v>
      </c>
      <c r="FC6" s="95">
        <f>FC8</f>
        <v>0.25</v>
      </c>
      <c r="FE6" s="95" t="s">
        <v>57</v>
      </c>
      <c r="FF6" s="95">
        <f>FF8</f>
        <v>0.25</v>
      </c>
      <c r="FH6" s="95" t="s">
        <v>57</v>
      </c>
      <c r="FI6" s="95">
        <f>FI8</f>
        <v>0.25</v>
      </c>
      <c r="FK6" s="95" t="s">
        <v>415</v>
      </c>
      <c r="FL6" s="354">
        <f>B28</f>
        <v>0</v>
      </c>
      <c r="FM6" s="95" t="s">
        <v>64</v>
      </c>
      <c r="FN6" s="95" t="s">
        <v>300</v>
      </c>
      <c r="FO6" s="357">
        <v>1</v>
      </c>
      <c r="FP6" s="95" t="s">
        <v>59</v>
      </c>
      <c r="FQ6" s="95" t="s">
        <v>322</v>
      </c>
      <c r="FR6" s="354">
        <v>8.1999999999999993</v>
      </c>
      <c r="FT6" s="95" t="s">
        <v>57</v>
      </c>
      <c r="FU6" s="95">
        <f>FU8</f>
        <v>0.25</v>
      </c>
      <c r="FW6" s="95" t="s">
        <v>57</v>
      </c>
      <c r="FX6" s="95">
        <f>FX8</f>
        <v>0.25</v>
      </c>
      <c r="FZ6" s="95" t="s">
        <v>415</v>
      </c>
      <c r="GA6" s="354">
        <f>B28</f>
        <v>0</v>
      </c>
      <c r="GB6" s="95" t="s">
        <v>64</v>
      </c>
      <c r="GC6" s="95" t="s">
        <v>298</v>
      </c>
      <c r="GD6" s="95">
        <v>0.4</v>
      </c>
      <c r="GE6" s="95" t="s">
        <v>59</v>
      </c>
      <c r="GF6" s="95" t="s">
        <v>57</v>
      </c>
      <c r="GG6" s="95">
        <f>GG8</f>
        <v>0.25</v>
      </c>
      <c r="GI6" s="95" t="s">
        <v>57</v>
      </c>
      <c r="GJ6" s="95">
        <f>GJ8</f>
        <v>0.25</v>
      </c>
      <c r="GL6" s="95" t="s">
        <v>57</v>
      </c>
      <c r="GM6" s="95">
        <f>GM8</f>
        <v>0.25</v>
      </c>
      <c r="GO6" s="95" t="s">
        <v>415</v>
      </c>
      <c r="GP6" s="354">
        <f>B28</f>
        <v>0</v>
      </c>
      <c r="GQ6" s="95" t="s">
        <v>64</v>
      </c>
      <c r="GR6" s="95" t="s">
        <v>299</v>
      </c>
      <c r="GS6" s="95">
        <v>11.4</v>
      </c>
      <c r="GT6" s="95" t="s">
        <v>59</v>
      </c>
      <c r="GU6" s="95" t="s">
        <v>57</v>
      </c>
      <c r="GV6" s="95">
        <f>GV8</f>
        <v>0.25</v>
      </c>
      <c r="GX6" s="95" t="s">
        <v>57</v>
      </c>
      <c r="GY6" s="95">
        <f>GY8</f>
        <v>0.25</v>
      </c>
      <c r="HA6" s="95" t="s">
        <v>57</v>
      </c>
      <c r="HB6" s="95">
        <f>HB8</f>
        <v>0.25</v>
      </c>
      <c r="HD6" s="95" t="s">
        <v>17</v>
      </c>
      <c r="HE6" s="354" t="e">
        <f>H3</f>
        <v>#DIV/0!</v>
      </c>
      <c r="HF6" s="95" t="s">
        <v>25</v>
      </c>
    </row>
    <row r="7" spans="1:214" s="95" customFormat="1" x14ac:dyDescent="0.2">
      <c r="A7" s="426" t="s">
        <v>466</v>
      </c>
      <c r="B7" s="427">
        <v>4.2700000000000002E-2</v>
      </c>
      <c r="C7" s="428"/>
      <c r="D7" s="95" t="s">
        <v>448</v>
      </c>
      <c r="E7" s="354">
        <f>B29</f>
        <v>1.04753425E-2</v>
      </c>
      <c r="F7" s="95" t="s">
        <v>129</v>
      </c>
      <c r="G7" s="95" t="s">
        <v>75</v>
      </c>
      <c r="H7" s="354">
        <f>B17</f>
        <v>1.7999999999999999E-11</v>
      </c>
      <c r="I7" s="95" t="s">
        <v>64</v>
      </c>
      <c r="J7" s="95" t="s">
        <v>75</v>
      </c>
      <c r="K7" s="354">
        <f>B17</f>
        <v>1.7999999999999999E-11</v>
      </c>
      <c r="L7" s="95" t="s">
        <v>64</v>
      </c>
      <c r="M7" s="95" t="s">
        <v>52</v>
      </c>
      <c r="N7" s="354">
        <f>0.693/N8</f>
        <v>66.155354824913829</v>
      </c>
      <c r="P7" s="95" t="s">
        <v>52</v>
      </c>
      <c r="Q7" s="354">
        <f>0.693/Q8</f>
        <v>66.155354824913829</v>
      </c>
      <c r="S7" s="95" t="s">
        <v>52</v>
      </c>
      <c r="T7" s="354">
        <f>0.693/T8</f>
        <v>66.155354824913829</v>
      </c>
      <c r="V7" s="95" t="s">
        <v>448</v>
      </c>
      <c r="W7" s="354">
        <f>B29</f>
        <v>1.04753425E-2</v>
      </c>
      <c r="X7" s="95" t="s">
        <v>129</v>
      </c>
      <c r="Y7" s="95" t="s">
        <v>448</v>
      </c>
      <c r="Z7" s="354">
        <f>B29</f>
        <v>1.04753425E-2</v>
      </c>
      <c r="AA7" s="95" t="s">
        <v>129</v>
      </c>
      <c r="AB7" s="95" t="s">
        <v>69</v>
      </c>
      <c r="AC7" s="95">
        <v>200</v>
      </c>
      <c r="AD7" s="95">
        <v>130</v>
      </c>
      <c r="AE7" s="95">
        <v>130</v>
      </c>
      <c r="AF7" s="95">
        <f>AF12*AF13</f>
        <v>130</v>
      </c>
      <c r="AG7" s="95">
        <f>AG12*AG13</f>
        <v>130</v>
      </c>
      <c r="AH7" s="95" t="s">
        <v>55</v>
      </c>
      <c r="AI7" s="95" t="s">
        <v>52</v>
      </c>
      <c r="AJ7" s="354">
        <f>0.693/AJ8</f>
        <v>66.155354824913829</v>
      </c>
      <c r="AL7" s="95" t="s">
        <v>52</v>
      </c>
      <c r="AM7" s="354">
        <f>0.693/AM8</f>
        <v>66.155354824913829</v>
      </c>
      <c r="AO7" s="95" t="s">
        <v>52</v>
      </c>
      <c r="AP7" s="354">
        <f>0.693/AP8</f>
        <v>66.155354824913829</v>
      </c>
      <c r="AR7" s="95" t="s">
        <v>52</v>
      </c>
      <c r="AS7" s="354">
        <f>0.693/AS8</f>
        <v>66.155354824913829</v>
      </c>
      <c r="AU7" s="95" t="s">
        <v>52</v>
      </c>
      <c r="AV7" s="354">
        <f>0.693/AV8</f>
        <v>66.155354824913829</v>
      </c>
      <c r="AX7" s="95" t="s">
        <v>52</v>
      </c>
      <c r="AY7" s="354">
        <f>0.693/AY8</f>
        <v>66.155354824913829</v>
      </c>
      <c r="BA7" s="95" t="s">
        <v>52</v>
      </c>
      <c r="BB7" s="354">
        <f>0.693/BB8</f>
        <v>66.155354824913829</v>
      </c>
      <c r="BD7" s="95" t="s">
        <v>52</v>
      </c>
      <c r="BE7" s="354">
        <f>0.693/BE8</f>
        <v>66.155354824913829</v>
      </c>
      <c r="BG7" s="95" t="s">
        <v>52</v>
      </c>
      <c r="BH7" s="354">
        <f>0.693/BH8</f>
        <v>66.155354824913829</v>
      </c>
      <c r="BJ7" s="95" t="s">
        <v>52</v>
      </c>
      <c r="BK7" s="354">
        <f>0.693/BK8</f>
        <v>66.155354824913829</v>
      </c>
      <c r="BM7" s="95" t="s">
        <v>52</v>
      </c>
      <c r="BN7" s="354">
        <f>0.693/BN8</f>
        <v>66.155354824913829</v>
      </c>
      <c r="BP7" s="95" t="s">
        <v>52</v>
      </c>
      <c r="BQ7" s="354">
        <f>0.693/BQ8</f>
        <v>66.155354824913829</v>
      </c>
      <c r="BS7" s="95" t="s">
        <v>448</v>
      </c>
      <c r="BT7" s="354">
        <f>B29</f>
        <v>1.04753425E-2</v>
      </c>
      <c r="BU7" s="95" t="s">
        <v>129</v>
      </c>
      <c r="BV7" s="95" t="s">
        <v>75</v>
      </c>
      <c r="BW7" s="354">
        <f>E10</f>
        <v>1.7999999999999999E-11</v>
      </c>
      <c r="BX7" s="95" t="s">
        <v>64</v>
      </c>
      <c r="BY7" s="95" t="s">
        <v>75</v>
      </c>
      <c r="BZ7" s="354">
        <f>E10</f>
        <v>1.7999999999999999E-11</v>
      </c>
      <c r="CA7" s="95" t="s">
        <v>64</v>
      </c>
      <c r="CB7" s="95" t="s">
        <v>52</v>
      </c>
      <c r="CC7" s="354">
        <f>0.693/CC8</f>
        <v>66.155354824913829</v>
      </c>
      <c r="CE7" s="95" t="s">
        <v>52</v>
      </c>
      <c r="CF7" s="354">
        <f>0.693/CF8</f>
        <v>66.155354824913829</v>
      </c>
      <c r="CH7" s="95" t="s">
        <v>52</v>
      </c>
      <c r="CI7" s="354">
        <f>0.693/CI8</f>
        <v>66.155354824913829</v>
      </c>
      <c r="CK7" s="95" t="s">
        <v>238</v>
      </c>
      <c r="CL7" s="95">
        <v>80</v>
      </c>
      <c r="CM7" s="95" t="s">
        <v>268</v>
      </c>
      <c r="CN7" s="95" t="s">
        <v>57</v>
      </c>
      <c r="CO7" s="95">
        <f>CO9</f>
        <v>0.25</v>
      </c>
      <c r="CR7" s="95">
        <v>1000</v>
      </c>
      <c r="CS7" s="95" t="s">
        <v>230</v>
      </c>
      <c r="CT7" s="95" t="s">
        <v>75</v>
      </c>
      <c r="CU7" s="354">
        <f>B17</f>
        <v>1.7999999999999999E-11</v>
      </c>
      <c r="CV7" s="95" t="s">
        <v>64</v>
      </c>
      <c r="CW7" s="95" t="s">
        <v>448</v>
      </c>
      <c r="CX7" s="354">
        <f>B29</f>
        <v>1.04753425E-2</v>
      </c>
      <c r="CY7" s="95" t="s">
        <v>129</v>
      </c>
      <c r="CZ7" s="95" t="s">
        <v>75</v>
      </c>
      <c r="DA7" s="354">
        <f>B17</f>
        <v>1.7999999999999999E-11</v>
      </c>
      <c r="DB7" s="95" t="s">
        <v>64</v>
      </c>
      <c r="DC7" s="95" t="s">
        <v>142</v>
      </c>
      <c r="DD7" s="358" t="e">
        <f>(DD5)/(DD6*(DD8+DD11)*DD21)</f>
        <v>#DIV/0!</v>
      </c>
      <c r="DE7" s="95" t="s">
        <v>23</v>
      </c>
      <c r="DF7" s="95" t="s">
        <v>65</v>
      </c>
      <c r="DG7" s="95">
        <f>(DG8*DG9*DG15*DG21*((1-EXP(-DG16*DG17))))/(DG18*DG16)</f>
        <v>0.82303427313698274</v>
      </c>
      <c r="DH7" s="95" t="s">
        <v>48</v>
      </c>
      <c r="DI7" s="95" t="s">
        <v>66</v>
      </c>
      <c r="DJ7" s="95">
        <f>B40</f>
        <v>0</v>
      </c>
      <c r="DL7" s="95" t="s">
        <v>66</v>
      </c>
      <c r="DM7" s="95">
        <f>B40</f>
        <v>0</v>
      </c>
      <c r="DO7" s="95" t="s">
        <v>65</v>
      </c>
      <c r="DP7" s="95">
        <f>(DP8*DP9*DP15*DP21*((1-EXP(-DP16*DP17))))/(DP18*DP16)</f>
        <v>3.6424203206347228</v>
      </c>
      <c r="DQ7" s="95" t="s">
        <v>48</v>
      </c>
      <c r="DR7" s="95" t="s">
        <v>142</v>
      </c>
      <c r="DS7" s="358" t="e">
        <f>DS5/(DS6*DS8*DS17)</f>
        <v>#DIV/0!</v>
      </c>
      <c r="DT7" s="95" t="s">
        <v>23</v>
      </c>
      <c r="DX7" s="95" t="s">
        <v>67</v>
      </c>
      <c r="DY7" s="354">
        <f>B43</f>
        <v>0</v>
      </c>
      <c r="EA7" s="95" t="s">
        <v>67</v>
      </c>
      <c r="EB7" s="354">
        <f>B43</f>
        <v>0</v>
      </c>
      <c r="ED7" s="95" t="s">
        <v>67</v>
      </c>
      <c r="EE7" s="354">
        <f>B43</f>
        <v>0</v>
      </c>
      <c r="EG7" s="95" t="s">
        <v>142</v>
      </c>
      <c r="EH7" s="358" t="e">
        <f>EH5/(EH6*EH8*EH17)</f>
        <v>#DIV/0!</v>
      </c>
      <c r="EI7" s="95" t="s">
        <v>23</v>
      </c>
      <c r="EM7" s="95" t="s">
        <v>67</v>
      </c>
      <c r="EN7" s="354">
        <f>B43</f>
        <v>0</v>
      </c>
      <c r="EP7" s="95" t="s">
        <v>67</v>
      </c>
      <c r="EQ7" s="354">
        <f>B43</f>
        <v>0</v>
      </c>
      <c r="ES7" s="95" t="s">
        <v>67</v>
      </c>
      <c r="ET7" s="354">
        <f>B43</f>
        <v>0</v>
      </c>
      <c r="EV7" s="95" t="s">
        <v>142</v>
      </c>
      <c r="EW7" s="358" t="e">
        <f>EW5/(EW6*EW8*EW17)</f>
        <v>#DIV/0!</v>
      </c>
      <c r="EX7" s="95" t="s">
        <v>23</v>
      </c>
      <c r="EZ7" s="95">
        <v>1000</v>
      </c>
      <c r="FA7" s="95" t="s">
        <v>230</v>
      </c>
      <c r="FB7" s="95" t="s">
        <v>67</v>
      </c>
      <c r="FC7" s="354">
        <f>B43</f>
        <v>0</v>
      </c>
      <c r="FE7" s="95" t="s">
        <v>67</v>
      </c>
      <c r="FF7" s="354">
        <f>B43</f>
        <v>0</v>
      </c>
      <c r="FH7" s="95" t="s">
        <v>67</v>
      </c>
      <c r="FI7" s="354">
        <f>B43</f>
        <v>0</v>
      </c>
      <c r="FK7" s="95" t="s">
        <v>142</v>
      </c>
      <c r="FL7" s="358" t="e">
        <f>FL5/(FL6*FL8*FL17)</f>
        <v>#DIV/0!</v>
      </c>
      <c r="FM7" s="95" t="s">
        <v>23</v>
      </c>
      <c r="FO7" s="95">
        <v>1000</v>
      </c>
      <c r="FP7" s="95" t="s">
        <v>230</v>
      </c>
      <c r="FT7" s="95" t="s">
        <v>67</v>
      </c>
      <c r="FU7" s="354">
        <f>B43</f>
        <v>0</v>
      </c>
      <c r="FW7" s="95" t="s">
        <v>67</v>
      </c>
      <c r="FX7" s="354">
        <f>B43</f>
        <v>0</v>
      </c>
      <c r="FZ7" s="95" t="s">
        <v>142</v>
      </c>
      <c r="GA7" s="358" t="e">
        <f>GA5/(GA6*GA8*GA17)</f>
        <v>#DIV/0!</v>
      </c>
      <c r="GB7" s="95" t="s">
        <v>23</v>
      </c>
      <c r="GD7" s="95">
        <v>1000</v>
      </c>
      <c r="GE7" s="95" t="s">
        <v>230</v>
      </c>
      <c r="GF7" s="95" t="s">
        <v>67</v>
      </c>
      <c r="GG7" s="354">
        <f>B43</f>
        <v>0</v>
      </c>
      <c r="GI7" s="95" t="s">
        <v>67</v>
      </c>
      <c r="GJ7" s="354">
        <f>B43</f>
        <v>0</v>
      </c>
      <c r="GL7" s="95" t="s">
        <v>67</v>
      </c>
      <c r="GM7" s="354">
        <f>B43</f>
        <v>0</v>
      </c>
      <c r="GO7" s="95" t="s">
        <v>142</v>
      </c>
      <c r="GP7" s="358" t="e">
        <f>GP5/(GP6*GP8*GP16)</f>
        <v>#DIV/0!</v>
      </c>
      <c r="GQ7" s="95" t="s">
        <v>23</v>
      </c>
      <c r="GS7" s="95">
        <v>1000</v>
      </c>
      <c r="GT7" s="95" t="s">
        <v>230</v>
      </c>
      <c r="GU7" s="95" t="s">
        <v>67</v>
      </c>
      <c r="GV7" s="354">
        <f>B43</f>
        <v>0</v>
      </c>
      <c r="GX7" s="95" t="s">
        <v>67</v>
      </c>
      <c r="GY7" s="354">
        <f>B43</f>
        <v>0</v>
      </c>
      <c r="HA7" s="95" t="s">
        <v>67</v>
      </c>
      <c r="HB7" s="354">
        <f>B43</f>
        <v>0</v>
      </c>
      <c r="HD7" s="95" t="s">
        <v>52</v>
      </c>
      <c r="HE7" s="354">
        <f>0.693/HE8</f>
        <v>66.155354824913829</v>
      </c>
    </row>
    <row r="8" spans="1:214" s="95" customFormat="1" x14ac:dyDescent="0.2">
      <c r="A8" s="426" t="s">
        <v>467</v>
      </c>
      <c r="B8" s="427">
        <v>0.72299999999999998</v>
      </c>
      <c r="C8" s="428"/>
      <c r="D8" s="95" t="s">
        <v>54</v>
      </c>
      <c r="E8" s="95">
        <v>350</v>
      </c>
      <c r="F8" s="95" t="s">
        <v>63</v>
      </c>
      <c r="G8" s="95" t="s">
        <v>409</v>
      </c>
      <c r="H8" s="354">
        <f>B27</f>
        <v>1.7100000000000001E-11</v>
      </c>
      <c r="I8" s="95" t="s">
        <v>64</v>
      </c>
      <c r="J8" s="95" t="s">
        <v>131</v>
      </c>
      <c r="K8" s="354">
        <f>B21</f>
        <v>8.4800000000000001E-6</v>
      </c>
      <c r="L8" s="95" t="s">
        <v>163</v>
      </c>
      <c r="M8" s="95" t="s">
        <v>448</v>
      </c>
      <c r="N8" s="354">
        <f>B29</f>
        <v>1.04753425E-2</v>
      </c>
      <c r="O8" s="95" t="s">
        <v>129</v>
      </c>
      <c r="P8" s="95" t="s">
        <v>448</v>
      </c>
      <c r="Q8" s="354">
        <f>B29</f>
        <v>1.04753425E-2</v>
      </c>
      <c r="R8" s="95" t="s">
        <v>129</v>
      </c>
      <c r="S8" s="95" t="s">
        <v>448</v>
      </c>
      <c r="T8" s="354">
        <f>B29</f>
        <v>1.04753425E-2</v>
      </c>
      <c r="U8" s="95" t="s">
        <v>129</v>
      </c>
      <c r="V8" s="95" t="s">
        <v>54</v>
      </c>
      <c r="W8" s="95">
        <v>130</v>
      </c>
      <c r="X8" s="95" t="s">
        <v>63</v>
      </c>
      <c r="Y8" s="95" t="s">
        <v>54</v>
      </c>
      <c r="Z8" s="95">
        <v>200</v>
      </c>
      <c r="AA8" s="95" t="s">
        <v>63</v>
      </c>
      <c r="AB8" s="95" t="s">
        <v>77</v>
      </c>
      <c r="AC8" s="354">
        <f>B20</f>
        <v>0</v>
      </c>
      <c r="AD8" s="354">
        <f>B20</f>
        <v>0</v>
      </c>
      <c r="AE8" s="354">
        <f>B20</f>
        <v>0</v>
      </c>
      <c r="AF8" s="354">
        <f>B20</f>
        <v>0</v>
      </c>
      <c r="AG8" s="354">
        <f>B20</f>
        <v>0</v>
      </c>
      <c r="AH8" s="95" t="s">
        <v>64</v>
      </c>
      <c r="AI8" s="95" t="s">
        <v>448</v>
      </c>
      <c r="AJ8" s="354">
        <f>B29</f>
        <v>1.04753425E-2</v>
      </c>
      <c r="AK8" s="95" t="s">
        <v>129</v>
      </c>
      <c r="AL8" s="95" t="s">
        <v>448</v>
      </c>
      <c r="AM8" s="354">
        <f>B29</f>
        <v>1.04753425E-2</v>
      </c>
      <c r="AN8" s="95" t="s">
        <v>129</v>
      </c>
      <c r="AO8" s="95" t="s">
        <v>448</v>
      </c>
      <c r="AP8" s="354">
        <f>B29</f>
        <v>1.04753425E-2</v>
      </c>
      <c r="AQ8" s="95" t="s">
        <v>129</v>
      </c>
      <c r="AR8" s="95" t="s">
        <v>448</v>
      </c>
      <c r="AS8" s="354">
        <f>B29</f>
        <v>1.04753425E-2</v>
      </c>
      <c r="AT8" s="95" t="s">
        <v>129</v>
      </c>
      <c r="AU8" s="95" t="s">
        <v>448</v>
      </c>
      <c r="AV8" s="354">
        <f>B29</f>
        <v>1.04753425E-2</v>
      </c>
      <c r="AW8" s="95" t="s">
        <v>129</v>
      </c>
      <c r="AX8" s="95" t="s">
        <v>448</v>
      </c>
      <c r="AY8" s="354">
        <f>B29</f>
        <v>1.04753425E-2</v>
      </c>
      <c r="AZ8" s="95" t="s">
        <v>129</v>
      </c>
      <c r="BA8" s="95" t="s">
        <v>448</v>
      </c>
      <c r="BB8" s="354">
        <f>B29</f>
        <v>1.04753425E-2</v>
      </c>
      <c r="BC8" s="95" t="s">
        <v>129</v>
      </c>
      <c r="BD8" s="95" t="s">
        <v>448</v>
      </c>
      <c r="BE8" s="354">
        <f>B29</f>
        <v>1.04753425E-2</v>
      </c>
      <c r="BF8" s="95" t="s">
        <v>129</v>
      </c>
      <c r="BG8" s="95" t="s">
        <v>448</v>
      </c>
      <c r="BH8" s="354">
        <f>B29</f>
        <v>1.04753425E-2</v>
      </c>
      <c r="BI8" s="95" t="s">
        <v>129</v>
      </c>
      <c r="BJ8" s="95" t="s">
        <v>448</v>
      </c>
      <c r="BK8" s="354">
        <f>B29</f>
        <v>1.04753425E-2</v>
      </c>
      <c r="BL8" s="95" t="s">
        <v>129</v>
      </c>
      <c r="BM8" s="95" t="s">
        <v>448</v>
      </c>
      <c r="BN8" s="354">
        <f>B29</f>
        <v>1.04753425E-2</v>
      </c>
      <c r="BO8" s="95" t="s">
        <v>129</v>
      </c>
      <c r="BP8" s="95" t="s">
        <v>448</v>
      </c>
      <c r="BQ8" s="354">
        <f>B29</f>
        <v>1.04753425E-2</v>
      </c>
      <c r="BR8" s="95" t="s">
        <v>129</v>
      </c>
      <c r="BS8" s="95" t="s">
        <v>54</v>
      </c>
      <c r="BT8" s="95">
        <v>75</v>
      </c>
      <c r="BU8" s="95" t="s">
        <v>63</v>
      </c>
      <c r="BV8" s="95" t="s">
        <v>409</v>
      </c>
      <c r="BW8" s="354">
        <f>H8</f>
        <v>1.7100000000000001E-11</v>
      </c>
      <c r="BX8" s="95" t="s">
        <v>64</v>
      </c>
      <c r="BY8" s="95" t="s">
        <v>131</v>
      </c>
      <c r="BZ8" s="354">
        <f>K8</f>
        <v>8.4800000000000001E-6</v>
      </c>
      <c r="CA8" s="95" t="s">
        <v>163</v>
      </c>
      <c r="CB8" s="95" t="s">
        <v>448</v>
      </c>
      <c r="CC8" s="354">
        <f>B29</f>
        <v>1.04753425E-2</v>
      </c>
      <c r="CD8" s="95" t="s">
        <v>129</v>
      </c>
      <c r="CE8" s="95" t="s">
        <v>448</v>
      </c>
      <c r="CF8" s="354">
        <f>B29</f>
        <v>1.04753425E-2</v>
      </c>
      <c r="CG8" s="95" t="s">
        <v>129</v>
      </c>
      <c r="CH8" s="95" t="s">
        <v>448</v>
      </c>
      <c r="CI8" s="354">
        <f>B29</f>
        <v>1.04753425E-2</v>
      </c>
      <c r="CJ8" s="95" t="s">
        <v>129</v>
      </c>
      <c r="CK8" s="95" t="s">
        <v>107</v>
      </c>
      <c r="CL8" s="95">
        <v>26</v>
      </c>
      <c r="CM8" s="95" t="s">
        <v>276</v>
      </c>
      <c r="CN8" s="95" t="s">
        <v>67</v>
      </c>
      <c r="CO8" s="354">
        <f>B43</f>
        <v>0</v>
      </c>
      <c r="CT8" s="95" t="s">
        <v>131</v>
      </c>
      <c r="CU8" s="354">
        <f>B21</f>
        <v>8.4800000000000001E-6</v>
      </c>
      <c r="CV8" s="95" t="s">
        <v>163</v>
      </c>
      <c r="CW8" s="95" t="s">
        <v>54</v>
      </c>
      <c r="CX8" s="95">
        <v>350</v>
      </c>
      <c r="CY8" s="95" t="s">
        <v>63</v>
      </c>
      <c r="CZ8" s="95" t="s">
        <v>257</v>
      </c>
      <c r="DA8" s="359">
        <f>B27</f>
        <v>1.7100000000000001E-11</v>
      </c>
      <c r="DB8" s="95" t="s">
        <v>64</v>
      </c>
      <c r="DC8" s="95" t="s">
        <v>282</v>
      </c>
      <c r="DD8" s="360">
        <f>(DD9*DD15*DD16)+(DD10*DD14*DD17)</f>
        <v>121000</v>
      </c>
      <c r="DE8" s="95" t="s">
        <v>230</v>
      </c>
      <c r="DF8" s="95" t="s">
        <v>71</v>
      </c>
      <c r="DG8" s="95">
        <v>3.62</v>
      </c>
      <c r="DH8" s="95" t="s">
        <v>72</v>
      </c>
      <c r="DI8" s="95" t="s">
        <v>73</v>
      </c>
      <c r="DJ8" s="95">
        <v>0.26</v>
      </c>
      <c r="DL8" s="95" t="s">
        <v>73</v>
      </c>
      <c r="DM8" s="95">
        <v>0.26</v>
      </c>
      <c r="DO8" s="95" t="s">
        <v>71</v>
      </c>
      <c r="DP8" s="95">
        <v>3.62</v>
      </c>
      <c r="DQ8" s="95" t="s">
        <v>72</v>
      </c>
      <c r="DR8" s="95" t="s">
        <v>281</v>
      </c>
      <c r="DS8" s="361">
        <f>(DS11*DS13*DS9)+(DS12*DS14*DS10)</f>
        <v>121000</v>
      </c>
      <c r="DT8" s="95" t="s">
        <v>230</v>
      </c>
      <c r="DX8" s="95" t="s">
        <v>73</v>
      </c>
      <c r="DY8" s="95">
        <v>0.25</v>
      </c>
      <c r="EA8" s="95" t="s">
        <v>73</v>
      </c>
      <c r="EB8" s="95">
        <v>0.25</v>
      </c>
      <c r="ED8" s="95" t="s">
        <v>73</v>
      </c>
      <c r="EE8" s="95">
        <v>0.25</v>
      </c>
      <c r="EG8" s="95" t="s">
        <v>284</v>
      </c>
      <c r="EH8" s="360">
        <f>(EH13*EH11*EH9)+(EH14*EH12*EH10)</f>
        <v>121000</v>
      </c>
      <c r="EI8" s="95" t="s">
        <v>230</v>
      </c>
      <c r="EM8" s="95" t="s">
        <v>73</v>
      </c>
      <c r="EN8" s="95">
        <v>0.25</v>
      </c>
      <c r="EP8" s="95" t="s">
        <v>73</v>
      </c>
      <c r="EQ8" s="95">
        <v>0.25</v>
      </c>
      <c r="ES8" s="95" t="s">
        <v>73</v>
      </c>
      <c r="ET8" s="95">
        <v>0.25</v>
      </c>
      <c r="EV8" s="95" t="s">
        <v>286</v>
      </c>
      <c r="EW8" s="360">
        <f>(EW11*EW13*EW9)+(EW12*EW14*EW10)</f>
        <v>121000</v>
      </c>
      <c r="EX8" s="95" t="s">
        <v>230</v>
      </c>
      <c r="FB8" s="95" t="s">
        <v>316</v>
      </c>
      <c r="FC8" s="95">
        <v>0.25</v>
      </c>
      <c r="FE8" s="95" t="s">
        <v>316</v>
      </c>
      <c r="FF8" s="95">
        <v>0.25</v>
      </c>
      <c r="FH8" s="95" t="s">
        <v>316</v>
      </c>
      <c r="FI8" s="95">
        <v>0.25</v>
      </c>
      <c r="FK8" s="95" t="s">
        <v>289</v>
      </c>
      <c r="FL8" s="361">
        <f>(FL13*FL9*FL11)+(FL14*FL10*FL12)</f>
        <v>121000</v>
      </c>
      <c r="FM8" s="95" t="s">
        <v>230</v>
      </c>
      <c r="FT8" s="95" t="s">
        <v>311</v>
      </c>
      <c r="FU8" s="95">
        <v>0.25</v>
      </c>
      <c r="FW8" s="95" t="s">
        <v>311</v>
      </c>
      <c r="FX8" s="95">
        <v>0.25</v>
      </c>
      <c r="FZ8" s="95" t="s">
        <v>292</v>
      </c>
      <c r="GA8" s="361">
        <f>(GA11*GA9*GA13)+(GA14*GA10*GA12)</f>
        <v>121000</v>
      </c>
      <c r="GB8" s="95" t="s">
        <v>230</v>
      </c>
      <c r="GF8" s="95" t="s">
        <v>305</v>
      </c>
      <c r="GG8" s="95">
        <v>0.25</v>
      </c>
      <c r="GI8" s="95" t="s">
        <v>305</v>
      </c>
      <c r="GJ8" s="95">
        <v>0.25</v>
      </c>
      <c r="GL8" s="95" t="s">
        <v>305</v>
      </c>
      <c r="GM8" s="95">
        <v>0.25</v>
      </c>
      <c r="GO8" s="95" t="s">
        <v>293</v>
      </c>
      <c r="GP8" s="360">
        <f>(GP13*GP9*GP11)+(GP14*GP10*GP12)</f>
        <v>121000</v>
      </c>
      <c r="GQ8" s="95" t="s">
        <v>230</v>
      </c>
      <c r="GU8" s="95" t="s">
        <v>310</v>
      </c>
      <c r="GV8" s="95">
        <v>0.25</v>
      </c>
      <c r="GX8" s="95" t="s">
        <v>310</v>
      </c>
      <c r="GY8" s="95">
        <v>0.25</v>
      </c>
      <c r="HA8" s="95" t="s">
        <v>310</v>
      </c>
      <c r="HB8" s="95">
        <v>0.25</v>
      </c>
      <c r="HD8" s="95" t="s">
        <v>448</v>
      </c>
      <c r="HE8" s="354">
        <f>B29</f>
        <v>1.04753425E-2</v>
      </c>
      <c r="HF8" s="95" t="s">
        <v>129</v>
      </c>
    </row>
    <row r="9" spans="1:214" s="95" customFormat="1" x14ac:dyDescent="0.2">
      <c r="A9" s="426" t="s">
        <v>468</v>
      </c>
      <c r="B9" s="427">
        <v>5.8400000000000001E-2</v>
      </c>
      <c r="C9" s="428"/>
      <c r="D9" s="95" t="s">
        <v>68</v>
      </c>
      <c r="E9" s="95">
        <v>26</v>
      </c>
      <c r="F9" s="95" t="s">
        <v>62</v>
      </c>
      <c r="G9" s="95" t="s">
        <v>415</v>
      </c>
      <c r="H9" s="354">
        <f>B28</f>
        <v>0</v>
      </c>
      <c r="I9" s="95" t="s">
        <v>64</v>
      </c>
      <c r="J9" s="95" t="s">
        <v>415</v>
      </c>
      <c r="K9" s="354">
        <f>B28</f>
        <v>0</v>
      </c>
      <c r="L9" s="95" t="s">
        <v>64</v>
      </c>
      <c r="M9" s="95" t="s">
        <v>54</v>
      </c>
      <c r="N9" s="95">
        <v>55</v>
      </c>
      <c r="O9" s="95" t="s">
        <v>63</v>
      </c>
      <c r="P9" s="95" t="s">
        <v>54</v>
      </c>
      <c r="Q9" s="95">
        <v>55</v>
      </c>
      <c r="R9" s="95" t="s">
        <v>63</v>
      </c>
      <c r="S9" s="95" t="s">
        <v>54</v>
      </c>
      <c r="T9" s="95">
        <v>55</v>
      </c>
      <c r="U9" s="95" t="s">
        <v>63</v>
      </c>
      <c r="V9" s="95" t="s">
        <v>68</v>
      </c>
      <c r="W9" s="95">
        <v>25</v>
      </c>
      <c r="X9" s="95" t="s">
        <v>62</v>
      </c>
      <c r="Y9" s="95" t="s">
        <v>68</v>
      </c>
      <c r="Z9" s="95">
        <v>20</v>
      </c>
      <c r="AA9" s="95" t="s">
        <v>62</v>
      </c>
      <c r="AB9" s="95" t="s">
        <v>75</v>
      </c>
      <c r="AC9" s="354">
        <f>B17</f>
        <v>1.7999999999999999E-11</v>
      </c>
      <c r="AD9" s="354">
        <f>B17</f>
        <v>1.7999999999999999E-11</v>
      </c>
      <c r="AE9" s="354">
        <f>B17</f>
        <v>1.7999999999999999E-11</v>
      </c>
      <c r="AF9" s="354">
        <f>B17</f>
        <v>1.7999999999999999E-11</v>
      </c>
      <c r="AG9" s="354">
        <f>B17</f>
        <v>1.7999999999999999E-11</v>
      </c>
      <c r="AH9" s="95" t="s">
        <v>64</v>
      </c>
      <c r="AI9" s="95" t="s">
        <v>54</v>
      </c>
      <c r="AJ9" s="95">
        <v>130</v>
      </c>
      <c r="AK9" s="95" t="s">
        <v>63</v>
      </c>
      <c r="AL9" s="95" t="s">
        <v>54</v>
      </c>
      <c r="AM9" s="95">
        <v>130</v>
      </c>
      <c r="AN9" s="95" t="s">
        <v>63</v>
      </c>
      <c r="AO9" s="95" t="s">
        <v>54</v>
      </c>
      <c r="AP9" s="95">
        <v>130</v>
      </c>
      <c r="AQ9" s="95" t="s">
        <v>63</v>
      </c>
      <c r="AR9" s="95" t="s">
        <v>54</v>
      </c>
      <c r="AS9" s="95">
        <v>200</v>
      </c>
      <c r="AT9" s="95" t="s">
        <v>63</v>
      </c>
      <c r="AU9" s="95" t="s">
        <v>54</v>
      </c>
      <c r="AV9" s="95">
        <v>200</v>
      </c>
      <c r="AW9" s="95" t="s">
        <v>63</v>
      </c>
      <c r="AX9" s="95" t="s">
        <v>54</v>
      </c>
      <c r="AY9" s="95">
        <v>200</v>
      </c>
      <c r="AZ9" s="95" t="s">
        <v>63</v>
      </c>
      <c r="BA9" s="95" t="s">
        <v>54</v>
      </c>
      <c r="BB9" s="95">
        <v>200</v>
      </c>
      <c r="BC9" s="95" t="s">
        <v>63</v>
      </c>
      <c r="BD9" s="95" t="s">
        <v>54</v>
      </c>
      <c r="BE9" s="95">
        <v>200</v>
      </c>
      <c r="BF9" s="95" t="s">
        <v>63</v>
      </c>
      <c r="BG9" s="95" t="s">
        <v>54</v>
      </c>
      <c r="BH9" s="95">
        <v>200</v>
      </c>
      <c r="BI9" s="95" t="s">
        <v>63</v>
      </c>
      <c r="BJ9" s="95" t="s">
        <v>54</v>
      </c>
      <c r="BK9" s="95">
        <f>BK10*BK11</f>
        <v>250</v>
      </c>
      <c r="BL9" s="95" t="s">
        <v>63</v>
      </c>
      <c r="BM9" s="95" t="s">
        <v>54</v>
      </c>
      <c r="BN9" s="95">
        <f>BN10*BN11</f>
        <v>250</v>
      </c>
      <c r="BO9" s="95" t="s">
        <v>63</v>
      </c>
      <c r="BP9" s="95" t="s">
        <v>54</v>
      </c>
      <c r="BQ9" s="95">
        <f>BQ10*BQ11</f>
        <v>250</v>
      </c>
      <c r="BR9" s="95" t="s">
        <v>63</v>
      </c>
      <c r="BS9" s="95" t="s">
        <v>68</v>
      </c>
      <c r="BT9" s="95">
        <v>26</v>
      </c>
      <c r="BU9" s="95" t="s">
        <v>62</v>
      </c>
      <c r="BV9" s="95" t="s">
        <v>415</v>
      </c>
      <c r="BW9" s="354">
        <f>E33</f>
        <v>0</v>
      </c>
      <c r="BX9" s="95" t="s">
        <v>64</v>
      </c>
      <c r="BY9" s="95" t="s">
        <v>164</v>
      </c>
      <c r="BZ9" s="354">
        <f>B30</f>
        <v>1359344473.5814338</v>
      </c>
      <c r="CA9" s="95" t="s">
        <v>165</v>
      </c>
      <c r="CB9" s="95" t="s">
        <v>54</v>
      </c>
      <c r="CC9" s="95">
        <v>80</v>
      </c>
      <c r="CD9" s="95" t="s">
        <v>63</v>
      </c>
      <c r="CE9" s="95" t="s">
        <v>54</v>
      </c>
      <c r="CF9" s="95">
        <v>80</v>
      </c>
      <c r="CG9" s="95" t="s">
        <v>63</v>
      </c>
      <c r="CH9" s="95" t="s">
        <v>54</v>
      </c>
      <c r="CI9" s="95">
        <v>80</v>
      </c>
      <c r="CJ9" s="95" t="s">
        <v>63</v>
      </c>
      <c r="CK9" s="95" t="s">
        <v>330</v>
      </c>
      <c r="CL9" s="357">
        <v>0.5</v>
      </c>
      <c r="CM9" s="95" t="s">
        <v>413</v>
      </c>
      <c r="CN9" s="95" t="s">
        <v>340</v>
      </c>
      <c r="CO9" s="357">
        <v>0.25</v>
      </c>
      <c r="CT9" s="95" t="s">
        <v>415</v>
      </c>
      <c r="CU9" s="354">
        <f>B28</f>
        <v>0</v>
      </c>
      <c r="CV9" s="95" t="s">
        <v>64</v>
      </c>
      <c r="CW9" s="95" t="s">
        <v>68</v>
      </c>
      <c r="CX9" s="95">
        <v>40</v>
      </c>
      <c r="CY9" s="95" t="s">
        <v>62</v>
      </c>
      <c r="CZ9" s="95" t="s">
        <v>415</v>
      </c>
      <c r="DA9" s="354">
        <f>B28</f>
        <v>0</v>
      </c>
      <c r="DB9" s="95" t="s">
        <v>64</v>
      </c>
      <c r="DC9" s="95" t="s">
        <v>97</v>
      </c>
      <c r="DD9" s="354">
        <v>55</v>
      </c>
      <c r="DE9" s="95" t="s">
        <v>413</v>
      </c>
      <c r="DF9" s="95" t="s">
        <v>79</v>
      </c>
      <c r="DG9" s="95">
        <v>0.25</v>
      </c>
      <c r="DH9" s="95" t="s">
        <v>80</v>
      </c>
      <c r="DO9" s="95" t="s">
        <v>79</v>
      </c>
      <c r="DP9" s="95">
        <v>0.25</v>
      </c>
      <c r="DQ9" s="95" t="s">
        <v>80</v>
      </c>
      <c r="DR9" s="95" t="s">
        <v>278</v>
      </c>
      <c r="DS9" s="95">
        <v>55</v>
      </c>
      <c r="DT9" s="95" t="s">
        <v>413</v>
      </c>
      <c r="DX9" s="95" t="s">
        <v>347</v>
      </c>
      <c r="DY9" s="354">
        <f>B35</f>
        <v>0</v>
      </c>
      <c r="EA9" s="95" t="s">
        <v>347</v>
      </c>
      <c r="EB9" s="354">
        <f>B35</f>
        <v>0</v>
      </c>
      <c r="ED9" s="95" t="s">
        <v>347</v>
      </c>
      <c r="EE9" s="354">
        <f>B35</f>
        <v>0</v>
      </c>
      <c r="EG9" s="95" t="s">
        <v>98</v>
      </c>
      <c r="EH9" s="95">
        <v>55</v>
      </c>
      <c r="EI9" s="95" t="s">
        <v>413</v>
      </c>
      <c r="EM9" s="95" t="s">
        <v>348</v>
      </c>
      <c r="EN9" s="354">
        <f>B36</f>
        <v>0</v>
      </c>
      <c r="EP9" s="95" t="s">
        <v>348</v>
      </c>
      <c r="EQ9" s="354">
        <f>B36</f>
        <v>0</v>
      </c>
      <c r="ES9" s="95" t="s">
        <v>348</v>
      </c>
      <c r="ET9" s="354">
        <f>B36</f>
        <v>0</v>
      </c>
      <c r="EV9" s="95" t="s">
        <v>287</v>
      </c>
      <c r="EW9" s="95">
        <v>55</v>
      </c>
      <c r="EX9" s="95" t="s">
        <v>413</v>
      </c>
      <c r="FB9" s="95" t="s">
        <v>349</v>
      </c>
      <c r="FC9" s="356">
        <f>B38</f>
        <v>0</v>
      </c>
      <c r="FE9" s="95" t="s">
        <v>349</v>
      </c>
      <c r="FF9" s="356">
        <f>B38</f>
        <v>0</v>
      </c>
      <c r="FH9" s="95" t="s">
        <v>349</v>
      </c>
      <c r="FI9" s="356">
        <f>B38</f>
        <v>0</v>
      </c>
      <c r="FK9" s="95" t="s">
        <v>254</v>
      </c>
      <c r="FL9" s="95">
        <v>55</v>
      </c>
      <c r="FM9" s="95" t="s">
        <v>413</v>
      </c>
      <c r="FT9" s="95" t="s">
        <v>350</v>
      </c>
      <c r="FU9" s="357">
        <v>1</v>
      </c>
      <c r="FW9" s="95" t="s">
        <v>350</v>
      </c>
      <c r="FX9" s="357">
        <v>1</v>
      </c>
      <c r="FZ9" s="95" t="s">
        <v>252</v>
      </c>
      <c r="GA9" s="362">
        <v>55</v>
      </c>
      <c r="GB9" s="95" t="s">
        <v>413</v>
      </c>
      <c r="GF9" s="95" t="s">
        <v>351</v>
      </c>
      <c r="GG9" s="356">
        <f>B37</f>
        <v>0</v>
      </c>
      <c r="GI9" s="95" t="s">
        <v>351</v>
      </c>
      <c r="GJ9" s="356">
        <f>B37</f>
        <v>0</v>
      </c>
      <c r="GL9" s="95" t="s">
        <v>351</v>
      </c>
      <c r="GM9" s="356">
        <f>B37</f>
        <v>0</v>
      </c>
      <c r="GO9" s="95" t="s">
        <v>295</v>
      </c>
      <c r="GP9" s="95">
        <v>55</v>
      </c>
      <c r="GQ9" s="95" t="s">
        <v>413</v>
      </c>
      <c r="GU9" s="95" t="s">
        <v>352</v>
      </c>
      <c r="GV9" s="356">
        <f>B39</f>
        <v>0</v>
      </c>
      <c r="GX9" s="95" t="s">
        <v>352</v>
      </c>
      <c r="GY9" s="356">
        <f>B39</f>
        <v>0</v>
      </c>
      <c r="HA9" s="95" t="s">
        <v>352</v>
      </c>
      <c r="HB9" s="356">
        <f>B39</f>
        <v>0</v>
      </c>
      <c r="HD9" s="95" t="s">
        <v>74</v>
      </c>
      <c r="HE9" s="95">
        <v>0.3</v>
      </c>
    </row>
    <row r="10" spans="1:214" s="95" customFormat="1" x14ac:dyDescent="0.2">
      <c r="A10" s="426" t="s">
        <v>469</v>
      </c>
      <c r="B10" s="427">
        <v>0.70099999999999996</v>
      </c>
      <c r="C10" s="428"/>
      <c r="D10" s="95" t="s">
        <v>75</v>
      </c>
      <c r="E10" s="354">
        <f>B17</f>
        <v>1.7999999999999999E-11</v>
      </c>
      <c r="F10" s="95" t="s">
        <v>64</v>
      </c>
      <c r="G10" s="95" t="s">
        <v>142</v>
      </c>
      <c r="H10" s="95" t="e">
        <f>H5/(H6*H15)</f>
        <v>#DIV/0!</v>
      </c>
      <c r="I10" s="95" t="s">
        <v>22</v>
      </c>
      <c r="J10" s="95" t="s">
        <v>164</v>
      </c>
      <c r="K10" s="354">
        <f>B30</f>
        <v>1359344473.5814338</v>
      </c>
      <c r="L10" s="95" t="s">
        <v>165</v>
      </c>
      <c r="M10" s="95" t="s">
        <v>68</v>
      </c>
      <c r="N10" s="95">
        <v>20</v>
      </c>
      <c r="O10" s="95" t="s">
        <v>62</v>
      </c>
      <c r="P10" s="95" t="s">
        <v>68</v>
      </c>
      <c r="Q10" s="95">
        <v>20</v>
      </c>
      <c r="R10" s="95" t="s">
        <v>62</v>
      </c>
      <c r="S10" s="95" t="s">
        <v>68</v>
      </c>
      <c r="T10" s="95">
        <v>20</v>
      </c>
      <c r="U10" s="95" t="s">
        <v>62</v>
      </c>
      <c r="V10" s="95" t="s">
        <v>75</v>
      </c>
      <c r="W10" s="354">
        <f>B17</f>
        <v>1.7999999999999999E-11</v>
      </c>
      <c r="X10" s="95" t="s">
        <v>76</v>
      </c>
      <c r="Y10" s="95" t="s">
        <v>75</v>
      </c>
      <c r="Z10" s="354">
        <f>B17</f>
        <v>1.7999999999999999E-11</v>
      </c>
      <c r="AA10" s="95" t="s">
        <v>76</v>
      </c>
      <c r="AB10" s="95" t="s">
        <v>472</v>
      </c>
      <c r="AC10" s="354">
        <f>B21</f>
        <v>8.4800000000000001E-6</v>
      </c>
      <c r="AD10" s="354">
        <f>B21</f>
        <v>8.4800000000000001E-6</v>
      </c>
      <c r="AE10" s="354">
        <f>B21</f>
        <v>8.4800000000000001E-6</v>
      </c>
      <c r="AF10" s="354">
        <f>B21</f>
        <v>8.4800000000000001E-6</v>
      </c>
      <c r="AG10" s="354">
        <f>B21</f>
        <v>8.4800000000000001E-6</v>
      </c>
      <c r="AH10" s="95" t="s">
        <v>163</v>
      </c>
      <c r="AI10" s="95" t="s">
        <v>68</v>
      </c>
      <c r="AJ10" s="95">
        <v>25</v>
      </c>
      <c r="AK10" s="95" t="s">
        <v>62</v>
      </c>
      <c r="AL10" s="95" t="s">
        <v>68</v>
      </c>
      <c r="AM10" s="95">
        <v>25</v>
      </c>
      <c r="AN10" s="95" t="s">
        <v>62</v>
      </c>
      <c r="AO10" s="95" t="s">
        <v>68</v>
      </c>
      <c r="AP10" s="95">
        <v>25</v>
      </c>
      <c r="AQ10" s="95" t="s">
        <v>62</v>
      </c>
      <c r="AR10" s="95" t="s">
        <v>68</v>
      </c>
      <c r="AS10" s="95">
        <v>20</v>
      </c>
      <c r="AT10" s="95" t="s">
        <v>62</v>
      </c>
      <c r="AU10" s="95" t="s">
        <v>68</v>
      </c>
      <c r="AV10" s="95">
        <v>20</v>
      </c>
      <c r="AW10" s="95" t="s">
        <v>62</v>
      </c>
      <c r="AX10" s="95" t="s">
        <v>68</v>
      </c>
      <c r="AY10" s="95">
        <v>20</v>
      </c>
      <c r="AZ10" s="95" t="s">
        <v>62</v>
      </c>
      <c r="BA10" s="95" t="s">
        <v>68</v>
      </c>
      <c r="BB10" s="95">
        <v>20</v>
      </c>
      <c r="BC10" s="95" t="s">
        <v>62</v>
      </c>
      <c r="BD10" s="95" t="s">
        <v>68</v>
      </c>
      <c r="BE10" s="95">
        <v>20</v>
      </c>
      <c r="BF10" s="95" t="s">
        <v>62</v>
      </c>
      <c r="BG10" s="95" t="s">
        <v>68</v>
      </c>
      <c r="BH10" s="95">
        <v>20</v>
      </c>
      <c r="BI10" s="95" t="s">
        <v>62</v>
      </c>
      <c r="BJ10" s="95" t="s">
        <v>411</v>
      </c>
      <c r="BK10" s="95">
        <v>50</v>
      </c>
      <c r="BL10" s="95" t="s">
        <v>426</v>
      </c>
      <c r="BM10" s="95" t="s">
        <v>411</v>
      </c>
      <c r="BN10" s="95">
        <v>50</v>
      </c>
      <c r="BO10" s="95" t="s">
        <v>426</v>
      </c>
      <c r="BP10" s="95" t="s">
        <v>411</v>
      </c>
      <c r="BQ10" s="95">
        <v>50</v>
      </c>
      <c r="BR10" s="95" t="s">
        <v>426</v>
      </c>
      <c r="BS10" s="95" t="s">
        <v>75</v>
      </c>
      <c r="BT10" s="354">
        <f>E10</f>
        <v>1.7999999999999999E-11</v>
      </c>
      <c r="BU10" s="95" t="s">
        <v>64</v>
      </c>
      <c r="BV10" s="95" t="s">
        <v>142</v>
      </c>
      <c r="BW10" s="354" t="e">
        <f>BW5/(BW6*BW13)</f>
        <v>#DIV/0!</v>
      </c>
      <c r="BX10" s="95" t="s">
        <v>22</v>
      </c>
      <c r="BY10" s="95" t="s">
        <v>38</v>
      </c>
      <c r="BZ10" s="354">
        <f>(BZ33*BZ11)/(1-EXP(-BZ11*BZ33))</f>
        <v>1720.0392254477595</v>
      </c>
      <c r="CB10" s="95" t="s">
        <v>68</v>
      </c>
      <c r="CC10" s="95">
        <v>26</v>
      </c>
      <c r="CD10" s="95" t="s">
        <v>62</v>
      </c>
      <c r="CE10" s="95" t="s">
        <v>68</v>
      </c>
      <c r="CF10" s="95">
        <v>26</v>
      </c>
      <c r="CG10" s="95" t="s">
        <v>62</v>
      </c>
      <c r="CH10" s="95" t="s">
        <v>68</v>
      </c>
      <c r="CI10" s="95">
        <v>26</v>
      </c>
      <c r="CJ10" s="95" t="s">
        <v>62</v>
      </c>
      <c r="CN10" s="95" t="s">
        <v>338</v>
      </c>
      <c r="CO10" s="357">
        <v>0.5</v>
      </c>
      <c r="CP10" s="95" t="s">
        <v>479</v>
      </c>
      <c r="CT10" s="95" t="s">
        <v>164</v>
      </c>
      <c r="CU10" s="354">
        <f>B30</f>
        <v>1359344473.5814338</v>
      </c>
      <c r="CV10" s="95" t="s">
        <v>165</v>
      </c>
      <c r="CW10" s="95" t="s">
        <v>75</v>
      </c>
      <c r="CX10" s="354">
        <f>B17</f>
        <v>1.7999999999999999E-11</v>
      </c>
      <c r="CY10" s="95" t="s">
        <v>64</v>
      </c>
      <c r="CZ10" s="95" t="s">
        <v>38</v>
      </c>
      <c r="DA10" s="354">
        <f>(DA35*DA11)/(1-EXP(-DA11*DA35))</f>
        <v>2646.2141929965533</v>
      </c>
      <c r="DC10" s="95" t="s">
        <v>118</v>
      </c>
      <c r="DD10" s="354">
        <v>55</v>
      </c>
      <c r="DE10" s="95" t="s">
        <v>413</v>
      </c>
      <c r="DF10" s="95" t="s">
        <v>66</v>
      </c>
      <c r="DG10" s="95">
        <f>B40</f>
        <v>0</v>
      </c>
      <c r="DO10" s="95" t="s">
        <v>66</v>
      </c>
      <c r="DP10" s="95">
        <f>B40</f>
        <v>0</v>
      </c>
      <c r="DR10" s="95" t="s">
        <v>279</v>
      </c>
      <c r="DS10" s="95">
        <v>55</v>
      </c>
      <c r="DT10" s="95" t="s">
        <v>413</v>
      </c>
      <c r="DX10" s="95" t="s">
        <v>89</v>
      </c>
      <c r="DY10" s="95">
        <v>16.899999999999999</v>
      </c>
      <c r="EA10" s="95" t="s">
        <v>89</v>
      </c>
      <c r="EB10" s="95">
        <v>16.899999999999999</v>
      </c>
      <c r="ED10" s="95" t="s">
        <v>89</v>
      </c>
      <c r="EE10" s="95">
        <v>16.899999999999999</v>
      </c>
      <c r="EG10" s="95" t="s">
        <v>119</v>
      </c>
      <c r="EH10" s="95">
        <v>55</v>
      </c>
      <c r="EI10" s="95" t="s">
        <v>413</v>
      </c>
      <c r="EM10" s="95" t="s">
        <v>90</v>
      </c>
      <c r="EN10" s="95">
        <v>11.77</v>
      </c>
      <c r="EP10" s="95" t="s">
        <v>90</v>
      </c>
      <c r="EQ10" s="95">
        <v>11.77</v>
      </c>
      <c r="ES10" s="95" t="s">
        <v>90</v>
      </c>
      <c r="ET10" s="95">
        <v>11.77</v>
      </c>
      <c r="EV10" s="95" t="s">
        <v>288</v>
      </c>
      <c r="EW10" s="95">
        <v>55</v>
      </c>
      <c r="EX10" s="95" t="s">
        <v>413</v>
      </c>
      <c r="FB10" s="95" t="s">
        <v>318</v>
      </c>
      <c r="FC10" s="95">
        <v>0.2</v>
      </c>
      <c r="FE10" s="95" t="s">
        <v>318</v>
      </c>
      <c r="FF10" s="95">
        <v>0.2</v>
      </c>
      <c r="FH10" s="95" t="s">
        <v>318</v>
      </c>
      <c r="FI10" s="95">
        <v>0.2</v>
      </c>
      <c r="FK10" s="95" t="s">
        <v>255</v>
      </c>
      <c r="FL10" s="95">
        <v>55</v>
      </c>
      <c r="FM10" s="95" t="s">
        <v>413</v>
      </c>
      <c r="FT10" s="95" t="s">
        <v>315</v>
      </c>
      <c r="FU10" s="357">
        <v>1</v>
      </c>
      <c r="FW10" s="95" t="s">
        <v>315</v>
      </c>
      <c r="FX10" s="357">
        <v>1</v>
      </c>
      <c r="FZ10" s="95" t="s">
        <v>253</v>
      </c>
      <c r="GA10" s="95">
        <v>55</v>
      </c>
      <c r="GB10" s="95" t="s">
        <v>413</v>
      </c>
      <c r="GF10" s="95" t="s">
        <v>301</v>
      </c>
      <c r="GG10" s="95">
        <v>0.2</v>
      </c>
      <c r="GI10" s="95" t="s">
        <v>301</v>
      </c>
      <c r="GJ10" s="95">
        <v>0.2</v>
      </c>
      <c r="GL10" s="95" t="s">
        <v>301</v>
      </c>
      <c r="GM10" s="95">
        <v>0.2</v>
      </c>
      <c r="GO10" s="95" t="s">
        <v>294</v>
      </c>
      <c r="GP10" s="95">
        <v>55</v>
      </c>
      <c r="GQ10" s="95" t="s">
        <v>413</v>
      </c>
      <c r="GU10" s="95" t="s">
        <v>306</v>
      </c>
      <c r="GV10" s="95">
        <v>4.7</v>
      </c>
      <c r="GX10" s="95" t="s">
        <v>306</v>
      </c>
      <c r="GY10" s="95">
        <v>4.7</v>
      </c>
      <c r="HA10" s="95" t="s">
        <v>306</v>
      </c>
      <c r="HB10" s="95">
        <v>4.7</v>
      </c>
      <c r="HD10" s="95" t="s">
        <v>81</v>
      </c>
      <c r="HE10" s="354">
        <v>1.5</v>
      </c>
    </row>
    <row r="11" spans="1:214" s="95" customFormat="1" x14ac:dyDescent="0.2">
      <c r="A11" s="426" t="s">
        <v>470</v>
      </c>
      <c r="B11" s="427">
        <v>2.2499999999999999E-2</v>
      </c>
      <c r="C11" s="428"/>
      <c r="D11" s="95" t="s">
        <v>82</v>
      </c>
      <c r="E11" s="360">
        <f>((E14/E15)*E24*E12*E16)+((E14/E15)*E25*E13*E17)</f>
        <v>70000</v>
      </c>
      <c r="F11" s="95" t="s">
        <v>444</v>
      </c>
      <c r="G11" s="95" t="s">
        <v>134</v>
      </c>
      <c r="H11" s="354">
        <f>H5/(H7*H16*H28)</f>
        <v>1.5873015873015872</v>
      </c>
      <c r="I11" s="95" t="s">
        <v>22</v>
      </c>
      <c r="J11" s="95" t="s">
        <v>38</v>
      </c>
      <c r="K11" s="354">
        <f>(K45*K12)/(1-EXP(-K12*K45))</f>
        <v>1720.0392254477595</v>
      </c>
      <c r="M11" s="95" t="s">
        <v>91</v>
      </c>
      <c r="N11" s="95">
        <v>0.4</v>
      </c>
      <c r="P11" s="95" t="s">
        <v>91</v>
      </c>
      <c r="Q11" s="95">
        <v>0.4</v>
      </c>
      <c r="S11" s="95" t="s">
        <v>91</v>
      </c>
      <c r="T11" s="95">
        <v>0.4</v>
      </c>
      <c r="V11" s="95" t="s">
        <v>84</v>
      </c>
      <c r="W11" s="95">
        <v>5</v>
      </c>
      <c r="X11" s="95" t="s">
        <v>85</v>
      </c>
      <c r="Y11" s="95" t="s">
        <v>84</v>
      </c>
      <c r="Z11" s="95">
        <v>5</v>
      </c>
      <c r="AA11" s="95" t="s">
        <v>85</v>
      </c>
      <c r="AB11" s="95" t="s">
        <v>68</v>
      </c>
      <c r="AC11" s="95">
        <v>20</v>
      </c>
      <c r="AD11" s="95">
        <v>25</v>
      </c>
      <c r="AE11" s="95">
        <v>25</v>
      </c>
      <c r="AF11" s="95">
        <v>1</v>
      </c>
      <c r="AG11" s="95">
        <v>1</v>
      </c>
      <c r="AH11" s="95" t="s">
        <v>94</v>
      </c>
      <c r="AI11" s="95" t="s">
        <v>91</v>
      </c>
      <c r="AJ11" s="95">
        <v>0.4</v>
      </c>
      <c r="AL11" s="95" t="s">
        <v>91</v>
      </c>
      <c r="AM11" s="95">
        <v>0.4</v>
      </c>
      <c r="AO11" s="95" t="s">
        <v>91</v>
      </c>
      <c r="AP11" s="95">
        <v>0.4</v>
      </c>
      <c r="AR11" s="95" t="s">
        <v>91</v>
      </c>
      <c r="AS11" s="95">
        <v>0.4</v>
      </c>
      <c r="AU11" s="95" t="s">
        <v>91</v>
      </c>
      <c r="AV11" s="95">
        <v>0.4</v>
      </c>
      <c r="AX11" s="95" t="s">
        <v>91</v>
      </c>
      <c r="AY11" s="95">
        <v>0.4</v>
      </c>
      <c r="BA11" s="95" t="s">
        <v>91</v>
      </c>
      <c r="BB11" s="95">
        <v>0.4</v>
      </c>
      <c r="BD11" s="95" t="s">
        <v>91</v>
      </c>
      <c r="BE11" s="95">
        <v>0.4</v>
      </c>
      <c r="BG11" s="95" t="s">
        <v>91</v>
      </c>
      <c r="BH11" s="95">
        <v>0.4</v>
      </c>
      <c r="BJ11" s="95" t="s">
        <v>410</v>
      </c>
      <c r="BK11" s="95">
        <v>5</v>
      </c>
      <c r="BL11" s="95" t="s">
        <v>427</v>
      </c>
      <c r="BM11" s="95" t="s">
        <v>410</v>
      </c>
      <c r="BN11" s="95">
        <v>5</v>
      </c>
      <c r="BO11" s="95" t="s">
        <v>427</v>
      </c>
      <c r="BP11" s="95" t="s">
        <v>410</v>
      </c>
      <c r="BQ11" s="95">
        <v>5</v>
      </c>
      <c r="BR11" s="95" t="s">
        <v>427</v>
      </c>
      <c r="BS11" s="95" t="s">
        <v>82</v>
      </c>
      <c r="BT11" s="360">
        <f>(BT25*BT17*BT14*(1/24)*BT12)+(BT26*BT18*BT15*(1/24)*BT13)</f>
        <v>625</v>
      </c>
      <c r="BU11" s="95" t="s">
        <v>444</v>
      </c>
      <c r="BV11" s="95" t="s">
        <v>134</v>
      </c>
      <c r="BW11" s="354"/>
      <c r="BX11" s="95" t="s">
        <v>22</v>
      </c>
      <c r="BY11" s="95" t="s">
        <v>52</v>
      </c>
      <c r="BZ11" s="354">
        <f>0.693/BZ12</f>
        <v>66.155354824913829</v>
      </c>
      <c r="CB11" s="95" t="s">
        <v>102</v>
      </c>
      <c r="CC11" s="354">
        <f>B2</f>
        <v>6.8000000000000005E-2</v>
      </c>
      <c r="CE11" s="95" t="s">
        <v>102</v>
      </c>
      <c r="CF11" s="354">
        <f>B5</f>
        <v>3.7100000000000001E-2</v>
      </c>
      <c r="CH11" s="95" t="s">
        <v>102</v>
      </c>
      <c r="CI11" s="354">
        <f>B9</f>
        <v>5.8400000000000001E-2</v>
      </c>
      <c r="CN11" s="95" t="s">
        <v>335</v>
      </c>
      <c r="CO11" s="357">
        <v>0.5</v>
      </c>
      <c r="CP11" s="95" t="s">
        <v>479</v>
      </c>
      <c r="CT11" s="95" t="s">
        <v>38</v>
      </c>
      <c r="CU11" s="354">
        <f>(CU45*CU12)/(1-EXP(-CU12*CU45))</f>
        <v>2646.2141929965533</v>
      </c>
      <c r="CW11" s="95" t="s">
        <v>82</v>
      </c>
      <c r="CX11" s="360">
        <f>((CX15/24)*CX24*CX12*CX16)+((CX14/24)*CX25*CX13*CX17)</f>
        <v>25208.333333333336</v>
      </c>
      <c r="CY11" s="95" t="s">
        <v>444</v>
      </c>
      <c r="CZ11" s="95" t="s">
        <v>52</v>
      </c>
      <c r="DA11" s="354">
        <f>0.693/DA12</f>
        <v>66.155354824913829</v>
      </c>
      <c r="DC11" s="95" t="s">
        <v>283</v>
      </c>
      <c r="DD11" s="360">
        <f>(DD12*DD15*DD16)+(DD13*DD14*DD17)</f>
        <v>121000</v>
      </c>
      <c r="DE11" s="95" t="s">
        <v>230</v>
      </c>
      <c r="DF11" s="95" t="s">
        <v>99</v>
      </c>
      <c r="DG11" s="95">
        <f>DG19+DG20</f>
        <v>0.18144061256544503</v>
      </c>
      <c r="DO11" s="95" t="s">
        <v>99</v>
      </c>
      <c r="DP11" s="95">
        <f>DP19+DP20</f>
        <v>2.6999999999999999E-5</v>
      </c>
      <c r="DR11" s="95" t="s">
        <v>70</v>
      </c>
      <c r="DS11" s="95">
        <v>55</v>
      </c>
      <c r="DT11" s="95" t="s">
        <v>55</v>
      </c>
      <c r="DX11" s="95" t="s">
        <v>100</v>
      </c>
      <c r="DY11" s="95">
        <v>0.41</v>
      </c>
      <c r="EA11" s="95" t="s">
        <v>100</v>
      </c>
      <c r="EB11" s="95">
        <v>0.41</v>
      </c>
      <c r="ED11" s="95" t="s">
        <v>100</v>
      </c>
      <c r="EE11" s="95">
        <v>0.41</v>
      </c>
      <c r="EG11" s="95" t="s">
        <v>70</v>
      </c>
      <c r="EH11" s="95">
        <v>55</v>
      </c>
      <c r="EI11" s="95" t="s">
        <v>55</v>
      </c>
      <c r="EM11" s="95" t="s">
        <v>101</v>
      </c>
      <c r="EN11" s="95">
        <v>0.39</v>
      </c>
      <c r="EP11" s="95" t="s">
        <v>101</v>
      </c>
      <c r="EQ11" s="95">
        <v>0.39</v>
      </c>
      <c r="ES11" s="95" t="s">
        <v>101</v>
      </c>
      <c r="ET11" s="95">
        <v>0.39</v>
      </c>
      <c r="EV11" s="95" t="s">
        <v>422</v>
      </c>
      <c r="EW11" s="95">
        <v>55</v>
      </c>
      <c r="EX11" s="95" t="s">
        <v>55</v>
      </c>
      <c r="FB11" s="95" t="s">
        <v>317</v>
      </c>
      <c r="FC11" s="95">
        <v>2.1999999999999999E-2</v>
      </c>
      <c r="FE11" s="95" t="s">
        <v>317</v>
      </c>
      <c r="FF11" s="95">
        <v>2.1999999999999999E-2</v>
      </c>
      <c r="FH11" s="95" t="s">
        <v>317</v>
      </c>
      <c r="FI11" s="95">
        <v>2.1999999999999999E-2</v>
      </c>
      <c r="FK11" s="95" t="s">
        <v>422</v>
      </c>
      <c r="FL11" s="95">
        <v>55</v>
      </c>
      <c r="FM11" s="95" t="s">
        <v>55</v>
      </c>
      <c r="FT11" s="95" t="s">
        <v>314</v>
      </c>
      <c r="FU11" s="357">
        <v>1</v>
      </c>
      <c r="FW11" s="95" t="s">
        <v>314</v>
      </c>
      <c r="FX11" s="357">
        <v>1</v>
      </c>
      <c r="FZ11" s="95" t="s">
        <v>422</v>
      </c>
      <c r="GA11" s="95">
        <v>55</v>
      </c>
      <c r="GB11" s="95" t="s">
        <v>55</v>
      </c>
      <c r="GF11" s="95" t="s">
        <v>302</v>
      </c>
      <c r="GG11" s="95">
        <v>2.1999999999999999E-2</v>
      </c>
      <c r="GI11" s="95" t="s">
        <v>302</v>
      </c>
      <c r="GJ11" s="95">
        <v>2.1999999999999999E-2</v>
      </c>
      <c r="GL11" s="95" t="s">
        <v>302</v>
      </c>
      <c r="GM11" s="95">
        <v>2.1999999999999999E-2</v>
      </c>
      <c r="GO11" s="95" t="s">
        <v>422</v>
      </c>
      <c r="GP11" s="95">
        <v>55</v>
      </c>
      <c r="GQ11" s="95" t="s">
        <v>55</v>
      </c>
      <c r="GU11" s="95" t="s">
        <v>307</v>
      </c>
      <c r="GV11" s="95">
        <v>0.37</v>
      </c>
      <c r="GX11" s="95" t="s">
        <v>307</v>
      </c>
      <c r="GY11" s="95">
        <v>0.37</v>
      </c>
      <c r="HA11" s="95" t="s">
        <v>307</v>
      </c>
      <c r="HB11" s="95">
        <v>0.37</v>
      </c>
      <c r="HD11" s="95" t="s">
        <v>92</v>
      </c>
      <c r="HE11" s="95">
        <v>26</v>
      </c>
    </row>
    <row r="12" spans="1:214" s="95" customFormat="1" ht="13.5" thickBot="1" x14ac:dyDescent="0.25">
      <c r="A12" s="430" t="s">
        <v>471</v>
      </c>
      <c r="B12" s="431">
        <v>0.46300000000000002</v>
      </c>
      <c r="C12" s="432"/>
      <c r="D12" s="95" t="s">
        <v>93</v>
      </c>
      <c r="E12" s="95">
        <f>B44</f>
        <v>0</v>
      </c>
      <c r="F12" s="95" t="s">
        <v>83</v>
      </c>
      <c r="G12" s="95" t="s">
        <v>256</v>
      </c>
      <c r="H12" s="354">
        <f>H5/(H8*(1/H45)*H21)</f>
        <v>83925.409854912505</v>
      </c>
      <c r="I12" s="95" t="s">
        <v>22</v>
      </c>
      <c r="J12" s="95" t="s">
        <v>52</v>
      </c>
      <c r="K12" s="354">
        <f>0.693/K13</f>
        <v>66.155354824913829</v>
      </c>
      <c r="M12" s="95" t="s">
        <v>102</v>
      </c>
      <c r="N12" s="354">
        <f>B2</f>
        <v>6.8000000000000005E-2</v>
      </c>
      <c r="P12" s="95" t="s">
        <v>102</v>
      </c>
      <c r="Q12" s="354">
        <f>B5</f>
        <v>3.7100000000000001E-2</v>
      </c>
      <c r="S12" s="95" t="s">
        <v>102</v>
      </c>
      <c r="T12" s="354">
        <f>B9</f>
        <v>5.8400000000000001E-2</v>
      </c>
      <c r="W12" s="95">
        <v>24</v>
      </c>
      <c r="X12" s="95" t="s">
        <v>85</v>
      </c>
      <c r="Z12" s="95">
        <v>24</v>
      </c>
      <c r="AA12" s="95" t="s">
        <v>85</v>
      </c>
      <c r="AB12" s="95" t="s">
        <v>410</v>
      </c>
      <c r="AF12" s="95">
        <v>5</v>
      </c>
      <c r="AG12" s="95">
        <v>5</v>
      </c>
      <c r="AH12" s="95" t="s">
        <v>210</v>
      </c>
      <c r="AI12" s="95" t="s">
        <v>102</v>
      </c>
      <c r="AJ12" s="354">
        <f>B2</f>
        <v>6.8000000000000005E-2</v>
      </c>
      <c r="AL12" s="95" t="s">
        <v>102</v>
      </c>
      <c r="AM12" s="354">
        <f>B5</f>
        <v>3.7100000000000001E-2</v>
      </c>
      <c r="AO12" s="95" t="s">
        <v>102</v>
      </c>
      <c r="AP12" s="354">
        <f>B9</f>
        <v>5.8400000000000001E-2</v>
      </c>
      <c r="AR12" s="95" t="s">
        <v>102</v>
      </c>
      <c r="AS12" s="354">
        <f>B2</f>
        <v>6.8000000000000005E-2</v>
      </c>
      <c r="AU12" s="95" t="s">
        <v>102</v>
      </c>
      <c r="AV12" s="354">
        <f>B5</f>
        <v>3.7100000000000001E-2</v>
      </c>
      <c r="AX12" s="95" t="s">
        <v>102</v>
      </c>
      <c r="AY12" s="354">
        <f>B9</f>
        <v>5.8400000000000001E-2</v>
      </c>
      <c r="BA12" s="95" t="s">
        <v>102</v>
      </c>
      <c r="BB12" s="354">
        <f>B2</f>
        <v>6.8000000000000005E-2</v>
      </c>
      <c r="BD12" s="95" t="s">
        <v>102</v>
      </c>
      <c r="BE12" s="354">
        <f>B5</f>
        <v>3.7100000000000001E-2</v>
      </c>
      <c r="BG12" s="95" t="s">
        <v>102</v>
      </c>
      <c r="BH12" s="354">
        <f>B9</f>
        <v>5.8400000000000001E-2</v>
      </c>
      <c r="BJ12" s="95" t="s">
        <v>68</v>
      </c>
      <c r="BK12" s="95">
        <v>1</v>
      </c>
      <c r="BL12" s="95" t="s">
        <v>62</v>
      </c>
      <c r="BM12" s="95" t="s">
        <v>68</v>
      </c>
      <c r="BN12" s="95">
        <v>1</v>
      </c>
      <c r="BO12" s="95" t="s">
        <v>62</v>
      </c>
      <c r="BP12" s="95" t="s">
        <v>68</v>
      </c>
      <c r="BQ12" s="95">
        <v>1</v>
      </c>
      <c r="BR12" s="95" t="s">
        <v>62</v>
      </c>
      <c r="BS12" s="95" t="s">
        <v>93</v>
      </c>
      <c r="BT12" s="95">
        <f>B44</f>
        <v>0</v>
      </c>
      <c r="BU12" s="95" t="s">
        <v>83</v>
      </c>
      <c r="BV12" s="95" t="s">
        <v>256</v>
      </c>
      <c r="BW12" s="354">
        <f>BW5/(BW8*(1/BW32)*BW16)</f>
        <v>437846.75363622728</v>
      </c>
      <c r="BX12" s="95" t="s">
        <v>22</v>
      </c>
      <c r="BY12" s="95" t="s">
        <v>448</v>
      </c>
      <c r="BZ12" s="354">
        <f>B29</f>
        <v>1.04753425E-2</v>
      </c>
      <c r="CA12" s="95" t="s">
        <v>129</v>
      </c>
      <c r="CB12" s="95" t="s">
        <v>113</v>
      </c>
      <c r="CC12" s="354">
        <f>B3</f>
        <v>0.75600000000000001</v>
      </c>
      <c r="CE12" s="95" t="s">
        <v>113</v>
      </c>
      <c r="CF12" s="354">
        <f>B6</f>
        <v>0.65</v>
      </c>
      <c r="CH12" s="95" t="s">
        <v>113</v>
      </c>
      <c r="CI12" s="354">
        <f>B10</f>
        <v>0.70099999999999996</v>
      </c>
      <c r="CN12" s="95" t="s">
        <v>336</v>
      </c>
      <c r="CO12" s="357">
        <v>1</v>
      </c>
      <c r="CP12" s="95" t="s">
        <v>80</v>
      </c>
      <c r="CT12" s="95" t="s">
        <v>52</v>
      </c>
      <c r="CU12" s="354">
        <f>0.693/CU13</f>
        <v>66.155354824913829</v>
      </c>
      <c r="CW12" s="95" t="s">
        <v>93</v>
      </c>
      <c r="CX12" s="95">
        <v>55</v>
      </c>
      <c r="CY12" s="95" t="s">
        <v>83</v>
      </c>
      <c r="CZ12" s="95" t="s">
        <v>448</v>
      </c>
      <c r="DA12" s="354">
        <f>B29</f>
        <v>1.04753425E-2</v>
      </c>
      <c r="DB12" s="95" t="s">
        <v>129</v>
      </c>
      <c r="DC12" s="95" t="s">
        <v>147</v>
      </c>
      <c r="DD12" s="354">
        <v>55</v>
      </c>
      <c r="DE12" s="95" t="s">
        <v>413</v>
      </c>
      <c r="DF12" s="95" t="s">
        <v>109</v>
      </c>
      <c r="DG12" s="95">
        <v>10950</v>
      </c>
      <c r="DH12" s="95" t="s">
        <v>110</v>
      </c>
      <c r="DO12" s="95" t="s">
        <v>109</v>
      </c>
      <c r="DP12" s="95">
        <v>10950</v>
      </c>
      <c r="DQ12" s="95" t="s">
        <v>110</v>
      </c>
      <c r="DR12" s="95" t="s">
        <v>78</v>
      </c>
      <c r="DS12" s="95">
        <v>55</v>
      </c>
      <c r="DT12" s="95" t="s">
        <v>55</v>
      </c>
      <c r="DX12" s="95" t="s">
        <v>111</v>
      </c>
      <c r="DY12" s="95">
        <v>1</v>
      </c>
      <c r="EA12" s="95" t="s">
        <v>111</v>
      </c>
      <c r="EB12" s="95">
        <v>1</v>
      </c>
      <c r="ED12" s="95" t="s">
        <v>111</v>
      </c>
      <c r="EE12" s="95">
        <v>1</v>
      </c>
      <c r="EG12" s="95" t="s">
        <v>78</v>
      </c>
      <c r="EH12" s="95">
        <v>55</v>
      </c>
      <c r="EI12" s="95" t="s">
        <v>55</v>
      </c>
      <c r="EM12" s="95" t="s">
        <v>112</v>
      </c>
      <c r="EN12" s="95">
        <v>1</v>
      </c>
      <c r="EP12" s="95" t="s">
        <v>112</v>
      </c>
      <c r="EQ12" s="95">
        <v>1</v>
      </c>
      <c r="ES12" s="95" t="s">
        <v>112</v>
      </c>
      <c r="ET12" s="95">
        <v>1</v>
      </c>
      <c r="EV12" s="95" t="s">
        <v>423</v>
      </c>
      <c r="EW12" s="95">
        <v>55</v>
      </c>
      <c r="EX12" s="95" t="s">
        <v>55</v>
      </c>
      <c r="FB12" s="95" t="s">
        <v>319</v>
      </c>
      <c r="FC12" s="357">
        <v>1</v>
      </c>
      <c r="FE12" s="95" t="s">
        <v>319</v>
      </c>
      <c r="FF12" s="357">
        <v>1</v>
      </c>
      <c r="FH12" s="95" t="s">
        <v>319</v>
      </c>
      <c r="FI12" s="357">
        <v>1</v>
      </c>
      <c r="FK12" s="95" t="s">
        <v>423</v>
      </c>
      <c r="FL12" s="95">
        <v>55</v>
      </c>
      <c r="FM12" s="95" t="s">
        <v>55</v>
      </c>
      <c r="FT12" s="95" t="s">
        <v>313</v>
      </c>
      <c r="FU12" s="357">
        <v>1</v>
      </c>
      <c r="FW12" s="95" t="s">
        <v>313</v>
      </c>
      <c r="FX12" s="357">
        <v>1</v>
      </c>
      <c r="FZ12" s="95" t="s">
        <v>423</v>
      </c>
      <c r="GA12" s="95">
        <v>55</v>
      </c>
      <c r="GB12" s="95" t="s">
        <v>55</v>
      </c>
      <c r="GF12" s="95" t="s">
        <v>303</v>
      </c>
      <c r="GG12" s="95">
        <v>1</v>
      </c>
      <c r="GI12" s="95" t="s">
        <v>303</v>
      </c>
      <c r="GJ12" s="95">
        <v>1</v>
      </c>
      <c r="GL12" s="95" t="s">
        <v>303</v>
      </c>
      <c r="GM12" s="95">
        <v>1</v>
      </c>
      <c r="GO12" s="95" t="s">
        <v>423</v>
      </c>
      <c r="GP12" s="95">
        <v>55</v>
      </c>
      <c r="GQ12" s="95" t="s">
        <v>55</v>
      </c>
      <c r="GU12" s="95" t="s">
        <v>308</v>
      </c>
      <c r="GV12" s="95">
        <v>1</v>
      </c>
      <c r="GX12" s="95" t="s">
        <v>308</v>
      </c>
      <c r="GY12" s="95">
        <v>1</v>
      </c>
      <c r="HA12" s="95" t="s">
        <v>308</v>
      </c>
      <c r="HB12" s="95">
        <v>1</v>
      </c>
      <c r="HE12" s="354"/>
    </row>
    <row r="13" spans="1:214" s="95" customFormat="1" ht="13.5" thickTop="1" x14ac:dyDescent="0.2">
      <c r="A13" s="496" t="s">
        <v>450</v>
      </c>
      <c r="B13" s="497"/>
      <c r="C13" s="498"/>
      <c r="D13" s="95" t="s">
        <v>103</v>
      </c>
      <c r="E13" s="95">
        <f>B45</f>
        <v>10</v>
      </c>
      <c r="F13" s="95" t="s">
        <v>83</v>
      </c>
      <c r="G13" s="95" t="s">
        <v>407</v>
      </c>
      <c r="H13" s="354" t="e">
        <f>H14/((1/H42)*(H50+H51+H52))</f>
        <v>#DIV/0!</v>
      </c>
      <c r="I13" s="95" t="s">
        <v>22</v>
      </c>
      <c r="J13" s="95" t="s">
        <v>448</v>
      </c>
      <c r="K13" s="354">
        <f>B29</f>
        <v>1.04753425E-2</v>
      </c>
      <c r="L13" s="95" t="s">
        <v>129</v>
      </c>
      <c r="M13" s="95" t="s">
        <v>113</v>
      </c>
      <c r="N13" s="354">
        <f>B3</f>
        <v>0.75600000000000001</v>
      </c>
      <c r="P13" s="95" t="s">
        <v>113</v>
      </c>
      <c r="Q13" s="354">
        <f>B6</f>
        <v>0.65</v>
      </c>
      <c r="S13" s="95" t="s">
        <v>113</v>
      </c>
      <c r="T13" s="354">
        <f>B10</f>
        <v>0.70099999999999996</v>
      </c>
      <c r="V13" s="95" t="s">
        <v>104</v>
      </c>
      <c r="W13" s="95">
        <v>60</v>
      </c>
      <c r="X13" s="95" t="s">
        <v>83</v>
      </c>
      <c r="Y13" s="95" t="s">
        <v>104</v>
      </c>
      <c r="Z13" s="95">
        <v>55</v>
      </c>
      <c r="AA13" s="95" t="s">
        <v>83</v>
      </c>
      <c r="AB13" s="95" t="s">
        <v>411</v>
      </c>
      <c r="AF13" s="95">
        <v>26</v>
      </c>
      <c r="AG13" s="95">
        <v>26</v>
      </c>
      <c r="AH13" s="95" t="s">
        <v>412</v>
      </c>
      <c r="AI13" s="95" t="s">
        <v>113</v>
      </c>
      <c r="AJ13" s="354">
        <f>B3</f>
        <v>0.75600000000000001</v>
      </c>
      <c r="AL13" s="95" t="s">
        <v>113</v>
      </c>
      <c r="AM13" s="354">
        <f>B6</f>
        <v>0.65</v>
      </c>
      <c r="AO13" s="95" t="s">
        <v>113</v>
      </c>
      <c r="AP13" s="354">
        <f>B10</f>
        <v>0.70099999999999996</v>
      </c>
      <c r="AR13" s="95" t="s">
        <v>113</v>
      </c>
      <c r="AS13" s="354">
        <f>B3</f>
        <v>0.75600000000000001</v>
      </c>
      <c r="AU13" s="95" t="s">
        <v>113</v>
      </c>
      <c r="AV13" s="354">
        <f>B6</f>
        <v>0.65</v>
      </c>
      <c r="AX13" s="95" t="s">
        <v>113</v>
      </c>
      <c r="AY13" s="354">
        <f>B10</f>
        <v>0.70099999999999996</v>
      </c>
      <c r="BA13" s="95" t="s">
        <v>113</v>
      </c>
      <c r="BB13" s="354">
        <f>B3</f>
        <v>0.75600000000000001</v>
      </c>
      <c r="BD13" s="95" t="s">
        <v>113</v>
      </c>
      <c r="BE13" s="354">
        <f>B6</f>
        <v>0.65</v>
      </c>
      <c r="BG13" s="95" t="s">
        <v>113</v>
      </c>
      <c r="BH13" s="354">
        <f>B10</f>
        <v>0.70099999999999996</v>
      </c>
      <c r="BJ13" s="95" t="s">
        <v>102</v>
      </c>
      <c r="BK13" s="354">
        <f>B2</f>
        <v>6.8000000000000005E-2</v>
      </c>
      <c r="BM13" s="95" t="s">
        <v>102</v>
      </c>
      <c r="BN13" s="354">
        <f>B5</f>
        <v>3.7100000000000001E-2</v>
      </c>
      <c r="BP13" s="95" t="s">
        <v>102</v>
      </c>
      <c r="BQ13" s="354">
        <f>B9</f>
        <v>5.8400000000000001E-2</v>
      </c>
      <c r="BS13" s="95" t="s">
        <v>103</v>
      </c>
      <c r="BT13" s="95">
        <f>B45</f>
        <v>10</v>
      </c>
      <c r="BU13" s="95" t="s">
        <v>83</v>
      </c>
      <c r="BV13" s="95" t="s">
        <v>86</v>
      </c>
      <c r="BW13" s="371">
        <f>((BW18*BW21*BW23*BW26*BW14)+(BW19*BW22*BW24*BW27*BW15))</f>
        <v>58.5</v>
      </c>
      <c r="BX13" s="95" t="s">
        <v>196</v>
      </c>
      <c r="BY13" s="95" t="s">
        <v>142</v>
      </c>
      <c r="BZ13" s="354" t="e">
        <f>(BZ5/(BZ6*BZ16*(1/BZ36)))*BZ10</f>
        <v>#DIV/0!</v>
      </c>
      <c r="CA13" s="95" t="s">
        <v>23</v>
      </c>
      <c r="CB13" s="95" t="s">
        <v>182</v>
      </c>
      <c r="CC13" s="95">
        <v>2</v>
      </c>
      <c r="CD13" s="95" t="s">
        <v>127</v>
      </c>
      <c r="CE13" s="95" t="s">
        <v>182</v>
      </c>
      <c r="CF13" s="95">
        <v>2</v>
      </c>
      <c r="CG13" s="95" t="s">
        <v>127</v>
      </c>
      <c r="CH13" s="95" t="s">
        <v>182</v>
      </c>
      <c r="CI13" s="95">
        <v>2</v>
      </c>
      <c r="CJ13" s="95" t="s">
        <v>127</v>
      </c>
      <c r="CN13" s="95" t="s">
        <v>337</v>
      </c>
      <c r="CO13" s="357">
        <v>1</v>
      </c>
      <c r="CP13" s="95" t="s">
        <v>80</v>
      </c>
      <c r="CT13" s="95" t="s">
        <v>448</v>
      </c>
      <c r="CU13" s="354">
        <f>B29</f>
        <v>1.04753425E-2</v>
      </c>
      <c r="CV13" s="95" t="s">
        <v>129</v>
      </c>
      <c r="CW13" s="95" t="s">
        <v>103</v>
      </c>
      <c r="CX13" s="95">
        <v>55</v>
      </c>
      <c r="CY13" s="95" t="s">
        <v>83</v>
      </c>
      <c r="CZ13" s="95" t="s">
        <v>142</v>
      </c>
      <c r="DA13" s="354" t="e">
        <f>DA5/(DA6*DA24)</f>
        <v>#DIV/0!</v>
      </c>
      <c r="DB13" s="95" t="s">
        <v>25</v>
      </c>
      <c r="DC13" s="95" t="s">
        <v>152</v>
      </c>
      <c r="DD13" s="354">
        <v>55</v>
      </c>
      <c r="DE13" s="95" t="s">
        <v>413</v>
      </c>
      <c r="DF13" s="95" t="s">
        <v>120</v>
      </c>
      <c r="DG13" s="95">
        <v>240</v>
      </c>
      <c r="DH13" s="95" t="s">
        <v>121</v>
      </c>
      <c r="DO13" s="95" t="s">
        <v>120</v>
      </c>
      <c r="DP13" s="95">
        <v>240</v>
      </c>
      <c r="DQ13" s="95" t="s">
        <v>121</v>
      </c>
      <c r="DR13" s="95" t="s">
        <v>246</v>
      </c>
      <c r="DS13" s="95">
        <v>5</v>
      </c>
      <c r="DT13" s="95" t="s">
        <v>129</v>
      </c>
      <c r="DX13" s="95" t="s">
        <v>122</v>
      </c>
      <c r="DY13" s="95">
        <v>1</v>
      </c>
      <c r="EA13" s="95" t="s">
        <v>122</v>
      </c>
      <c r="EB13" s="95">
        <v>1</v>
      </c>
      <c r="ED13" s="95" t="s">
        <v>122</v>
      </c>
      <c r="EE13" s="95">
        <v>1</v>
      </c>
      <c r="EG13" s="95" t="s">
        <v>246</v>
      </c>
      <c r="EH13" s="95">
        <v>5</v>
      </c>
      <c r="EI13" s="95" t="s">
        <v>129</v>
      </c>
      <c r="EM13" s="95" t="s">
        <v>123</v>
      </c>
      <c r="EN13" s="95">
        <v>1</v>
      </c>
      <c r="EP13" s="95" t="s">
        <v>123</v>
      </c>
      <c r="EQ13" s="95">
        <v>1</v>
      </c>
      <c r="ES13" s="95" t="s">
        <v>123</v>
      </c>
      <c r="ET13" s="95">
        <v>1</v>
      </c>
      <c r="EV13" s="95" t="s">
        <v>246</v>
      </c>
      <c r="EW13" s="95">
        <v>5</v>
      </c>
      <c r="EX13" s="95" t="s">
        <v>129</v>
      </c>
      <c r="FB13" s="95" t="s">
        <v>320</v>
      </c>
      <c r="FC13" s="357">
        <v>1</v>
      </c>
      <c r="FE13" s="95" t="s">
        <v>320</v>
      </c>
      <c r="FF13" s="357">
        <v>1</v>
      </c>
      <c r="FH13" s="95" t="s">
        <v>320</v>
      </c>
      <c r="FI13" s="357">
        <v>1</v>
      </c>
      <c r="FK13" s="95" t="s">
        <v>246</v>
      </c>
      <c r="FL13" s="95">
        <v>5</v>
      </c>
      <c r="FM13" s="95" t="s">
        <v>129</v>
      </c>
      <c r="FT13" s="95" t="s">
        <v>312</v>
      </c>
      <c r="FU13" s="357">
        <v>1</v>
      </c>
      <c r="FW13" s="95" t="s">
        <v>312</v>
      </c>
      <c r="FX13" s="357">
        <v>1</v>
      </c>
      <c r="FZ13" s="95" t="s">
        <v>246</v>
      </c>
      <c r="GA13" s="95">
        <v>5</v>
      </c>
      <c r="GB13" s="95" t="s">
        <v>129</v>
      </c>
      <c r="GF13" s="95" t="s">
        <v>304</v>
      </c>
      <c r="GG13" s="95">
        <v>1</v>
      </c>
      <c r="GI13" s="95" t="s">
        <v>304</v>
      </c>
      <c r="GJ13" s="95">
        <v>1</v>
      </c>
      <c r="GL13" s="95" t="s">
        <v>304</v>
      </c>
      <c r="GM13" s="95">
        <v>1</v>
      </c>
      <c r="GO13" s="95" t="s">
        <v>246</v>
      </c>
      <c r="GP13" s="95">
        <v>5</v>
      </c>
      <c r="GQ13" s="95" t="s">
        <v>129</v>
      </c>
      <c r="GU13" s="95" t="s">
        <v>309</v>
      </c>
      <c r="GV13" s="95">
        <v>1</v>
      </c>
      <c r="GX13" s="95" t="s">
        <v>309</v>
      </c>
      <c r="GY13" s="95">
        <v>1</v>
      </c>
      <c r="HA13" s="95" t="s">
        <v>309</v>
      </c>
      <c r="HB13" s="95">
        <v>1</v>
      </c>
      <c r="HD13" s="95" t="s">
        <v>428</v>
      </c>
      <c r="HE13" s="354">
        <v>10</v>
      </c>
    </row>
    <row r="14" spans="1:214" s="95" customFormat="1" x14ac:dyDescent="0.2">
      <c r="A14" s="499"/>
      <c r="B14" s="500"/>
      <c r="C14" s="501"/>
      <c r="D14" s="95" t="s">
        <v>114</v>
      </c>
      <c r="E14" s="95">
        <v>24</v>
      </c>
      <c r="F14" s="95" t="s">
        <v>85</v>
      </c>
      <c r="G14" s="95" t="s">
        <v>406</v>
      </c>
      <c r="H14" s="354" t="e">
        <f>H5/(H9*(H22+H25)*H43)</f>
        <v>#DIV/0!</v>
      </c>
      <c r="I14" s="95" t="s">
        <v>23</v>
      </c>
      <c r="J14" s="95" t="s">
        <v>142</v>
      </c>
      <c r="K14" s="354" t="e">
        <f>(K5/(K6*K19*(1/K48)))*K11</f>
        <v>#DIV/0!</v>
      </c>
      <c r="L14" s="95" t="s">
        <v>23</v>
      </c>
      <c r="M14" s="95" t="s">
        <v>124</v>
      </c>
      <c r="N14" s="95">
        <v>1.752</v>
      </c>
      <c r="O14" s="95" t="s">
        <v>127</v>
      </c>
      <c r="P14" s="95" t="s">
        <v>124</v>
      </c>
      <c r="Q14" s="95">
        <v>1.752</v>
      </c>
      <c r="R14" s="95" t="s">
        <v>127</v>
      </c>
      <c r="S14" s="95" t="s">
        <v>124</v>
      </c>
      <c r="T14" s="95">
        <v>1.752</v>
      </c>
      <c r="U14" s="95" t="s">
        <v>127</v>
      </c>
      <c r="V14" s="95" t="s">
        <v>115</v>
      </c>
      <c r="W14" s="354">
        <f>B26</f>
        <v>7.8500000000000008E-9</v>
      </c>
      <c r="X14" s="95" t="s">
        <v>116</v>
      </c>
      <c r="Y14" s="95" t="s">
        <v>115</v>
      </c>
      <c r="Z14" s="354">
        <f>B26</f>
        <v>7.8500000000000008E-9</v>
      </c>
      <c r="AA14" s="95" t="s">
        <v>116</v>
      </c>
      <c r="AB14" s="95" t="s">
        <v>126</v>
      </c>
      <c r="AF14" s="95">
        <v>8</v>
      </c>
      <c r="AG14" s="95">
        <v>8</v>
      </c>
      <c r="AH14" s="95" t="s">
        <v>85</v>
      </c>
      <c r="AI14" s="95" t="s">
        <v>124</v>
      </c>
      <c r="AJ14" s="95">
        <v>0</v>
      </c>
      <c r="AK14" s="95" t="s">
        <v>127</v>
      </c>
      <c r="AL14" s="95" t="s">
        <v>124</v>
      </c>
      <c r="AM14" s="95">
        <v>0</v>
      </c>
      <c r="AN14" s="95" t="s">
        <v>127</v>
      </c>
      <c r="AO14" s="95" t="s">
        <v>124</v>
      </c>
      <c r="AP14" s="95">
        <v>0</v>
      </c>
      <c r="AQ14" s="95" t="s">
        <v>127</v>
      </c>
      <c r="AR14" s="95" t="s">
        <v>124</v>
      </c>
      <c r="AS14" s="95">
        <v>5</v>
      </c>
      <c r="AT14" s="95" t="s">
        <v>127</v>
      </c>
      <c r="AU14" s="95" t="s">
        <v>124</v>
      </c>
      <c r="AV14" s="95">
        <v>5</v>
      </c>
      <c r="AW14" s="95" t="s">
        <v>127</v>
      </c>
      <c r="AX14" s="95" t="s">
        <v>126</v>
      </c>
      <c r="AY14" s="95">
        <v>5</v>
      </c>
      <c r="AZ14" s="95" t="s">
        <v>127</v>
      </c>
      <c r="BA14" s="95" t="s">
        <v>124</v>
      </c>
      <c r="BB14" s="95">
        <v>5</v>
      </c>
      <c r="BC14" s="95" t="s">
        <v>127</v>
      </c>
      <c r="BD14" s="95" t="s">
        <v>124</v>
      </c>
      <c r="BE14" s="95">
        <v>5</v>
      </c>
      <c r="BF14" s="95" t="s">
        <v>127</v>
      </c>
      <c r="BG14" s="95" t="s">
        <v>126</v>
      </c>
      <c r="BH14" s="95">
        <v>5</v>
      </c>
      <c r="BI14" s="95" t="s">
        <v>127</v>
      </c>
      <c r="BJ14" s="95" t="s">
        <v>113</v>
      </c>
      <c r="BK14" s="354">
        <f>B3</f>
        <v>0.75600000000000001</v>
      </c>
      <c r="BM14" s="95" t="s">
        <v>113</v>
      </c>
      <c r="BN14" s="354">
        <f>B6</f>
        <v>0.65</v>
      </c>
      <c r="BP14" s="95" t="s">
        <v>113</v>
      </c>
      <c r="BQ14" s="354">
        <f>B10</f>
        <v>0.70099999999999996</v>
      </c>
      <c r="BS14" s="95" t="s">
        <v>436</v>
      </c>
      <c r="BT14" s="95">
        <v>1</v>
      </c>
      <c r="BU14" s="95" t="s">
        <v>85</v>
      </c>
      <c r="BV14" s="95" t="s">
        <v>105</v>
      </c>
      <c r="BW14" s="95">
        <v>0.05</v>
      </c>
      <c r="BX14" s="95" t="s">
        <v>95</v>
      </c>
      <c r="BY14" s="95" t="s">
        <v>134</v>
      </c>
      <c r="BZ14" s="354">
        <f>(BZ5/(BZ7*BZ17*(1/BZ9)*BZ35))*BZ10</f>
        <v>42357351729.269958</v>
      </c>
      <c r="CA14" s="95" t="s">
        <v>23</v>
      </c>
      <c r="CB14" s="95" t="s">
        <v>131</v>
      </c>
      <c r="CC14" s="354">
        <f>B21</f>
        <v>8.4800000000000001E-6</v>
      </c>
      <c r="CD14" s="95" t="s">
        <v>132</v>
      </c>
      <c r="CE14" s="95" t="s">
        <v>131</v>
      </c>
      <c r="CF14" s="354">
        <f>B23</f>
        <v>9.8500000000000001E-10</v>
      </c>
      <c r="CG14" s="95" t="s">
        <v>132</v>
      </c>
      <c r="CH14" s="95" t="s">
        <v>131</v>
      </c>
      <c r="CI14" s="354">
        <f>B25</f>
        <v>7.1899999999999998E-6</v>
      </c>
      <c r="CJ14" s="95" t="s">
        <v>132</v>
      </c>
      <c r="CT14" s="95" t="s">
        <v>142</v>
      </c>
      <c r="CU14" s="354" t="e">
        <f>(CU5/(CU6*CU25*(1/CU48)))*CU11</f>
        <v>#DIV/0!</v>
      </c>
      <c r="CV14" s="95" t="s">
        <v>23</v>
      </c>
      <c r="CW14" s="95" t="s">
        <v>181</v>
      </c>
      <c r="CX14" s="95">
        <v>5</v>
      </c>
      <c r="CY14" s="95" t="s">
        <v>85</v>
      </c>
      <c r="CZ14" s="95" t="s">
        <v>134</v>
      </c>
      <c r="DA14" s="354">
        <f>DA5/(DA7*DA25*DA43)</f>
        <v>0.93370681605975725</v>
      </c>
      <c r="DB14" s="95" t="s">
        <v>25</v>
      </c>
      <c r="DC14" s="95" t="s">
        <v>270</v>
      </c>
      <c r="DD14" s="95">
        <v>55</v>
      </c>
      <c r="DE14" s="95" t="s">
        <v>55</v>
      </c>
      <c r="DF14" s="95" t="s">
        <v>130</v>
      </c>
      <c r="DG14" s="95">
        <v>0.26</v>
      </c>
      <c r="DO14" s="95" t="s">
        <v>130</v>
      </c>
      <c r="DP14" s="95">
        <v>0.26</v>
      </c>
      <c r="DR14" s="95" t="s">
        <v>247</v>
      </c>
      <c r="DS14" s="95">
        <v>35</v>
      </c>
      <c r="DT14" s="95" t="s">
        <v>129</v>
      </c>
      <c r="ED14" s="95" t="s">
        <v>130</v>
      </c>
      <c r="EE14" s="95">
        <v>0.25</v>
      </c>
      <c r="EG14" s="95" t="s">
        <v>247</v>
      </c>
      <c r="EH14" s="95">
        <v>35</v>
      </c>
      <c r="EI14" s="95" t="s">
        <v>129</v>
      </c>
      <c r="ES14" s="95" t="s">
        <v>130</v>
      </c>
      <c r="ET14" s="95">
        <v>0.25</v>
      </c>
      <c r="EV14" s="95" t="s">
        <v>247</v>
      </c>
      <c r="EW14" s="95">
        <v>35</v>
      </c>
      <c r="EX14" s="95" t="s">
        <v>129</v>
      </c>
      <c r="FH14" s="95" t="s">
        <v>130</v>
      </c>
      <c r="FI14" s="95">
        <v>0.25</v>
      </c>
      <c r="FK14" s="95" t="s">
        <v>247</v>
      </c>
      <c r="FL14" s="95">
        <v>35</v>
      </c>
      <c r="FM14" s="95" t="s">
        <v>129</v>
      </c>
      <c r="FT14" s="95" t="s">
        <v>203</v>
      </c>
      <c r="FU14" s="354">
        <f>B34</f>
        <v>0</v>
      </c>
      <c r="FW14" s="95" t="s">
        <v>130</v>
      </c>
      <c r="FX14" s="95">
        <v>0.25</v>
      </c>
      <c r="FZ14" s="95" t="s">
        <v>247</v>
      </c>
      <c r="GA14" s="95">
        <v>35</v>
      </c>
      <c r="GB14" s="95" t="s">
        <v>129</v>
      </c>
      <c r="GL14" s="95" t="s">
        <v>305</v>
      </c>
      <c r="GM14" s="95">
        <v>0.25</v>
      </c>
      <c r="GO14" s="95" t="s">
        <v>247</v>
      </c>
      <c r="GP14" s="95">
        <v>35</v>
      </c>
      <c r="GQ14" s="95" t="s">
        <v>129</v>
      </c>
      <c r="HA14" s="95" t="s">
        <v>130</v>
      </c>
      <c r="HB14" s="95">
        <v>0.25</v>
      </c>
      <c r="HD14" s="95" t="s">
        <v>128</v>
      </c>
      <c r="HE14" s="95">
        <v>8.1999999999999993</v>
      </c>
    </row>
    <row r="15" spans="1:214" s="95" customFormat="1" ht="13.5" thickBot="1" x14ac:dyDescent="0.25">
      <c r="A15" s="499"/>
      <c r="B15" s="500"/>
      <c r="C15" s="501"/>
      <c r="E15" s="95">
        <v>24</v>
      </c>
      <c r="F15" s="95" t="s">
        <v>85</v>
      </c>
      <c r="G15" s="95" t="s">
        <v>86</v>
      </c>
      <c r="H15" s="372">
        <f>H32*H29*H17+H33*H30*H18</f>
        <v>215460</v>
      </c>
      <c r="I15" s="95" t="s">
        <v>196</v>
      </c>
      <c r="J15" s="95" t="s">
        <v>134</v>
      </c>
      <c r="K15" s="354">
        <f>(K5/(K7*K20*(1/K10)*K47))*K11</f>
        <v>1855655409.0918269</v>
      </c>
      <c r="L15" s="95" t="s">
        <v>23</v>
      </c>
      <c r="M15" s="95" t="s">
        <v>131</v>
      </c>
      <c r="N15" s="354">
        <f>B21</f>
        <v>8.4800000000000001E-6</v>
      </c>
      <c r="O15" s="95" t="s">
        <v>132</v>
      </c>
      <c r="P15" s="95" t="s">
        <v>131</v>
      </c>
      <c r="Q15" s="354">
        <f>B23</f>
        <v>9.8500000000000001E-10</v>
      </c>
      <c r="R15" s="95" t="s">
        <v>132</v>
      </c>
      <c r="S15" s="95" t="s">
        <v>131</v>
      </c>
      <c r="T15" s="354">
        <f>B25</f>
        <v>7.1899999999999998E-6</v>
      </c>
      <c r="U15" s="95" t="s">
        <v>132</v>
      </c>
      <c r="V15" s="95" t="s">
        <v>414</v>
      </c>
      <c r="W15" s="354">
        <f>B2</f>
        <v>6.8000000000000005E-2</v>
      </c>
      <c r="Y15" s="95" t="s">
        <v>414</v>
      </c>
      <c r="Z15" s="354">
        <f>B2</f>
        <v>6.8000000000000005E-2</v>
      </c>
      <c r="AB15" s="95" t="s">
        <v>136</v>
      </c>
      <c r="AF15" s="95">
        <v>1</v>
      </c>
      <c r="AG15" s="95">
        <v>1</v>
      </c>
      <c r="AI15" s="95" t="s">
        <v>131</v>
      </c>
      <c r="AJ15" s="354">
        <f>B21</f>
        <v>8.4800000000000001E-6</v>
      </c>
      <c r="AK15" s="95" t="s">
        <v>132</v>
      </c>
      <c r="AL15" s="95" t="s">
        <v>131</v>
      </c>
      <c r="AM15" s="354">
        <f>B23</f>
        <v>9.8500000000000001E-10</v>
      </c>
      <c r="AN15" s="95" t="s">
        <v>132</v>
      </c>
      <c r="AO15" s="95" t="s">
        <v>131</v>
      </c>
      <c r="AP15" s="354">
        <f>B25</f>
        <v>7.1899999999999998E-6</v>
      </c>
      <c r="AQ15" s="95" t="s">
        <v>132</v>
      </c>
      <c r="AR15" s="95" t="s">
        <v>131</v>
      </c>
      <c r="AS15" s="354">
        <f>B21</f>
        <v>8.4800000000000001E-6</v>
      </c>
      <c r="AT15" s="95" t="s">
        <v>132</v>
      </c>
      <c r="AU15" s="95" t="s">
        <v>131</v>
      </c>
      <c r="AV15" s="354">
        <f>B23</f>
        <v>9.8500000000000001E-10</v>
      </c>
      <c r="AW15" s="95" t="s">
        <v>132</v>
      </c>
      <c r="AX15" s="95" t="s">
        <v>131</v>
      </c>
      <c r="AY15" s="354">
        <f>B25</f>
        <v>7.1899999999999998E-6</v>
      </c>
      <c r="AZ15" s="95" t="s">
        <v>132</v>
      </c>
      <c r="BA15" s="95" t="s">
        <v>131</v>
      </c>
      <c r="BB15" s="354">
        <f>B21</f>
        <v>8.4800000000000001E-6</v>
      </c>
      <c r="BC15" s="95" t="s">
        <v>132</v>
      </c>
      <c r="BD15" s="95" t="s">
        <v>131</v>
      </c>
      <c r="BE15" s="354">
        <f>B23</f>
        <v>9.8500000000000001E-10</v>
      </c>
      <c r="BF15" s="95" t="s">
        <v>132</v>
      </c>
      <c r="BG15" s="95" t="s">
        <v>131</v>
      </c>
      <c r="BH15" s="354">
        <f>B25</f>
        <v>7.1899999999999998E-6</v>
      </c>
      <c r="BI15" s="95" t="s">
        <v>132</v>
      </c>
      <c r="BJ15" s="95" t="s">
        <v>124</v>
      </c>
      <c r="BK15" s="95">
        <f>8/24</f>
        <v>0.33333333333333331</v>
      </c>
      <c r="BL15" s="95" t="s">
        <v>125</v>
      </c>
      <c r="BM15" s="95" t="s">
        <v>124</v>
      </c>
      <c r="BN15" s="95">
        <f>8/24</f>
        <v>0.33333333333333331</v>
      </c>
      <c r="BO15" s="95" t="s">
        <v>125</v>
      </c>
      <c r="BP15" s="95" t="s">
        <v>126</v>
      </c>
      <c r="BQ15" s="95">
        <f>8/24</f>
        <v>0.33333333333333331</v>
      </c>
      <c r="BR15" s="95" t="s">
        <v>127</v>
      </c>
      <c r="BS15" s="95" t="s">
        <v>435</v>
      </c>
      <c r="BT15" s="95">
        <v>1</v>
      </c>
      <c r="BU15" s="95" t="s">
        <v>85</v>
      </c>
      <c r="BV15" s="95" t="s">
        <v>135</v>
      </c>
      <c r="BW15" s="95">
        <v>0.05</v>
      </c>
      <c r="BX15" s="95" t="s">
        <v>95</v>
      </c>
      <c r="BY15" s="95" t="s">
        <v>197</v>
      </c>
      <c r="BZ15" s="354">
        <f>((BZ5)/(BZ8*BZ22*(1/BZ34)*BZ25*BZ28*(1/24)*BZ31*BZ32))*BZ10</f>
        <v>8308.4988898101892</v>
      </c>
      <c r="CA15" s="95" t="s">
        <v>23</v>
      </c>
      <c r="CT15" s="95" t="s">
        <v>134</v>
      </c>
      <c r="CU15" s="354">
        <f>(CU5/(CU7*CU26*(1/CU10)*CU47))*CU11</f>
        <v>1679326162.0740514</v>
      </c>
      <c r="CV15" s="95" t="s">
        <v>23</v>
      </c>
      <c r="CW15" s="95" t="s">
        <v>179</v>
      </c>
      <c r="CX15" s="95">
        <v>5</v>
      </c>
      <c r="CY15" s="95" t="s">
        <v>85</v>
      </c>
      <c r="CZ15" s="95" t="s">
        <v>256</v>
      </c>
      <c r="DA15" s="354">
        <f>DA5/(DA8*DA26*(DA44/DA45))</f>
        <v>53457.236956525718</v>
      </c>
      <c r="DB15" s="95" t="s">
        <v>25</v>
      </c>
      <c r="DC15" s="95" t="s">
        <v>269</v>
      </c>
      <c r="DD15" s="95">
        <v>55</v>
      </c>
      <c r="DE15" s="95" t="s">
        <v>55</v>
      </c>
      <c r="DF15" s="95" t="s">
        <v>137</v>
      </c>
      <c r="DG15" s="95">
        <v>0.42</v>
      </c>
      <c r="DH15" s="95" t="s">
        <v>80</v>
      </c>
      <c r="DO15" s="95" t="s">
        <v>137</v>
      </c>
      <c r="DP15" s="95">
        <v>0.42</v>
      </c>
      <c r="DQ15" s="95" t="s">
        <v>80</v>
      </c>
      <c r="ED15" s="95" t="s">
        <v>58</v>
      </c>
      <c r="EE15" s="95">
        <v>92</v>
      </c>
      <c r="EF15" s="95" t="s">
        <v>59</v>
      </c>
      <c r="ES15" s="95" t="s">
        <v>60</v>
      </c>
      <c r="ET15" s="95">
        <v>53</v>
      </c>
      <c r="EU15" s="95" t="s">
        <v>59</v>
      </c>
      <c r="FH15" s="95" t="s">
        <v>297</v>
      </c>
      <c r="FI15" s="95">
        <v>0.4</v>
      </c>
      <c r="FJ15" s="95" t="s">
        <v>59</v>
      </c>
      <c r="FT15" s="95" t="s">
        <v>322</v>
      </c>
      <c r="FU15" s="354">
        <v>8.1999999999999993</v>
      </c>
      <c r="FW15" s="95" t="s">
        <v>300</v>
      </c>
      <c r="FX15" s="357">
        <v>1</v>
      </c>
      <c r="FY15" s="95" t="s">
        <v>59</v>
      </c>
      <c r="GL15" s="95" t="s">
        <v>298</v>
      </c>
      <c r="GM15" s="95">
        <v>0.4</v>
      </c>
      <c r="GN15" s="95" t="s">
        <v>59</v>
      </c>
      <c r="HA15" s="95" t="s">
        <v>299</v>
      </c>
      <c r="HB15" s="95">
        <v>11.4</v>
      </c>
      <c r="HC15" s="95" t="s">
        <v>59</v>
      </c>
    </row>
    <row r="16" spans="1:214" s="95" customFormat="1" ht="14.25" thickTop="1" thickBot="1" x14ac:dyDescent="0.25">
      <c r="A16" s="502"/>
      <c r="B16" s="503"/>
      <c r="C16" s="504"/>
      <c r="D16" s="95" t="s">
        <v>133</v>
      </c>
      <c r="E16" s="95">
        <v>6</v>
      </c>
      <c r="F16" s="95" t="s">
        <v>62</v>
      </c>
      <c r="G16" s="95" t="s">
        <v>82</v>
      </c>
      <c r="H16" s="373">
        <f>H29*H19*H32+H30*H20*H33</f>
        <v>70000</v>
      </c>
      <c r="I16" s="95" t="s">
        <v>444</v>
      </c>
      <c r="J16" s="95" t="s">
        <v>197</v>
      </c>
      <c r="K16" s="354">
        <f>(K5/(K8*K44*((K39*K43*(1/K37))+(K40*K42*(1/K37)))*K32*(1/K46)*K33))*K11</f>
        <v>38.631999383716412</v>
      </c>
      <c r="L16" s="95" t="s">
        <v>23</v>
      </c>
      <c r="M16" s="95" t="s">
        <v>151</v>
      </c>
      <c r="N16" s="95">
        <v>16.416</v>
      </c>
      <c r="O16" s="95" t="s">
        <v>127</v>
      </c>
      <c r="P16" s="95" t="s">
        <v>151</v>
      </c>
      <c r="Q16" s="95">
        <v>16.416</v>
      </c>
      <c r="R16" s="95" t="s">
        <v>127</v>
      </c>
      <c r="S16" s="95" t="s">
        <v>151</v>
      </c>
      <c r="T16" s="95">
        <v>16.416</v>
      </c>
      <c r="U16" s="95" t="s">
        <v>127</v>
      </c>
      <c r="V16" s="374" t="s">
        <v>134</v>
      </c>
      <c r="W16" s="375">
        <f>(W5)/((W11/W12)*W8*W9*W10*W13)</f>
        <v>1.3675213675213673</v>
      </c>
      <c r="X16" s="376" t="s">
        <v>37</v>
      </c>
      <c r="Y16" s="376" t="s">
        <v>134</v>
      </c>
      <c r="Z16" s="375">
        <f>(Z5)/((Z11/Z12)*Z8*Z9*Z10*Z13)</f>
        <v>1.2121212121212119</v>
      </c>
      <c r="AA16" s="377" t="s">
        <v>37</v>
      </c>
      <c r="AB16" s="95" t="s">
        <v>141</v>
      </c>
      <c r="AC16" s="95">
        <v>100</v>
      </c>
      <c r="AD16" s="95">
        <v>50</v>
      </c>
      <c r="AE16" s="95">
        <v>100</v>
      </c>
      <c r="AF16" s="95">
        <v>330</v>
      </c>
      <c r="AG16" s="95">
        <v>330</v>
      </c>
      <c r="AI16" s="95" t="s">
        <v>151</v>
      </c>
      <c r="AJ16" s="95">
        <v>8</v>
      </c>
      <c r="AK16" s="95" t="s">
        <v>127</v>
      </c>
      <c r="AL16" s="95" t="s">
        <v>151</v>
      </c>
      <c r="AM16" s="95">
        <v>8</v>
      </c>
      <c r="AN16" s="95" t="s">
        <v>127</v>
      </c>
      <c r="AO16" s="95" t="s">
        <v>151</v>
      </c>
      <c r="AP16" s="95">
        <v>8</v>
      </c>
      <c r="AQ16" s="95" t="s">
        <v>127</v>
      </c>
      <c r="AR16" s="95" t="s">
        <v>151</v>
      </c>
      <c r="AS16" s="95">
        <v>0</v>
      </c>
      <c r="AT16" s="95" t="s">
        <v>127</v>
      </c>
      <c r="AU16" s="95" t="s">
        <v>151</v>
      </c>
      <c r="AV16" s="95">
        <v>0</v>
      </c>
      <c r="AW16" s="95" t="s">
        <v>127</v>
      </c>
      <c r="AX16" s="95" t="s">
        <v>151</v>
      </c>
      <c r="AY16" s="95">
        <v>0</v>
      </c>
      <c r="AZ16" s="95" t="s">
        <v>127</v>
      </c>
      <c r="BA16" s="95" t="s">
        <v>151</v>
      </c>
      <c r="BB16" s="95">
        <v>0</v>
      </c>
      <c r="BC16" s="95" t="s">
        <v>127</v>
      </c>
      <c r="BD16" s="95" t="s">
        <v>151</v>
      </c>
      <c r="BE16" s="95">
        <v>0</v>
      </c>
      <c r="BF16" s="95" t="s">
        <v>127</v>
      </c>
      <c r="BG16" s="95" t="s">
        <v>151</v>
      </c>
      <c r="BH16" s="95">
        <v>0</v>
      </c>
      <c r="BI16" s="95" t="s">
        <v>127</v>
      </c>
      <c r="BJ16" s="95" t="s">
        <v>131</v>
      </c>
      <c r="BK16" s="354">
        <f>B21</f>
        <v>8.4800000000000001E-6</v>
      </c>
      <c r="BL16" s="95" t="s">
        <v>132</v>
      </c>
      <c r="BM16" s="95" t="s">
        <v>131</v>
      </c>
      <c r="BN16" s="354">
        <f>B23</f>
        <v>9.8500000000000001E-10</v>
      </c>
      <c r="BO16" s="95" t="s">
        <v>132</v>
      </c>
      <c r="BP16" s="95" t="s">
        <v>131</v>
      </c>
      <c r="BQ16" s="354">
        <f>B25</f>
        <v>7.1899999999999998E-6</v>
      </c>
      <c r="BR16" s="95" t="s">
        <v>132</v>
      </c>
      <c r="BS16" s="95" t="s">
        <v>182</v>
      </c>
      <c r="BT16" s="95">
        <v>1</v>
      </c>
      <c r="BU16" s="95" t="s">
        <v>85</v>
      </c>
      <c r="BV16" s="95" t="s">
        <v>263</v>
      </c>
      <c r="BW16" s="360">
        <f>((BW18*BW21*BW23*BW26)+(BW19*BW22*BW24*BW27))</f>
        <v>1170</v>
      </c>
      <c r="BX16" s="95" t="s">
        <v>445</v>
      </c>
      <c r="BY16" s="95" t="s">
        <v>87</v>
      </c>
      <c r="BZ16" s="360">
        <f>(BZ18*BZ22*BZ27+BZ19*BZ23*BZ26)</f>
        <v>256000</v>
      </c>
      <c r="CA16" s="95" t="s">
        <v>443</v>
      </c>
      <c r="CB16" s="378" t="s">
        <v>8</v>
      </c>
      <c r="CC16" s="42" t="s">
        <v>431</v>
      </c>
      <c r="CD16" s="43" t="s">
        <v>460</v>
      </c>
      <c r="CE16" s="41" t="s">
        <v>8</v>
      </c>
      <c r="CF16" s="42" t="s">
        <v>200</v>
      </c>
      <c r="CG16" s="43" t="s">
        <v>460</v>
      </c>
      <c r="CK16" s="379" t="s">
        <v>8</v>
      </c>
      <c r="CL16" s="380" t="s">
        <v>332</v>
      </c>
      <c r="CM16" s="381" t="s">
        <v>460</v>
      </c>
      <c r="CN16" s="42" t="s">
        <v>8</v>
      </c>
      <c r="CO16" s="42" t="s">
        <v>332</v>
      </c>
      <c r="CP16" s="43" t="s">
        <v>460</v>
      </c>
      <c r="CQ16" s="41" t="s">
        <v>8</v>
      </c>
      <c r="CR16" s="42" t="s">
        <v>332</v>
      </c>
      <c r="CS16" s="43" t="s">
        <v>460</v>
      </c>
      <c r="CT16" s="95" t="s">
        <v>197</v>
      </c>
      <c r="CU16" s="354">
        <f>(CU5/(CU8*CU44*((CU39*CU43*(1/CU37))+(CU40*CU42*(1/CU37)))*CU32*(1/CU46)*CU33))*CU11</f>
        <v>53.466306347133191</v>
      </c>
      <c r="CV16" s="95" t="s">
        <v>23</v>
      </c>
      <c r="CW16" s="95" t="s">
        <v>133</v>
      </c>
      <c r="CX16" s="95">
        <v>5</v>
      </c>
      <c r="CY16" s="95" t="s">
        <v>62</v>
      </c>
      <c r="CZ16" s="95" t="s">
        <v>277</v>
      </c>
      <c r="DA16" s="354" t="e">
        <f>DG3</f>
        <v>#DIV/0!</v>
      </c>
      <c r="DB16" s="95" t="s">
        <v>25</v>
      </c>
      <c r="DC16" s="95" t="s">
        <v>246</v>
      </c>
      <c r="DD16" s="95">
        <v>5</v>
      </c>
      <c r="DE16" s="95" t="s">
        <v>129</v>
      </c>
      <c r="DF16" s="95" t="s">
        <v>143</v>
      </c>
      <c r="DG16" s="95">
        <f>DG20+(0.693/DG22)</f>
        <v>0.23091361256544501</v>
      </c>
      <c r="DH16" s="95" t="s">
        <v>144</v>
      </c>
      <c r="DO16" s="95" t="s">
        <v>143</v>
      </c>
      <c r="DP16" s="95">
        <f>DP20+(0.693/DP22)</f>
        <v>4.9499999999999995E-2</v>
      </c>
      <c r="DQ16" s="95" t="s">
        <v>144</v>
      </c>
      <c r="DS16" s="95">
        <v>1000</v>
      </c>
      <c r="DT16" s="95" t="s">
        <v>195</v>
      </c>
      <c r="ED16" s="95" t="s">
        <v>143</v>
      </c>
      <c r="EE16" s="95">
        <f>EE20+(0.693/EE22)</f>
        <v>4.9499999999999995E-2</v>
      </c>
      <c r="EF16" s="95" t="s">
        <v>144</v>
      </c>
      <c r="EH16" s="95">
        <v>1000</v>
      </c>
      <c r="EI16" s="95" t="s">
        <v>195</v>
      </c>
      <c r="ES16" s="95" t="s">
        <v>143</v>
      </c>
      <c r="ET16" s="95">
        <f>ET20+(0.693/ET22)</f>
        <v>4.9499999999999995E-2</v>
      </c>
      <c r="EU16" s="95" t="s">
        <v>144</v>
      </c>
      <c r="EW16" s="362">
        <v>1000</v>
      </c>
      <c r="EX16" s="95" t="s">
        <v>195</v>
      </c>
      <c r="FH16" s="95" t="s">
        <v>143</v>
      </c>
      <c r="FI16" s="95">
        <v>4.9499999999999995E-2</v>
      </c>
      <c r="FJ16" s="95" t="s">
        <v>144</v>
      </c>
      <c r="FL16" s="95">
        <v>1000</v>
      </c>
      <c r="FM16" s="95" t="s">
        <v>195</v>
      </c>
      <c r="FW16" s="95" t="s">
        <v>143</v>
      </c>
      <c r="FX16" s="95">
        <f>FX20+(0.693/FX22)</f>
        <v>4.9499999999999995E-2</v>
      </c>
      <c r="FY16" s="95" t="s">
        <v>144</v>
      </c>
      <c r="GA16" s="95">
        <v>1000</v>
      </c>
      <c r="GB16" s="95" t="s">
        <v>195</v>
      </c>
      <c r="GL16" s="95" t="s">
        <v>143</v>
      </c>
      <c r="GM16" s="95">
        <f>GM20+(0.693/GM22)</f>
        <v>4.9499999999999995E-2</v>
      </c>
      <c r="GN16" s="95" t="s">
        <v>144</v>
      </c>
      <c r="GO16" s="95" t="s">
        <v>296</v>
      </c>
      <c r="GP16" s="95">
        <v>1</v>
      </c>
      <c r="HA16" s="95" t="s">
        <v>143</v>
      </c>
      <c r="HB16" s="95">
        <f>HB20+(0.693/HB22)</f>
        <v>4.9499999999999995E-2</v>
      </c>
      <c r="HC16" s="95" t="s">
        <v>144</v>
      </c>
    </row>
    <row r="17" spans="1:214" s="95" customFormat="1" ht="14.25" thickTop="1" thickBot="1" x14ac:dyDescent="0.25">
      <c r="A17" s="95" t="s">
        <v>75</v>
      </c>
      <c r="B17" s="353">
        <v>1.7999999999999999E-11</v>
      </c>
      <c r="C17" s="95" t="s">
        <v>64</v>
      </c>
      <c r="D17" s="95" t="s">
        <v>138</v>
      </c>
      <c r="E17" s="95">
        <v>20</v>
      </c>
      <c r="F17" s="95" t="s">
        <v>62</v>
      </c>
      <c r="G17" s="95" t="s">
        <v>105</v>
      </c>
      <c r="H17" s="95">
        <f>B49</f>
        <v>100</v>
      </c>
      <c r="J17" s="95" t="s">
        <v>407</v>
      </c>
      <c r="K17" s="354" t="e">
        <f>K18/(K49+K50)</f>
        <v>#DIV/0!</v>
      </c>
      <c r="L17" s="95" t="s">
        <v>23</v>
      </c>
      <c r="V17" s="383" t="s">
        <v>139</v>
      </c>
      <c r="W17" s="384">
        <f>(W5)/((W11/W12)*W8*W9*W14*(1/365))</f>
        <v>68.672219500244964</v>
      </c>
      <c r="X17" s="385" t="s">
        <v>37</v>
      </c>
      <c r="Y17" s="385" t="s">
        <v>139</v>
      </c>
      <c r="Z17" s="384">
        <f>(Z5)/((Z11/Z12)*Z8*Z9*Z14*(1/365))</f>
        <v>55.79617834394903</v>
      </c>
      <c r="AA17" s="386" t="s">
        <v>37</v>
      </c>
      <c r="BS17" s="95" t="s">
        <v>133</v>
      </c>
      <c r="BT17" s="95">
        <v>6</v>
      </c>
      <c r="BU17" s="95" t="s">
        <v>62</v>
      </c>
      <c r="BV17" s="95" t="s">
        <v>145</v>
      </c>
      <c r="BW17" s="95">
        <v>0.5</v>
      </c>
      <c r="BX17" s="95" t="s">
        <v>146</v>
      </c>
      <c r="BY17" s="95" t="s">
        <v>82</v>
      </c>
      <c r="BZ17" s="360">
        <f>(BZ27*BZ24*BZ20*(BZ29/24))+(BZ26*BZ23*BZ21*(BZ30/24))</f>
        <v>3066.6666666666665</v>
      </c>
      <c r="CA17" s="95" t="s">
        <v>444</v>
      </c>
      <c r="CB17" s="387" t="s">
        <v>33</v>
      </c>
      <c r="CC17" s="127" t="s">
        <v>13</v>
      </c>
      <c r="CD17" s="129" t="s">
        <v>23</v>
      </c>
      <c r="CE17" s="126" t="s">
        <v>33</v>
      </c>
      <c r="CF17" s="127" t="s">
        <v>13</v>
      </c>
      <c r="CG17" s="129" t="s">
        <v>23</v>
      </c>
      <c r="CK17" s="388" t="s">
        <v>333</v>
      </c>
      <c r="CL17" s="127"/>
      <c r="CM17" s="389" t="s">
        <v>23</v>
      </c>
      <c r="CN17" s="127" t="s">
        <v>11</v>
      </c>
      <c r="CO17" s="127"/>
      <c r="CP17" s="129" t="s">
        <v>23</v>
      </c>
      <c r="CQ17" s="126" t="s">
        <v>10</v>
      </c>
      <c r="CR17" s="127"/>
      <c r="CS17" s="129" t="s">
        <v>23</v>
      </c>
      <c r="CT17" s="95" t="s">
        <v>407</v>
      </c>
      <c r="CU17" s="354" t="e">
        <f>DJ3</f>
        <v>#DIV/0!</v>
      </c>
      <c r="CV17" s="95" t="s">
        <v>23</v>
      </c>
      <c r="CW17" s="95" t="s">
        <v>138</v>
      </c>
      <c r="CX17" s="95">
        <v>35</v>
      </c>
      <c r="CY17" s="95" t="s">
        <v>62</v>
      </c>
      <c r="CZ17" s="95" t="s">
        <v>262</v>
      </c>
      <c r="DA17" s="354" t="e">
        <f>DD3</f>
        <v>#DIV/0!</v>
      </c>
      <c r="DB17" s="95" t="s">
        <v>23</v>
      </c>
      <c r="DC17" s="95" t="s">
        <v>247</v>
      </c>
      <c r="DD17" s="95">
        <v>35</v>
      </c>
      <c r="DE17" s="95" t="s">
        <v>129</v>
      </c>
      <c r="DF17" s="95" t="s">
        <v>148</v>
      </c>
      <c r="DG17" s="95">
        <v>60</v>
      </c>
      <c r="DH17" s="95" t="s">
        <v>110</v>
      </c>
      <c r="DO17" s="95" t="s">
        <v>148</v>
      </c>
      <c r="DP17" s="95">
        <v>60</v>
      </c>
      <c r="DQ17" s="95" t="s">
        <v>110</v>
      </c>
      <c r="DR17" s="95" t="s">
        <v>280</v>
      </c>
      <c r="DS17" s="95">
        <v>1</v>
      </c>
      <c r="ED17" s="95" t="s">
        <v>148</v>
      </c>
      <c r="EE17" s="95">
        <v>60</v>
      </c>
      <c r="EF17" s="95" t="s">
        <v>110</v>
      </c>
      <c r="EG17" s="95" t="s">
        <v>285</v>
      </c>
      <c r="EH17" s="95">
        <v>1</v>
      </c>
      <c r="ES17" s="95" t="s">
        <v>148</v>
      </c>
      <c r="ET17" s="95">
        <v>60</v>
      </c>
      <c r="EU17" s="95" t="s">
        <v>110</v>
      </c>
      <c r="EV17" s="95" t="s">
        <v>290</v>
      </c>
      <c r="EW17" s="95">
        <v>1</v>
      </c>
      <c r="FH17" s="95" t="s">
        <v>148</v>
      </c>
      <c r="FI17" s="95">
        <v>60</v>
      </c>
      <c r="FJ17" s="95" t="s">
        <v>110</v>
      </c>
      <c r="FK17" s="95" t="s">
        <v>291</v>
      </c>
      <c r="FL17" s="95">
        <v>1</v>
      </c>
      <c r="FW17" s="95" t="s">
        <v>148</v>
      </c>
      <c r="FX17" s="95">
        <v>60</v>
      </c>
      <c r="FY17" s="95" t="s">
        <v>110</v>
      </c>
      <c r="FZ17" s="95" t="s">
        <v>155</v>
      </c>
      <c r="GA17" s="95">
        <v>1</v>
      </c>
      <c r="GL17" s="95" t="s">
        <v>148</v>
      </c>
      <c r="GM17" s="95">
        <v>60</v>
      </c>
      <c r="GN17" s="95" t="s">
        <v>110</v>
      </c>
      <c r="GP17" s="95">
        <v>365</v>
      </c>
      <c r="GQ17" s="95" t="s">
        <v>55</v>
      </c>
      <c r="HA17" s="95" t="s">
        <v>148</v>
      </c>
      <c r="HB17" s="95">
        <v>60</v>
      </c>
      <c r="HC17" s="95" t="s">
        <v>110</v>
      </c>
    </row>
    <row r="18" spans="1:214" s="95" customFormat="1" ht="13.5" thickTop="1" x14ac:dyDescent="0.2">
      <c r="A18" s="95" t="s">
        <v>261</v>
      </c>
      <c r="B18" s="353">
        <v>0</v>
      </c>
      <c r="C18" s="95" t="s">
        <v>64</v>
      </c>
      <c r="D18" s="95" t="s">
        <v>115</v>
      </c>
      <c r="E18" s="354">
        <f>B26</f>
        <v>7.8500000000000008E-9</v>
      </c>
      <c r="F18" s="95" t="s">
        <v>116</v>
      </c>
      <c r="G18" s="95" t="s">
        <v>135</v>
      </c>
      <c r="H18" s="95">
        <f>B50</f>
        <v>0.78</v>
      </c>
      <c r="J18" s="95" t="s">
        <v>406</v>
      </c>
      <c r="K18" s="354" t="e">
        <f>K5/(K9*(K25+K28)*K38)</f>
        <v>#DIV/0!</v>
      </c>
      <c r="L18" s="95" t="s">
        <v>23</v>
      </c>
      <c r="M18" s="21" t="s">
        <v>13</v>
      </c>
      <c r="N18" s="22" t="s">
        <v>158</v>
      </c>
      <c r="O18" s="22" t="s">
        <v>460</v>
      </c>
      <c r="P18" s="23" t="s">
        <v>13</v>
      </c>
      <c r="Q18" s="22" t="s">
        <v>200</v>
      </c>
      <c r="R18" s="24" t="s">
        <v>460</v>
      </c>
      <c r="V18" s="374" t="s">
        <v>134</v>
      </c>
      <c r="W18" s="375">
        <f>(W5*W6*W9)/((W11/W12)*(1-EXP(-W6*W9))*W10*W13*W8*W9)</f>
        <v>2261.7215324756862</v>
      </c>
      <c r="X18" s="376" t="s">
        <v>38</v>
      </c>
      <c r="Y18" s="376" t="s">
        <v>134</v>
      </c>
      <c r="Z18" s="375">
        <f>(Z5*Z6*Z9)/((Z11/Z12)*(1-EXP(-Z6*Z9))*Z10*Z13*Z8*Z9)</f>
        <v>1603.7661775736688</v>
      </c>
      <c r="AA18" s="377" t="s">
        <v>38</v>
      </c>
      <c r="AI18" s="33" t="s">
        <v>13</v>
      </c>
      <c r="AJ18" s="34" t="s">
        <v>158</v>
      </c>
      <c r="AK18" s="34" t="s">
        <v>460</v>
      </c>
      <c r="AL18" s="35" t="s">
        <v>13</v>
      </c>
      <c r="AM18" s="34" t="s">
        <v>200</v>
      </c>
      <c r="AN18" s="36" t="s">
        <v>460</v>
      </c>
      <c r="AR18" s="37" t="s">
        <v>13</v>
      </c>
      <c r="AS18" s="38" t="s">
        <v>158</v>
      </c>
      <c r="AT18" s="38" t="s">
        <v>460</v>
      </c>
      <c r="AU18" s="39" t="s">
        <v>13</v>
      </c>
      <c r="AV18" s="38" t="s">
        <v>200</v>
      </c>
      <c r="AW18" s="40" t="s">
        <v>460</v>
      </c>
      <c r="BA18" s="37" t="s">
        <v>13</v>
      </c>
      <c r="BB18" s="38" t="s">
        <v>158</v>
      </c>
      <c r="BC18" s="38" t="s">
        <v>460</v>
      </c>
      <c r="BD18" s="39" t="s">
        <v>13</v>
      </c>
      <c r="BE18" s="38" t="s">
        <v>200</v>
      </c>
      <c r="BF18" s="40" t="s">
        <v>460</v>
      </c>
      <c r="BJ18" s="37" t="s">
        <v>13</v>
      </c>
      <c r="BK18" s="38" t="s">
        <v>158</v>
      </c>
      <c r="BL18" s="38" t="s">
        <v>460</v>
      </c>
      <c r="BM18" s="39" t="s">
        <v>13</v>
      </c>
      <c r="BN18" s="38" t="s">
        <v>200</v>
      </c>
      <c r="BO18" s="40" t="s">
        <v>460</v>
      </c>
      <c r="BS18" s="95" t="s">
        <v>138</v>
      </c>
      <c r="BT18" s="95">
        <v>20</v>
      </c>
      <c r="BU18" s="95" t="s">
        <v>62</v>
      </c>
      <c r="BV18" s="95" t="s">
        <v>440</v>
      </c>
      <c r="BW18" s="95">
        <v>45</v>
      </c>
      <c r="BX18" s="95" t="s">
        <v>55</v>
      </c>
      <c r="BY18" s="95" t="s">
        <v>117</v>
      </c>
      <c r="BZ18" s="95">
        <v>200</v>
      </c>
      <c r="CA18" s="95" t="s">
        <v>96</v>
      </c>
      <c r="CB18" s="387" t="s">
        <v>39</v>
      </c>
      <c r="CC18" s="195">
        <f>(CC20*CC21*CC22)/((1-EXP(-CC22*CC21))*CC25*CC29*(CC24/365)*CC27*(CC28/24)*CC26)</f>
        <v>225769.30531255357</v>
      </c>
      <c r="CD18" s="129"/>
      <c r="CE18" s="126" t="s">
        <v>39</v>
      </c>
      <c r="CF18" s="195">
        <f>(CF20*CF21*CF22)/((1-EXP(-CF22*CF21))*CF25*CF29*(CF24/365)*CF27*(CF28/24)*CF26)</f>
        <v>25956.403663095181</v>
      </c>
      <c r="CG18" s="129"/>
      <c r="CK18" s="388" t="s">
        <v>17</v>
      </c>
      <c r="CL18" s="195" t="e">
        <f>CL20/(CL21*CL22*CL23*CL24)</f>
        <v>#DIV/0!</v>
      </c>
      <c r="CM18" s="389"/>
      <c r="CN18" s="127" t="s">
        <v>17</v>
      </c>
      <c r="CO18" s="195" t="e">
        <f>CL18/(CO20*((CO25*CO27*CO28*(CO21+CO22))+(CO26*CO27)))</f>
        <v>#DIV/0!</v>
      </c>
      <c r="CP18" s="129"/>
      <c r="CQ18" s="126" t="s">
        <v>17</v>
      </c>
      <c r="CR18" s="195" t="e">
        <f>CL18/(CR20*CR21*(1/CR22))</f>
        <v>#DIV/0!</v>
      </c>
      <c r="CS18" s="129"/>
      <c r="CT18" s="95" t="s">
        <v>406</v>
      </c>
      <c r="CU18" s="354" t="e">
        <f>DD3</f>
        <v>#DIV/0!</v>
      </c>
      <c r="CV18" s="95" t="s">
        <v>23</v>
      </c>
      <c r="CW18" s="95" t="s">
        <v>115</v>
      </c>
      <c r="CX18" s="354">
        <f>B26</f>
        <v>7.8500000000000008E-9</v>
      </c>
      <c r="CY18" s="95" t="s">
        <v>116</v>
      </c>
      <c r="CZ18" s="95" t="s">
        <v>323</v>
      </c>
      <c r="DA18" s="354" t="e">
        <f>EZ3</f>
        <v>#DIV/0!</v>
      </c>
      <c r="DF18" s="95" t="s">
        <v>150</v>
      </c>
      <c r="DG18" s="95">
        <v>2</v>
      </c>
      <c r="DH18" s="95" t="s">
        <v>121</v>
      </c>
      <c r="DO18" s="95" t="s">
        <v>150</v>
      </c>
      <c r="DP18" s="95">
        <v>2</v>
      </c>
      <c r="DQ18" s="95" t="s">
        <v>121</v>
      </c>
      <c r="DS18" s="95">
        <v>365</v>
      </c>
      <c r="DT18" s="95" t="s">
        <v>55</v>
      </c>
      <c r="ED18" s="95" t="s">
        <v>150</v>
      </c>
      <c r="EE18" s="95">
        <v>2</v>
      </c>
      <c r="EF18" s="95" t="s">
        <v>121</v>
      </c>
      <c r="EH18" s="95">
        <v>365</v>
      </c>
      <c r="EI18" s="95" t="s">
        <v>268</v>
      </c>
      <c r="ES18" s="95" t="s">
        <v>150</v>
      </c>
      <c r="ET18" s="95">
        <v>2</v>
      </c>
      <c r="EU18" s="95" t="s">
        <v>121</v>
      </c>
      <c r="EW18" s="95">
        <v>365</v>
      </c>
      <c r="EX18" s="95" t="s">
        <v>55</v>
      </c>
      <c r="FH18" s="95" t="s">
        <v>150</v>
      </c>
      <c r="FI18" s="95">
        <v>2</v>
      </c>
      <c r="FJ18" s="95" t="s">
        <v>121</v>
      </c>
      <c r="FL18" s="95">
        <v>365</v>
      </c>
      <c r="FM18" s="95" t="s">
        <v>55</v>
      </c>
      <c r="FW18" s="95" t="s">
        <v>150</v>
      </c>
      <c r="FX18" s="95">
        <v>2</v>
      </c>
      <c r="FY18" s="95" t="s">
        <v>121</v>
      </c>
      <c r="GA18" s="95">
        <v>365</v>
      </c>
      <c r="GB18" s="95" t="s">
        <v>55</v>
      </c>
      <c r="GL18" s="95" t="s">
        <v>150</v>
      </c>
      <c r="GM18" s="95">
        <v>2</v>
      </c>
      <c r="GN18" s="95" t="s">
        <v>121</v>
      </c>
      <c r="HA18" s="95" t="s">
        <v>150</v>
      </c>
      <c r="HB18" s="95">
        <v>2</v>
      </c>
      <c r="HC18" s="95" t="s">
        <v>121</v>
      </c>
    </row>
    <row r="19" spans="1:214" s="95" customFormat="1" ht="13.5" thickBot="1" x14ac:dyDescent="0.25">
      <c r="A19" s="95" t="s">
        <v>77</v>
      </c>
      <c r="B19" s="353">
        <v>0</v>
      </c>
      <c r="C19" s="95" t="s">
        <v>64</v>
      </c>
      <c r="D19" s="95" t="s">
        <v>414</v>
      </c>
      <c r="E19" s="354">
        <f>B2</f>
        <v>6.8000000000000005E-2</v>
      </c>
      <c r="G19" s="95" t="s">
        <v>240</v>
      </c>
      <c r="H19" s="95">
        <f>B44</f>
        <v>0</v>
      </c>
      <c r="J19" s="95" t="s">
        <v>87</v>
      </c>
      <c r="K19" s="390">
        <f>K21*K31*K35+K22*K32*K34</f>
        <v>1526000</v>
      </c>
      <c r="L19" s="95" t="s">
        <v>443</v>
      </c>
      <c r="M19" s="103" t="s">
        <v>33</v>
      </c>
      <c r="N19" s="104" t="s">
        <v>34</v>
      </c>
      <c r="O19" s="105" t="s">
        <v>162</v>
      </c>
      <c r="P19" s="106" t="s">
        <v>33</v>
      </c>
      <c r="Q19" s="104" t="s">
        <v>34</v>
      </c>
      <c r="R19" s="107" t="s">
        <v>23</v>
      </c>
      <c r="V19" s="383" t="s">
        <v>139</v>
      </c>
      <c r="W19" s="384">
        <f>(W5*W6*W9)/((W11/W12)*(1-EXP(-W6*W9))*W14*W8*W9*(1/365))</f>
        <v>113575.87619132681</v>
      </c>
      <c r="X19" s="385" t="s">
        <v>38</v>
      </c>
      <c r="Y19" s="385" t="s">
        <v>139</v>
      </c>
      <c r="Z19" s="384">
        <f>(Z5*Z6*Z9)/((Z11/Z12)*(1-EXP(-Z6*Z9))*Z14*Z8*Z9*(1/365))</f>
        <v>73824.319524362436</v>
      </c>
      <c r="AA19" s="386" t="s">
        <v>38</v>
      </c>
      <c r="AB19" s="95" t="s">
        <v>102</v>
      </c>
      <c r="AC19" s="354">
        <f>B2</f>
        <v>6.8000000000000005E-2</v>
      </c>
      <c r="AD19" s="354">
        <f>B2</f>
        <v>6.8000000000000005E-2</v>
      </c>
      <c r="AE19" s="354">
        <f>B2</f>
        <v>6.8000000000000005E-2</v>
      </c>
      <c r="AF19" s="354">
        <f>B2</f>
        <v>6.8000000000000005E-2</v>
      </c>
      <c r="AG19" s="354">
        <f>B2</f>
        <v>6.8000000000000005E-2</v>
      </c>
      <c r="AI19" s="116" t="s">
        <v>5</v>
      </c>
      <c r="AJ19" s="117" t="s">
        <v>35</v>
      </c>
      <c r="AK19" s="118" t="s">
        <v>162</v>
      </c>
      <c r="AL19" s="119" t="s">
        <v>5</v>
      </c>
      <c r="AM19" s="117" t="s">
        <v>35</v>
      </c>
      <c r="AN19" s="120" t="s">
        <v>23</v>
      </c>
      <c r="AR19" s="121" t="s">
        <v>2</v>
      </c>
      <c r="AS19" s="122" t="s">
        <v>35</v>
      </c>
      <c r="AT19" s="123" t="s">
        <v>162</v>
      </c>
      <c r="AU19" s="124" t="s">
        <v>2</v>
      </c>
      <c r="AV19" s="122" t="s">
        <v>35</v>
      </c>
      <c r="AW19" s="125" t="s">
        <v>23</v>
      </c>
      <c r="BA19" s="121" t="s">
        <v>4</v>
      </c>
      <c r="BB19" s="122" t="s">
        <v>35</v>
      </c>
      <c r="BC19" s="123" t="s">
        <v>162</v>
      </c>
      <c r="BD19" s="124" t="s">
        <v>4</v>
      </c>
      <c r="BE19" s="122" t="s">
        <v>35</v>
      </c>
      <c r="BF19" s="125" t="s">
        <v>23</v>
      </c>
      <c r="BJ19" s="121" t="s">
        <v>239</v>
      </c>
      <c r="BK19" s="122" t="s">
        <v>35</v>
      </c>
      <c r="BL19" s="123" t="s">
        <v>162</v>
      </c>
      <c r="BM19" s="124" t="s">
        <v>239</v>
      </c>
      <c r="BN19" s="122" t="s">
        <v>35</v>
      </c>
      <c r="BO19" s="125" t="s">
        <v>23</v>
      </c>
      <c r="BS19" s="95" t="s">
        <v>115</v>
      </c>
      <c r="BT19" s="354">
        <f>E18</f>
        <v>7.8500000000000008E-9</v>
      </c>
      <c r="BU19" s="95" t="s">
        <v>116</v>
      </c>
      <c r="BV19" s="95" t="s">
        <v>441</v>
      </c>
      <c r="BW19" s="95">
        <v>45</v>
      </c>
      <c r="BX19" s="95" t="s">
        <v>55</v>
      </c>
      <c r="BY19" s="95" t="s">
        <v>140</v>
      </c>
      <c r="BZ19" s="95">
        <v>100</v>
      </c>
      <c r="CA19" s="95" t="s">
        <v>96</v>
      </c>
      <c r="CB19" s="391"/>
      <c r="CC19" s="285"/>
      <c r="CD19" s="287"/>
      <c r="CE19" s="284"/>
      <c r="CF19" s="285"/>
      <c r="CG19" s="287"/>
      <c r="CK19" s="392"/>
      <c r="CL19" s="393"/>
      <c r="CM19" s="394"/>
      <c r="CN19" s="395"/>
      <c r="CO19" s="285"/>
      <c r="CP19" s="287"/>
      <c r="CQ19" s="284"/>
      <c r="CR19" s="285"/>
      <c r="CS19" s="287"/>
      <c r="CT19" s="95" t="s">
        <v>323</v>
      </c>
      <c r="CU19" s="354" t="e">
        <f>FC3</f>
        <v>#DIV/0!</v>
      </c>
      <c r="CV19" s="95" t="s">
        <v>23</v>
      </c>
      <c r="CW19" s="95" t="s">
        <v>414</v>
      </c>
      <c r="CX19" s="354">
        <f>B2</f>
        <v>6.8000000000000005E-2</v>
      </c>
      <c r="CZ19" s="95" t="s">
        <v>417</v>
      </c>
      <c r="DA19" s="354" t="e">
        <f>GS3</f>
        <v>#DIV/0!</v>
      </c>
      <c r="DD19" s="354">
        <v>9.9999999999999995E-7</v>
      </c>
      <c r="DF19" s="95" t="s">
        <v>153</v>
      </c>
      <c r="DG19" s="95">
        <v>2.6999999999999999E-5</v>
      </c>
      <c r="DH19" s="95" t="s">
        <v>144</v>
      </c>
      <c r="DO19" s="95" t="s">
        <v>153</v>
      </c>
      <c r="DP19" s="95">
        <v>2.6999999999999999E-5</v>
      </c>
      <c r="DQ19" s="95" t="s">
        <v>144</v>
      </c>
      <c r="DS19" s="354"/>
      <c r="ED19" s="95" t="s">
        <v>153</v>
      </c>
      <c r="EE19" s="95">
        <v>2.6999999999999999E-5</v>
      </c>
      <c r="EF19" s="95" t="s">
        <v>144</v>
      </c>
      <c r="ES19" s="95" t="s">
        <v>153</v>
      </c>
      <c r="ET19" s="95">
        <v>2.6999999999999999E-5</v>
      </c>
      <c r="EU19" s="95" t="s">
        <v>144</v>
      </c>
      <c r="FH19" s="95" t="s">
        <v>153</v>
      </c>
      <c r="FI19" s="95">
        <v>2.6999999999999999E-5</v>
      </c>
      <c r="FJ19" s="95" t="s">
        <v>144</v>
      </c>
      <c r="FW19" s="95" t="s">
        <v>153</v>
      </c>
      <c r="FX19" s="95">
        <v>2.6999999999999999E-5</v>
      </c>
      <c r="FY19" s="95" t="s">
        <v>144</v>
      </c>
      <c r="GL19" s="95" t="s">
        <v>153</v>
      </c>
      <c r="GM19" s="95">
        <v>2.6999999999999999E-5</v>
      </c>
      <c r="GN19" s="95" t="s">
        <v>144</v>
      </c>
      <c r="HA19" s="95" t="s">
        <v>153</v>
      </c>
      <c r="HB19" s="95">
        <v>2.6999999999999999E-5</v>
      </c>
      <c r="HC19" s="95" t="s">
        <v>144</v>
      </c>
    </row>
    <row r="20" spans="1:214" s="95" customFormat="1" ht="13.5" thickBot="1" x14ac:dyDescent="0.25">
      <c r="A20" s="95" t="s">
        <v>480</v>
      </c>
      <c r="B20" s="353">
        <v>0</v>
      </c>
      <c r="C20" s="95" t="s">
        <v>64</v>
      </c>
      <c r="D20" s="95" t="s">
        <v>134</v>
      </c>
      <c r="E20" s="354">
        <f>(E5)/((E14/E15)*E10*E11)</f>
        <v>0.79365079365079361</v>
      </c>
      <c r="F20" s="95" t="s">
        <v>37</v>
      </c>
      <c r="G20" s="95" t="s">
        <v>241</v>
      </c>
      <c r="H20" s="95">
        <f>B45</f>
        <v>10</v>
      </c>
      <c r="J20" s="95" t="s">
        <v>82</v>
      </c>
      <c r="K20" s="390">
        <f>K35*K31*K23+K34*K32*K24</f>
        <v>70000</v>
      </c>
      <c r="L20" s="95" t="s">
        <v>149</v>
      </c>
      <c r="M20" s="103" t="s">
        <v>39</v>
      </c>
      <c r="N20" s="185">
        <f>(N22*N23*N24)/((1-EXP(-N24*N23))*N27*N32*(N26/365)*N30*(((N31/24)*N29)+((N33/24)*N28)))</f>
        <v>2237.0617511257783</v>
      </c>
      <c r="O20" s="105"/>
      <c r="P20" s="106" t="s">
        <v>39</v>
      </c>
      <c r="Q20" s="185">
        <f>(Q22*Q23*Q24)/((1-EXP(-Q24*Q23))*Q27*Q32*(Q26/365)*Q30*(((Q31/24)*Q29)+((Q33/24)*Q28)))</f>
        <v>485.49241408892539</v>
      </c>
      <c r="R20" s="107"/>
      <c r="AB20" s="95" t="s">
        <v>449</v>
      </c>
      <c r="AC20" s="95">
        <v>60</v>
      </c>
      <c r="AD20" s="95">
        <v>55</v>
      </c>
      <c r="AE20" s="95">
        <v>60</v>
      </c>
      <c r="AF20" s="95">
        <v>60</v>
      </c>
      <c r="AG20" s="95">
        <v>60</v>
      </c>
      <c r="AH20" s="95" t="s">
        <v>83</v>
      </c>
      <c r="AI20" s="116" t="s">
        <v>39</v>
      </c>
      <c r="AJ20" s="193">
        <f>(AJ22*AJ23*AJ24)/((1-EXP(-AJ24*AJ23))*AJ27*AJ32*(AJ26/365)*AJ30*((AJ31*AJ29)+((AJ33/24)*AJ28)))</f>
        <v>1953.7728344355601</v>
      </c>
      <c r="AK20" s="118"/>
      <c r="AL20" s="119" t="s">
        <v>39</v>
      </c>
      <c r="AM20" s="193">
        <f>(AM22*AM23*AM24)/((1-EXP(-AM24*AM23))*AM27*AM32*(AM26/365)*AM30*((AM31*AM29)+((AM33/24)*AM28)))</f>
        <v>426.28401400544789</v>
      </c>
      <c r="AN20" s="120"/>
      <c r="AR20" s="121" t="s">
        <v>39</v>
      </c>
      <c r="AS20" s="194">
        <f>(AS22*AS23*AS24)/((1-EXP(-AS24*AS23))*AS27*AS32*(AS26/365)*AS30*(((AS31/24)*AS29)+(AS33*AS28)))</f>
        <v>36123.088850008578</v>
      </c>
      <c r="AT20" s="123"/>
      <c r="AU20" s="124" t="s">
        <v>39</v>
      </c>
      <c r="AV20" s="194">
        <f>(AV22*AV23*AV24)/((1-EXP(-AV24*AV23))*AV27*AV32*(AV26/365)*AV30*(((AV31/24)*AV29)+(AV33*AV28)))</f>
        <v>4153.0245860952291</v>
      </c>
      <c r="AW20" s="125"/>
      <c r="BA20" s="121" t="s">
        <v>39</v>
      </c>
      <c r="BB20" s="194">
        <f>(BB22*BB23*BB24)/((1-EXP(-BB24*BB23))*BB27*BB32*(BB26/365)*BB30*(((BB31/24)*BB29)+(BB33*BB28)))</f>
        <v>36123.088850008578</v>
      </c>
      <c r="BC20" s="123"/>
      <c r="BD20" s="124" t="s">
        <v>39</v>
      </c>
      <c r="BE20" s="194">
        <f>(BE22*BE23*BE24)/((1-EXP(-BE24*BE23))*BE27*BE32*(BE26/365)*BE30*(((BE31/24)*BE29)+(BE33*BE28)))</f>
        <v>4153.0245860952291</v>
      </c>
      <c r="BF20" s="125"/>
      <c r="BJ20" s="121" t="s">
        <v>39</v>
      </c>
      <c r="BK20" s="194">
        <f>(BK22*BK23*BK24)/((1-EXP(-BK24*BK23))*BK29*BK34*(BK26/365)*BK32*BK33*BK31)</f>
        <v>18061.544425004293</v>
      </c>
      <c r="BL20" s="123"/>
      <c r="BM20" s="124" t="s">
        <v>39</v>
      </c>
      <c r="BN20" s="194">
        <f>(BN22*BN23*BN24)/((1-EXP(-BN24*BN23))*BN29*BN34*(BN26/365)*BN32*BN33*BN31)</f>
        <v>2076.5122930476145</v>
      </c>
      <c r="BO20" s="125"/>
      <c r="BS20" s="95" t="s">
        <v>414</v>
      </c>
      <c r="BT20" s="354">
        <f>B2</f>
        <v>6.8000000000000005E-2</v>
      </c>
      <c r="BV20" s="95" t="s">
        <v>108</v>
      </c>
      <c r="BW20" s="95">
        <v>26</v>
      </c>
      <c r="BX20" s="95" t="s">
        <v>129</v>
      </c>
      <c r="BY20" s="95" t="s">
        <v>240</v>
      </c>
      <c r="BZ20" s="95">
        <v>10</v>
      </c>
      <c r="CA20" s="95" t="s">
        <v>83</v>
      </c>
      <c r="CB20" s="95" t="s">
        <v>46</v>
      </c>
      <c r="CC20" s="354">
        <v>9.9999999999999995E-7</v>
      </c>
      <c r="CE20" s="95" t="s">
        <v>46</v>
      </c>
      <c r="CF20" s="354">
        <v>9.9999999999999995E-7</v>
      </c>
      <c r="CK20" s="95" t="s">
        <v>46</v>
      </c>
      <c r="CL20" s="354">
        <v>9.9999999999999995E-7</v>
      </c>
      <c r="CM20" s="355"/>
      <c r="CN20" s="95" t="s">
        <v>433</v>
      </c>
      <c r="CO20" s="354">
        <f>B40</f>
        <v>0</v>
      </c>
      <c r="CQ20" s="95" t="s">
        <v>433</v>
      </c>
      <c r="CR20" s="354">
        <f>B40</f>
        <v>0</v>
      </c>
      <c r="CT20" s="95" t="s">
        <v>417</v>
      </c>
      <c r="CU20" s="354" t="e">
        <f>GV3</f>
        <v>#DIV/0!</v>
      </c>
      <c r="CV20" s="95" t="s">
        <v>23</v>
      </c>
      <c r="CW20" s="95" t="s">
        <v>134</v>
      </c>
      <c r="CX20" s="354">
        <f>(CX5)/((CX14/CX15)*CX10*CX11)</f>
        <v>2.2038567493112944</v>
      </c>
      <c r="CY20" s="95" t="s">
        <v>37</v>
      </c>
      <c r="CZ20" s="95" t="s">
        <v>326</v>
      </c>
      <c r="DA20" s="354" t="e">
        <f>EK3</f>
        <v>#DIV/0!</v>
      </c>
      <c r="DD20" s="354">
        <v>1000</v>
      </c>
      <c r="DE20" s="95" t="s">
        <v>195</v>
      </c>
      <c r="DF20" s="95" t="s">
        <v>154</v>
      </c>
      <c r="DG20" s="354">
        <f>0.693/DG23</f>
        <v>0.18141361256544503</v>
      </c>
      <c r="DH20" s="95" t="s">
        <v>144</v>
      </c>
      <c r="DO20" s="95" t="s">
        <v>154</v>
      </c>
      <c r="DP20" s="95">
        <v>0</v>
      </c>
      <c r="DQ20" s="95" t="s">
        <v>144</v>
      </c>
      <c r="ED20" s="95" t="s">
        <v>154</v>
      </c>
      <c r="EE20" s="95">
        <v>0</v>
      </c>
      <c r="EF20" s="95" t="s">
        <v>144</v>
      </c>
      <c r="ES20" s="95" t="s">
        <v>154</v>
      </c>
      <c r="ET20" s="95">
        <v>0</v>
      </c>
      <c r="EU20" s="95" t="s">
        <v>144</v>
      </c>
      <c r="FH20" s="95" t="s">
        <v>154</v>
      </c>
      <c r="FI20" s="95">
        <v>0</v>
      </c>
      <c r="FJ20" s="95" t="s">
        <v>144</v>
      </c>
      <c r="FW20" s="95" t="s">
        <v>154</v>
      </c>
      <c r="FX20" s="95">
        <v>0</v>
      </c>
      <c r="FY20" s="95" t="s">
        <v>144</v>
      </c>
      <c r="GL20" s="95" t="s">
        <v>154</v>
      </c>
      <c r="GM20" s="95">
        <v>0</v>
      </c>
      <c r="GN20" s="95" t="s">
        <v>144</v>
      </c>
      <c r="HA20" s="95" t="s">
        <v>154</v>
      </c>
      <c r="HB20" s="95">
        <v>0</v>
      </c>
      <c r="HC20" s="95" t="s">
        <v>144</v>
      </c>
    </row>
    <row r="21" spans="1:214" s="95" customFormat="1" ht="14.25" thickTop="1" thickBot="1" x14ac:dyDescent="0.25">
      <c r="A21" s="95" t="s">
        <v>131</v>
      </c>
      <c r="B21" s="353">
        <v>8.4800000000000001E-6</v>
      </c>
      <c r="C21" s="95" t="s">
        <v>163</v>
      </c>
      <c r="D21" s="95" t="s">
        <v>139</v>
      </c>
      <c r="E21" s="354">
        <f>(E5)/((E14/E15)*E8*E9*E18*(1/365)*E19)</f>
        <v>75.140296196871674</v>
      </c>
      <c r="F21" s="95" t="s">
        <v>37</v>
      </c>
      <c r="G21" s="95" t="s">
        <v>263</v>
      </c>
      <c r="H21" s="396">
        <f>(H29*H32*H38*H34)+(H30*H33*H39*H35)</f>
        <v>6104</v>
      </c>
      <c r="I21" s="95" t="s">
        <v>445</v>
      </c>
      <c r="J21" s="95" t="s">
        <v>117</v>
      </c>
      <c r="K21" s="95">
        <f>B47</f>
        <v>60</v>
      </c>
      <c r="L21" s="95" t="s">
        <v>96</v>
      </c>
      <c r="M21" s="258"/>
      <c r="N21" s="259"/>
      <c r="O21" s="260"/>
      <c r="P21" s="261"/>
      <c r="Q21" s="259"/>
      <c r="R21" s="262"/>
      <c r="AB21" s="95" t="s">
        <v>91</v>
      </c>
      <c r="AC21" s="95">
        <v>0.4</v>
      </c>
      <c r="AD21" s="95">
        <v>0.4</v>
      </c>
      <c r="AE21" s="95">
        <v>0.4</v>
      </c>
      <c r="AF21" s="95">
        <v>0.4</v>
      </c>
      <c r="AG21" s="95">
        <v>0.4</v>
      </c>
      <c r="AI21" s="274" t="s">
        <v>33</v>
      </c>
      <c r="AJ21" s="275"/>
      <c r="AK21" s="276"/>
      <c r="AL21" s="277" t="s">
        <v>33</v>
      </c>
      <c r="AM21" s="275"/>
      <c r="AN21" s="278"/>
      <c r="AR21" s="279" t="s">
        <v>33</v>
      </c>
      <c r="AS21" s="280"/>
      <c r="AT21" s="281"/>
      <c r="AU21" s="282" t="s">
        <v>33</v>
      </c>
      <c r="AV21" s="280"/>
      <c r="AW21" s="283"/>
      <c r="BA21" s="279" t="s">
        <v>33</v>
      </c>
      <c r="BB21" s="280"/>
      <c r="BC21" s="281"/>
      <c r="BD21" s="282" t="s">
        <v>33</v>
      </c>
      <c r="BE21" s="280"/>
      <c r="BF21" s="283"/>
      <c r="BJ21" s="279" t="s">
        <v>33</v>
      </c>
      <c r="BK21" s="280"/>
      <c r="BL21" s="281"/>
      <c r="BM21" s="282" t="s">
        <v>33</v>
      </c>
      <c r="BN21" s="280"/>
      <c r="BO21" s="283"/>
      <c r="BS21" s="95" t="s">
        <v>134</v>
      </c>
      <c r="BT21" s="354">
        <f>(BT5)/(BT10*BT11)</f>
        <v>88.888888888888886</v>
      </c>
      <c r="BU21" s="95" t="s">
        <v>37</v>
      </c>
      <c r="BV21" s="95" t="s">
        <v>439</v>
      </c>
      <c r="BW21" s="95">
        <v>6</v>
      </c>
      <c r="BY21" s="95" t="s">
        <v>241</v>
      </c>
      <c r="BZ21" s="95">
        <v>20</v>
      </c>
      <c r="CA21" s="95" t="s">
        <v>83</v>
      </c>
      <c r="CB21" s="95" t="s">
        <v>61</v>
      </c>
      <c r="CC21" s="95">
        <v>26</v>
      </c>
      <c r="CD21" s="95" t="s">
        <v>62</v>
      </c>
      <c r="CE21" s="95" t="s">
        <v>61</v>
      </c>
      <c r="CF21" s="95">
        <v>26</v>
      </c>
      <c r="CG21" s="95" t="s">
        <v>62</v>
      </c>
      <c r="CK21" s="95" t="s">
        <v>415</v>
      </c>
      <c r="CL21" s="354">
        <f>E33</f>
        <v>0</v>
      </c>
      <c r="CM21" s="95" t="s">
        <v>23</v>
      </c>
      <c r="CN21" s="95" t="s">
        <v>50</v>
      </c>
      <c r="CO21" s="95">
        <f>CO23</f>
        <v>0</v>
      </c>
      <c r="CQ21" s="95" t="s">
        <v>346</v>
      </c>
      <c r="CR21" s="357">
        <v>0.5</v>
      </c>
      <c r="CS21" s="95" t="s">
        <v>59</v>
      </c>
      <c r="CT21" s="95" t="s">
        <v>326</v>
      </c>
      <c r="CU21" s="354" t="e">
        <f>EN3</f>
        <v>#DIV/0!</v>
      </c>
      <c r="CV21" s="95" t="s">
        <v>23</v>
      </c>
      <c r="CW21" s="95" t="s">
        <v>139</v>
      </c>
      <c r="CX21" s="354">
        <f>(CX5)/((CX14/CX15)*CX8*CX9*CX18*(1/365)*CX19)</f>
        <v>48.841192527966591</v>
      </c>
      <c r="CY21" s="95" t="s">
        <v>37</v>
      </c>
      <c r="CZ21" s="95" t="s">
        <v>418</v>
      </c>
      <c r="DA21" s="354" t="e">
        <f>DV3</f>
        <v>#DIV/0!</v>
      </c>
      <c r="DC21" s="95" t="s">
        <v>155</v>
      </c>
      <c r="DD21" s="95">
        <v>1</v>
      </c>
      <c r="DF21" s="95" t="s">
        <v>156</v>
      </c>
      <c r="DG21" s="95">
        <v>1</v>
      </c>
      <c r="DH21" s="95" t="s">
        <v>80</v>
      </c>
      <c r="DO21" s="95" t="s">
        <v>156</v>
      </c>
      <c r="DP21" s="95">
        <v>1</v>
      </c>
      <c r="DQ21" s="95" t="s">
        <v>80</v>
      </c>
      <c r="ED21" s="95" t="s">
        <v>156</v>
      </c>
      <c r="EE21" s="95">
        <v>1</v>
      </c>
      <c r="EF21" s="95" t="s">
        <v>80</v>
      </c>
      <c r="ES21" s="95" t="s">
        <v>156</v>
      </c>
      <c r="ET21" s="95">
        <v>1</v>
      </c>
      <c r="EU21" s="95" t="s">
        <v>80</v>
      </c>
      <c r="FH21" s="95" t="s">
        <v>156</v>
      </c>
      <c r="FI21" s="95">
        <v>1</v>
      </c>
      <c r="FJ21" s="95" t="s">
        <v>80</v>
      </c>
      <c r="FW21" s="95" t="s">
        <v>156</v>
      </c>
      <c r="FX21" s="95">
        <v>1</v>
      </c>
      <c r="FY21" s="95" t="s">
        <v>80</v>
      </c>
      <c r="GL21" s="95" t="s">
        <v>156</v>
      </c>
      <c r="GM21" s="95">
        <v>1</v>
      </c>
      <c r="GN21" s="95" t="s">
        <v>80</v>
      </c>
      <c r="HA21" s="95" t="s">
        <v>156</v>
      </c>
      <c r="HB21" s="95">
        <v>1</v>
      </c>
      <c r="HC21" s="95" t="s">
        <v>80</v>
      </c>
      <c r="HD21" s="92" t="s">
        <v>17</v>
      </c>
      <c r="HE21" s="93" t="s">
        <v>460</v>
      </c>
      <c r="HF21" s="94" t="s">
        <v>159</v>
      </c>
    </row>
    <row r="22" spans="1:214" s="95" customFormat="1" ht="13.5" thickTop="1" x14ac:dyDescent="0.2">
      <c r="A22" s="95" t="s">
        <v>473</v>
      </c>
      <c r="B22" s="353">
        <v>1.5400000000000001E-6</v>
      </c>
      <c r="C22" s="95" t="s">
        <v>477</v>
      </c>
      <c r="D22" s="95" t="s">
        <v>134</v>
      </c>
      <c r="E22" s="354">
        <f>(E5*E9*E6)/((E14/E15)*(1-EXP(-E6*E9))*E10*E11)</f>
        <v>1365.1104963871107</v>
      </c>
      <c r="F22" s="95" t="s">
        <v>38</v>
      </c>
      <c r="G22" s="95" t="s">
        <v>403</v>
      </c>
      <c r="H22" s="360">
        <f>(H29*H32*H23)+(H30*H33*H24)</f>
        <v>108850</v>
      </c>
      <c r="I22" s="95" t="s">
        <v>230</v>
      </c>
      <c r="J22" s="95" t="s">
        <v>140</v>
      </c>
      <c r="K22" s="95">
        <f>B48</f>
        <v>200</v>
      </c>
      <c r="L22" s="95" t="s">
        <v>96</v>
      </c>
      <c r="M22" s="95" t="s">
        <v>46</v>
      </c>
      <c r="N22" s="354">
        <v>9.9999999999999995E-7</v>
      </c>
      <c r="P22" s="95" t="s">
        <v>46</v>
      </c>
      <c r="Q22" s="354">
        <v>9.9999999999999995E-7</v>
      </c>
      <c r="V22" s="25" t="s">
        <v>1</v>
      </c>
      <c r="W22" s="26" t="s">
        <v>5</v>
      </c>
      <c r="X22" s="26" t="s">
        <v>460</v>
      </c>
      <c r="Y22" s="27" t="s">
        <v>1</v>
      </c>
      <c r="Z22" s="26" t="s">
        <v>239</v>
      </c>
      <c r="AA22" s="28" t="s">
        <v>460</v>
      </c>
      <c r="AB22" s="95" t="s">
        <v>113</v>
      </c>
      <c r="AC22" s="354">
        <f>B3</f>
        <v>0.75600000000000001</v>
      </c>
      <c r="AD22" s="354">
        <f>B3</f>
        <v>0.75600000000000001</v>
      </c>
      <c r="AE22" s="354">
        <f>B3</f>
        <v>0.75600000000000001</v>
      </c>
      <c r="AF22" s="354">
        <f>B3</f>
        <v>0.75600000000000001</v>
      </c>
      <c r="AG22" s="354">
        <f>B3</f>
        <v>0.75600000000000001</v>
      </c>
      <c r="AI22" s="95" t="s">
        <v>46</v>
      </c>
      <c r="AJ22" s="354">
        <v>9.9999999999999995E-7</v>
      </c>
      <c r="AL22" s="95" t="s">
        <v>46</v>
      </c>
      <c r="AM22" s="354">
        <v>9.9999999999999995E-7</v>
      </c>
      <c r="AR22" s="95" t="s">
        <v>46</v>
      </c>
      <c r="AS22" s="354">
        <v>9.9999999999999995E-7</v>
      </c>
      <c r="AU22" s="95" t="s">
        <v>46</v>
      </c>
      <c r="AV22" s="354">
        <v>9.9999999999999995E-7</v>
      </c>
      <c r="BA22" s="95" t="s">
        <v>46</v>
      </c>
      <c r="BB22" s="354">
        <v>9.9999999999999995E-7</v>
      </c>
      <c r="BD22" s="95" t="s">
        <v>46</v>
      </c>
      <c r="BE22" s="354">
        <v>9.9999999999999995E-7</v>
      </c>
      <c r="BJ22" s="95" t="s">
        <v>46</v>
      </c>
      <c r="BK22" s="354">
        <v>9.9999999999999995E-7</v>
      </c>
      <c r="BM22" s="95" t="s">
        <v>46</v>
      </c>
      <c r="BN22" s="354">
        <v>9.9999999999999995E-7</v>
      </c>
      <c r="BS22" s="95" t="s">
        <v>139</v>
      </c>
      <c r="BT22" s="354">
        <f>(BT5)/((BT14/24)*BT8*BT9*BT19*(1/365)*BT20)</f>
        <v>8415.7131740496261</v>
      </c>
      <c r="BU22" s="95" t="s">
        <v>37</v>
      </c>
      <c r="BV22" s="95" t="s">
        <v>438</v>
      </c>
      <c r="BW22" s="95">
        <f>BW20-BW21</f>
        <v>20</v>
      </c>
      <c r="BY22" s="95" t="s">
        <v>238</v>
      </c>
      <c r="BZ22" s="95">
        <v>80</v>
      </c>
      <c r="CA22" s="95" t="s">
        <v>55</v>
      </c>
      <c r="CB22" s="95" t="s">
        <v>52</v>
      </c>
      <c r="CC22" s="354">
        <f>0.693/CC23</f>
        <v>66.155354824913829</v>
      </c>
      <c r="CE22" s="95" t="s">
        <v>52</v>
      </c>
      <c r="CF22" s="354">
        <f>0.693/CF23</f>
        <v>66.155354824913829</v>
      </c>
      <c r="CK22" s="95" t="s">
        <v>238</v>
      </c>
      <c r="CL22" s="95">
        <v>80</v>
      </c>
      <c r="CM22" s="95" t="s">
        <v>268</v>
      </c>
      <c r="CN22" s="95" t="s">
        <v>57</v>
      </c>
      <c r="CO22" s="95">
        <f>CO24</f>
        <v>0.25</v>
      </c>
      <c r="CR22" s="95">
        <v>1000</v>
      </c>
      <c r="CS22" s="95" t="s">
        <v>230</v>
      </c>
      <c r="CT22" s="95" t="s">
        <v>418</v>
      </c>
      <c r="CU22" s="354" t="e">
        <f>DY3</f>
        <v>#DIV/0!</v>
      </c>
      <c r="CV22" s="95" t="s">
        <v>23</v>
      </c>
      <c r="CW22" s="95" t="s">
        <v>134</v>
      </c>
      <c r="CX22" s="354">
        <f>(CX5*CX9*CX6)/((CX14/CX15)*(1-EXP(-CX6*CX9))*CX10*CX11)</f>
        <v>5831.8770093587937</v>
      </c>
      <c r="CY22" s="95" t="s">
        <v>38</v>
      </c>
      <c r="CZ22" s="95" t="s">
        <v>324</v>
      </c>
      <c r="DA22" s="354" t="e">
        <f>GD3</f>
        <v>#DIV/0!</v>
      </c>
      <c r="DF22" s="95" t="s">
        <v>160</v>
      </c>
      <c r="DG22" s="95">
        <v>14</v>
      </c>
      <c r="DH22" s="95" t="s">
        <v>161</v>
      </c>
      <c r="DO22" s="95" t="s">
        <v>160</v>
      </c>
      <c r="DP22" s="95">
        <v>14</v>
      </c>
      <c r="DQ22" s="95" t="s">
        <v>161</v>
      </c>
      <c r="ED22" s="95" t="s">
        <v>160</v>
      </c>
      <c r="EE22" s="95">
        <v>14</v>
      </c>
      <c r="EF22" s="95" t="s">
        <v>161</v>
      </c>
      <c r="ES22" s="95" t="s">
        <v>160</v>
      </c>
      <c r="ET22" s="95">
        <v>14</v>
      </c>
      <c r="EU22" s="95" t="s">
        <v>161</v>
      </c>
      <c r="FH22" s="95" t="s">
        <v>160</v>
      </c>
      <c r="FI22" s="95">
        <v>14</v>
      </c>
      <c r="FJ22" s="95" t="s">
        <v>161</v>
      </c>
      <c r="FW22" s="95" t="s">
        <v>160</v>
      </c>
      <c r="FX22" s="95">
        <v>14</v>
      </c>
      <c r="FY22" s="95" t="s">
        <v>161</v>
      </c>
      <c r="GL22" s="95" t="s">
        <v>160</v>
      </c>
      <c r="GM22" s="95">
        <v>14</v>
      </c>
      <c r="GN22" s="95" t="s">
        <v>161</v>
      </c>
      <c r="HA22" s="95" t="s">
        <v>160</v>
      </c>
      <c r="HB22" s="95">
        <v>14</v>
      </c>
      <c r="HC22" s="95" t="s">
        <v>161</v>
      </c>
      <c r="HD22" s="178" t="s">
        <v>23</v>
      </c>
      <c r="HE22" s="179" t="s">
        <v>34</v>
      </c>
      <c r="HF22" s="180" t="s">
        <v>36</v>
      </c>
    </row>
    <row r="23" spans="1:214" s="95" customFormat="1" x14ac:dyDescent="0.2">
      <c r="A23" s="95" t="s">
        <v>476</v>
      </c>
      <c r="B23" s="353">
        <v>9.8500000000000001E-10</v>
      </c>
      <c r="C23" s="95" t="s">
        <v>163</v>
      </c>
      <c r="D23" s="95" t="s">
        <v>139</v>
      </c>
      <c r="E23" s="354">
        <f>(E5*E9*E6)/((E14/E15)*E8*E9*(1-EXP(-E6*E9))*E18*(1/365)*E19)</f>
        <v>129244.25687038238</v>
      </c>
      <c r="F23" s="95" t="s">
        <v>38</v>
      </c>
      <c r="G23" s="95" t="s">
        <v>404</v>
      </c>
      <c r="H23" s="354">
        <f>B51</f>
        <v>2.5</v>
      </c>
      <c r="I23" s="95" t="s">
        <v>413</v>
      </c>
      <c r="J23" s="95" t="s">
        <v>240</v>
      </c>
      <c r="K23" s="95">
        <f>B44</f>
        <v>0</v>
      </c>
      <c r="L23" s="95" t="s">
        <v>83</v>
      </c>
      <c r="M23" s="95" t="s">
        <v>61</v>
      </c>
      <c r="N23" s="95">
        <v>20</v>
      </c>
      <c r="O23" s="95" t="s">
        <v>62</v>
      </c>
      <c r="P23" s="95" t="s">
        <v>61</v>
      </c>
      <c r="Q23" s="95">
        <v>20</v>
      </c>
      <c r="R23" s="95" t="s">
        <v>62</v>
      </c>
      <c r="V23" s="108" t="s">
        <v>19</v>
      </c>
      <c r="W23" s="109" t="s">
        <v>17</v>
      </c>
      <c r="X23" s="109" t="s">
        <v>20</v>
      </c>
      <c r="Y23" s="110" t="s">
        <v>19</v>
      </c>
      <c r="Z23" s="109" t="s">
        <v>17</v>
      </c>
      <c r="AA23" s="111" t="s">
        <v>20</v>
      </c>
      <c r="AB23" s="95" t="s">
        <v>131</v>
      </c>
      <c r="AC23" s="354">
        <f>B21</f>
        <v>8.4800000000000001E-6</v>
      </c>
      <c r="AD23" s="354">
        <f>B21</f>
        <v>8.4800000000000001E-6</v>
      </c>
      <c r="AE23" s="354">
        <f>B21</f>
        <v>8.4800000000000001E-6</v>
      </c>
      <c r="AF23" s="354">
        <f>B21</f>
        <v>8.4800000000000001E-6</v>
      </c>
      <c r="AG23" s="354">
        <f>B21</f>
        <v>8.4800000000000001E-6</v>
      </c>
      <c r="AH23" s="95" t="s">
        <v>163</v>
      </c>
      <c r="AI23" s="95" t="s">
        <v>61</v>
      </c>
      <c r="AJ23" s="95">
        <v>25</v>
      </c>
      <c r="AK23" s="95" t="s">
        <v>62</v>
      </c>
      <c r="AL23" s="95" t="s">
        <v>61</v>
      </c>
      <c r="AM23" s="95">
        <v>25</v>
      </c>
      <c r="AN23" s="95" t="s">
        <v>62</v>
      </c>
      <c r="AR23" s="95" t="s">
        <v>61</v>
      </c>
      <c r="AS23" s="95">
        <v>20</v>
      </c>
      <c r="AT23" s="95" t="s">
        <v>62</v>
      </c>
      <c r="AU23" s="95" t="s">
        <v>61</v>
      </c>
      <c r="AV23" s="95">
        <v>20</v>
      </c>
      <c r="AW23" s="95" t="s">
        <v>62</v>
      </c>
      <c r="BA23" s="95" t="s">
        <v>61</v>
      </c>
      <c r="BB23" s="95">
        <v>20</v>
      </c>
      <c r="BC23" s="95" t="s">
        <v>62</v>
      </c>
      <c r="BD23" s="95" t="s">
        <v>61</v>
      </c>
      <c r="BE23" s="95">
        <v>20</v>
      </c>
      <c r="BF23" s="95" t="s">
        <v>62</v>
      </c>
      <c r="BJ23" s="95" t="s">
        <v>61</v>
      </c>
      <c r="BK23" s="95">
        <v>1</v>
      </c>
      <c r="BL23" s="95" t="s">
        <v>62</v>
      </c>
      <c r="BM23" s="95" t="s">
        <v>61</v>
      </c>
      <c r="BN23" s="95">
        <v>1</v>
      </c>
      <c r="BO23" s="95" t="s">
        <v>62</v>
      </c>
      <c r="BS23" s="95" t="s">
        <v>134</v>
      </c>
      <c r="BT23" s="354">
        <f>(BT5*BT28*BT6)/((1-EXP(-BT6*BT9))*BT10*BT11)</f>
        <v>152892.3755953564</v>
      </c>
      <c r="BU23" s="95" t="s">
        <v>38</v>
      </c>
      <c r="BV23" s="95" t="s">
        <v>436</v>
      </c>
      <c r="BW23" s="95">
        <v>1</v>
      </c>
      <c r="BX23" s="95" t="s">
        <v>180</v>
      </c>
      <c r="BY23" s="95" t="s">
        <v>78</v>
      </c>
      <c r="BZ23" s="95">
        <v>80</v>
      </c>
      <c r="CA23" s="95" t="s">
        <v>55</v>
      </c>
      <c r="CB23" s="95" t="s">
        <v>448</v>
      </c>
      <c r="CC23" s="354">
        <f>B29</f>
        <v>1.04753425E-2</v>
      </c>
      <c r="CD23" s="95" t="s">
        <v>129</v>
      </c>
      <c r="CE23" s="95" t="s">
        <v>448</v>
      </c>
      <c r="CF23" s="354">
        <f>B29</f>
        <v>1.04753425E-2</v>
      </c>
      <c r="CG23" s="95" t="s">
        <v>129</v>
      </c>
      <c r="CK23" s="95" t="s">
        <v>107</v>
      </c>
      <c r="CL23" s="95">
        <v>26</v>
      </c>
      <c r="CM23" s="95" t="s">
        <v>276</v>
      </c>
      <c r="CN23" s="95" t="s">
        <v>67</v>
      </c>
      <c r="CO23" s="354">
        <f>B43</f>
        <v>0</v>
      </c>
      <c r="CT23" s="95" t="s">
        <v>324</v>
      </c>
      <c r="CU23" s="354" t="e">
        <f>GG3</f>
        <v>#DIV/0!</v>
      </c>
      <c r="CV23" s="95" t="s">
        <v>23</v>
      </c>
      <c r="CW23" s="95" t="s">
        <v>139</v>
      </c>
      <c r="CX23" s="354">
        <f>(CX5*CX9*CX6)/((CX14/CX15)*CX8*CX9*(1-EXP(-CX6*CX9))*CX18*(1/365)*CX19)</f>
        <v>129244.25687038238</v>
      </c>
      <c r="CY23" s="95" t="s">
        <v>38</v>
      </c>
      <c r="CZ23" s="95" t="s">
        <v>325</v>
      </c>
      <c r="DA23" s="354" t="e">
        <f>FO3</f>
        <v>#DIV/0!</v>
      </c>
      <c r="DF23" s="95" t="s">
        <v>46</v>
      </c>
      <c r="DG23" s="354">
        <f>B33</f>
        <v>3.82</v>
      </c>
      <c r="DH23" s="95" t="s">
        <v>416</v>
      </c>
      <c r="DO23" s="95" t="s">
        <v>49</v>
      </c>
      <c r="DP23" s="95">
        <f>DP25</f>
        <v>0</v>
      </c>
      <c r="ED23" s="95" t="s">
        <v>49</v>
      </c>
      <c r="EE23" s="95">
        <f>EE25</f>
        <v>0</v>
      </c>
      <c r="ES23" s="95" t="s">
        <v>49</v>
      </c>
      <c r="ET23" s="95">
        <f>ET25</f>
        <v>0</v>
      </c>
      <c r="FH23" s="95" t="s">
        <v>49</v>
      </c>
      <c r="FI23" s="95">
        <v>0.2</v>
      </c>
      <c r="FW23" s="95" t="s">
        <v>49</v>
      </c>
      <c r="FX23" s="95">
        <f>FX25</f>
        <v>0</v>
      </c>
      <c r="GL23" s="95" t="s">
        <v>49</v>
      </c>
      <c r="GM23" s="95">
        <f>GM25</f>
        <v>0</v>
      </c>
      <c r="HA23" s="95" t="s">
        <v>49</v>
      </c>
      <c r="HB23" s="95">
        <f>HB25</f>
        <v>0</v>
      </c>
      <c r="HD23" s="247">
        <f>(HE25*HE33*HE38*HE32*10^-3*HE31*HE27)/(HE30*HE41*(1-EXP(-HE27*HE31)))</f>
        <v>722.12939181482432</v>
      </c>
      <c r="HE23" s="248"/>
      <c r="HF23" s="180" t="s">
        <v>40</v>
      </c>
    </row>
    <row r="24" spans="1:214" s="95" customFormat="1" ht="13.5" thickBot="1" x14ac:dyDescent="0.25">
      <c r="A24" s="95" t="s">
        <v>474</v>
      </c>
      <c r="B24" s="353">
        <v>4.5199999999999999E-6</v>
      </c>
      <c r="C24" s="95" t="s">
        <v>163</v>
      </c>
      <c r="D24" s="95" t="s">
        <v>244</v>
      </c>
      <c r="E24" s="95">
        <v>350</v>
      </c>
      <c r="F24" s="95" t="s">
        <v>55</v>
      </c>
      <c r="G24" s="95" t="s">
        <v>405</v>
      </c>
      <c r="H24" s="354">
        <f>B52</f>
        <v>14.8</v>
      </c>
      <c r="I24" s="95" t="s">
        <v>413</v>
      </c>
      <c r="J24" s="95" t="s">
        <v>241</v>
      </c>
      <c r="K24" s="95">
        <f>B45</f>
        <v>10</v>
      </c>
      <c r="L24" s="95" t="s">
        <v>83</v>
      </c>
      <c r="M24" s="95" t="s">
        <v>52</v>
      </c>
      <c r="N24" s="354">
        <f>0.693/N25</f>
        <v>66.155354824913829</v>
      </c>
      <c r="P24" s="95" t="s">
        <v>52</v>
      </c>
      <c r="Q24" s="354">
        <f>0.693/Q25</f>
        <v>66.155354824913829</v>
      </c>
      <c r="V24" s="108" t="s">
        <v>38</v>
      </c>
      <c r="W24" s="186">
        <f>1/((1/W39)+(1/W40))</f>
        <v>1539.8081996588332</v>
      </c>
      <c r="X24" s="187"/>
      <c r="Y24" s="188" t="s">
        <v>38</v>
      </c>
      <c r="Z24" s="186">
        <f>1/((1/Z37)+(1/Z38))</f>
        <v>720.70750934740113</v>
      </c>
      <c r="AA24" s="189"/>
      <c r="AB24" s="95" t="s">
        <v>75</v>
      </c>
      <c r="AC24" s="354">
        <f>B17</f>
        <v>1.7999999999999999E-11</v>
      </c>
      <c r="AD24" s="354">
        <f>B17</f>
        <v>1.7999999999999999E-11</v>
      </c>
      <c r="AE24" s="354">
        <f>B17</f>
        <v>1.7999999999999999E-11</v>
      </c>
      <c r="AF24" s="354">
        <f>B17</f>
        <v>1.7999999999999999E-11</v>
      </c>
      <c r="AG24" s="354">
        <f>B17</f>
        <v>1.7999999999999999E-11</v>
      </c>
      <c r="AH24" s="95" t="s">
        <v>64</v>
      </c>
      <c r="AI24" s="95" t="s">
        <v>52</v>
      </c>
      <c r="AJ24" s="354">
        <f>0.693/AJ25</f>
        <v>66.155354824913829</v>
      </c>
      <c r="AL24" s="95" t="s">
        <v>52</v>
      </c>
      <c r="AM24" s="354">
        <f>0.693/AM25</f>
        <v>66.155354824913829</v>
      </c>
      <c r="AR24" s="95" t="s">
        <v>52</v>
      </c>
      <c r="AS24" s="354">
        <f>0.693/AS25</f>
        <v>66.155354824913829</v>
      </c>
      <c r="AU24" s="95" t="s">
        <v>52</v>
      </c>
      <c r="AV24" s="354">
        <f>0.693/AV25</f>
        <v>66.155354824913829</v>
      </c>
      <c r="BA24" s="95" t="s">
        <v>52</v>
      </c>
      <c r="BB24" s="354">
        <f>0.693/BB25</f>
        <v>66.155354824913829</v>
      </c>
      <c r="BD24" s="95" t="s">
        <v>52</v>
      </c>
      <c r="BE24" s="354">
        <f>0.693/BE25</f>
        <v>66.155354824913829</v>
      </c>
      <c r="BJ24" s="95" t="s">
        <v>52</v>
      </c>
      <c r="BK24" s="354">
        <f>0.693/BK25</f>
        <v>66.155354824913829</v>
      </c>
      <c r="BM24" s="95" t="s">
        <v>52</v>
      </c>
      <c r="BN24" s="354">
        <f>0.693/BN25</f>
        <v>66.155354824913829</v>
      </c>
      <c r="BS24" s="95" t="s">
        <v>139</v>
      </c>
      <c r="BT24" s="354">
        <f>(BT5*BT9*BT6)/((BT14/24)*BT8*BT9*(1-EXP(-BT6*BT9))*BT19*(1/365)*BT20)</f>
        <v>14475356.769482827</v>
      </c>
      <c r="BU24" s="95" t="s">
        <v>38</v>
      </c>
      <c r="BV24" s="95" t="s">
        <v>435</v>
      </c>
      <c r="BW24" s="95">
        <v>1</v>
      </c>
      <c r="BX24" s="95" t="s">
        <v>180</v>
      </c>
      <c r="BY24" s="95" t="s">
        <v>70</v>
      </c>
      <c r="BZ24" s="95">
        <v>80</v>
      </c>
      <c r="CA24" s="95" t="s">
        <v>55</v>
      </c>
      <c r="CB24" s="95" t="s">
        <v>54</v>
      </c>
      <c r="CC24" s="95">
        <v>80</v>
      </c>
      <c r="CD24" s="95" t="s">
        <v>63</v>
      </c>
      <c r="CE24" s="95" t="s">
        <v>54</v>
      </c>
      <c r="CF24" s="95">
        <v>80</v>
      </c>
      <c r="CG24" s="95" t="s">
        <v>63</v>
      </c>
      <c r="CK24" s="95" t="s">
        <v>334</v>
      </c>
      <c r="CL24" s="357">
        <v>0.5</v>
      </c>
      <c r="CM24" s="95" t="s">
        <v>413</v>
      </c>
      <c r="CN24" s="95" t="s">
        <v>341</v>
      </c>
      <c r="CO24" s="357">
        <v>0.25</v>
      </c>
      <c r="CT24" s="95" t="s">
        <v>325</v>
      </c>
      <c r="CU24" s="354" t="e">
        <f>FR3</f>
        <v>#DIV/0!</v>
      </c>
      <c r="CV24" s="95" t="s">
        <v>23</v>
      </c>
      <c r="CW24" s="95" t="s">
        <v>244</v>
      </c>
      <c r="CX24" s="95">
        <v>55</v>
      </c>
      <c r="CY24" s="95" t="s">
        <v>55</v>
      </c>
      <c r="CZ24" s="95" t="s">
        <v>86</v>
      </c>
      <c r="DA24" s="360">
        <f>(DA31*DA33*DA27)+(DA32*DA34*DA28)</f>
        <v>219282</v>
      </c>
      <c r="DB24" s="95" t="s">
        <v>196</v>
      </c>
      <c r="DG24" s="95">
        <v>1000</v>
      </c>
      <c r="DO24" s="95" t="s">
        <v>57</v>
      </c>
      <c r="DP24" s="95">
        <f>DP26</f>
        <v>0.26</v>
      </c>
      <c r="ED24" s="95" t="s">
        <v>57</v>
      </c>
      <c r="EE24" s="95">
        <f>EE26</f>
        <v>0.25</v>
      </c>
      <c r="ES24" s="95" t="s">
        <v>57</v>
      </c>
      <c r="ET24" s="95">
        <f>ET26</f>
        <v>0.25</v>
      </c>
      <c r="FH24" s="95" t="s">
        <v>57</v>
      </c>
      <c r="FI24" s="95">
        <v>0.25</v>
      </c>
      <c r="FW24" s="95" t="s">
        <v>57</v>
      </c>
      <c r="FX24" s="95">
        <f>FX26</f>
        <v>0.25</v>
      </c>
      <c r="GL24" s="95" t="s">
        <v>57</v>
      </c>
      <c r="GM24" s="95">
        <f>GM26</f>
        <v>0.25</v>
      </c>
      <c r="HA24" s="95" t="s">
        <v>57</v>
      </c>
      <c r="HB24" s="95">
        <f>HB26</f>
        <v>0.25</v>
      </c>
      <c r="HD24" s="350" t="e">
        <f>(HE26*HE33*HE38*HE32*10^-3*HE31*HE27)/(HE30*HE41*(1-EXP(-HE27*HE31)))</f>
        <v>#DIV/0!</v>
      </c>
      <c r="HE24" s="351"/>
      <c r="HF24" s="352" t="s">
        <v>45</v>
      </c>
    </row>
    <row r="25" spans="1:214" s="95" customFormat="1" ht="14.25" thickTop="1" thickBot="1" x14ac:dyDescent="0.25">
      <c r="A25" s="95" t="s">
        <v>475</v>
      </c>
      <c r="B25" s="353">
        <v>7.1899999999999998E-6</v>
      </c>
      <c r="C25" s="95" t="s">
        <v>163</v>
      </c>
      <c r="D25" s="95" t="s">
        <v>245</v>
      </c>
      <c r="E25" s="95">
        <v>350</v>
      </c>
      <c r="F25" s="95" t="s">
        <v>55</v>
      </c>
      <c r="G25" s="95" t="s">
        <v>402</v>
      </c>
      <c r="H25" s="360">
        <f>(H29*H32*H26)+(H30*H33*H27)</f>
        <v>190820</v>
      </c>
      <c r="I25" s="95" t="s">
        <v>230</v>
      </c>
      <c r="J25" s="95" t="s">
        <v>403</v>
      </c>
      <c r="K25" s="360">
        <f>(K31*K35*K26)+(K32*K34*K27)</f>
        <v>108850</v>
      </c>
      <c r="L25" s="95" t="s">
        <v>230</v>
      </c>
      <c r="M25" s="95" t="s">
        <v>448</v>
      </c>
      <c r="N25" s="354">
        <f>B29</f>
        <v>1.04753425E-2</v>
      </c>
      <c r="O25" s="95" t="s">
        <v>129</v>
      </c>
      <c r="P25" s="95" t="s">
        <v>448</v>
      </c>
      <c r="Q25" s="354">
        <f>B29</f>
        <v>1.04753425E-2</v>
      </c>
      <c r="R25" s="95" t="s">
        <v>129</v>
      </c>
      <c r="V25" s="263" t="s">
        <v>37</v>
      </c>
      <c r="W25" s="264">
        <f>1/((1/W37)+(1/W38))</f>
        <v>0.9310255859009906</v>
      </c>
      <c r="X25" s="265"/>
      <c r="Y25" s="266" t="s">
        <v>37</v>
      </c>
      <c r="Z25" s="398">
        <f>1/((1/Z39)+(1/Z40))</f>
        <v>10.89416739211541</v>
      </c>
      <c r="AA25" s="267"/>
      <c r="AC25" s="354"/>
      <c r="AD25" s="354"/>
      <c r="AE25" s="354"/>
      <c r="AI25" s="95" t="s">
        <v>448</v>
      </c>
      <c r="AJ25" s="354">
        <f>B29</f>
        <v>1.04753425E-2</v>
      </c>
      <c r="AK25" s="95" t="s">
        <v>129</v>
      </c>
      <c r="AL25" s="95" t="s">
        <v>448</v>
      </c>
      <c r="AM25" s="354">
        <f>B29</f>
        <v>1.04753425E-2</v>
      </c>
      <c r="AN25" s="95" t="s">
        <v>129</v>
      </c>
      <c r="AR25" s="95" t="s">
        <v>448</v>
      </c>
      <c r="AS25" s="354">
        <f>B29</f>
        <v>1.04753425E-2</v>
      </c>
      <c r="AT25" s="95" t="s">
        <v>129</v>
      </c>
      <c r="AU25" s="95" t="s">
        <v>448</v>
      </c>
      <c r="AV25" s="354">
        <f>B29</f>
        <v>1.04753425E-2</v>
      </c>
      <c r="AW25" s="95" t="s">
        <v>129</v>
      </c>
      <c r="BA25" s="95" t="s">
        <v>448</v>
      </c>
      <c r="BB25" s="354">
        <f>B29</f>
        <v>1.04753425E-2</v>
      </c>
      <c r="BC25" s="95" t="s">
        <v>129</v>
      </c>
      <c r="BD25" s="95" t="s">
        <v>448</v>
      </c>
      <c r="BE25" s="354">
        <f>B29</f>
        <v>1.04753425E-2</v>
      </c>
      <c r="BF25" s="95" t="s">
        <v>129</v>
      </c>
      <c r="BJ25" s="95" t="s">
        <v>448</v>
      </c>
      <c r="BK25" s="354">
        <f>B29</f>
        <v>1.04753425E-2</v>
      </c>
      <c r="BL25" s="95" t="s">
        <v>129</v>
      </c>
      <c r="BM25" s="95" t="s">
        <v>448</v>
      </c>
      <c r="BN25" s="354">
        <f>B29</f>
        <v>1.04753425E-2</v>
      </c>
      <c r="BO25" s="95" t="s">
        <v>129</v>
      </c>
      <c r="BS25" s="95" t="s">
        <v>244</v>
      </c>
      <c r="BT25" s="95">
        <v>75</v>
      </c>
      <c r="BU25" s="95" t="s">
        <v>55</v>
      </c>
      <c r="BV25" s="95" t="s">
        <v>437</v>
      </c>
      <c r="BW25" s="95">
        <v>1</v>
      </c>
      <c r="BX25" s="95" t="s">
        <v>85</v>
      </c>
      <c r="BY25" s="95" t="s">
        <v>107</v>
      </c>
      <c r="BZ25" s="95">
        <v>26</v>
      </c>
      <c r="CA25" s="95" t="s">
        <v>129</v>
      </c>
      <c r="CB25" s="95" t="s">
        <v>68</v>
      </c>
      <c r="CC25" s="95">
        <v>26</v>
      </c>
      <c r="CD25" s="95" t="s">
        <v>62</v>
      </c>
      <c r="CE25" s="95" t="s">
        <v>68</v>
      </c>
      <c r="CF25" s="95">
        <v>26</v>
      </c>
      <c r="CG25" s="95" t="s">
        <v>62</v>
      </c>
      <c r="CN25" s="95" t="s">
        <v>339</v>
      </c>
      <c r="CO25" s="357">
        <v>0.5</v>
      </c>
      <c r="CP25" s="95" t="s">
        <v>479</v>
      </c>
      <c r="CT25" s="95" t="s">
        <v>87</v>
      </c>
      <c r="CU25" s="399">
        <f>(CU27*CU31*CU35+CU28*CU32*CU34)</f>
        <v>2506000</v>
      </c>
      <c r="CV25" s="95" t="s">
        <v>443</v>
      </c>
      <c r="CW25" s="95" t="s">
        <v>245</v>
      </c>
      <c r="CX25" s="95">
        <v>55</v>
      </c>
      <c r="CY25" s="95" t="s">
        <v>55</v>
      </c>
      <c r="CZ25" s="95" t="s">
        <v>82</v>
      </c>
      <c r="DA25" s="360">
        <f>(DA31*DA33*DA29*(DA36/24))+(DA32*DA34*DA30*(DA37/24))</f>
        <v>119000</v>
      </c>
      <c r="DB25" s="95" t="s">
        <v>444</v>
      </c>
      <c r="DO25" s="95" t="s">
        <v>66</v>
      </c>
      <c r="DP25" s="95">
        <f>B40</f>
        <v>0</v>
      </c>
      <c r="ED25" s="95" t="s">
        <v>67</v>
      </c>
      <c r="EE25" s="354">
        <f>B43</f>
        <v>0</v>
      </c>
      <c r="ES25" s="95" t="s">
        <v>67</v>
      </c>
      <c r="ET25" s="354">
        <f>B43</f>
        <v>0</v>
      </c>
      <c r="FH25" s="95" t="s">
        <v>67</v>
      </c>
      <c r="FI25" s="354">
        <f>B43</f>
        <v>0</v>
      </c>
      <c r="FW25" s="95" t="s">
        <v>67</v>
      </c>
      <c r="FX25" s="354">
        <f>B43</f>
        <v>0</v>
      </c>
      <c r="GL25" s="95" t="s">
        <v>67</v>
      </c>
      <c r="GM25" s="354">
        <f>B43</f>
        <v>0</v>
      </c>
      <c r="HA25" s="95" t="s">
        <v>67</v>
      </c>
      <c r="HB25" s="354">
        <f>B43</f>
        <v>0</v>
      </c>
      <c r="HD25" s="355" t="s">
        <v>51</v>
      </c>
      <c r="HE25" s="354">
        <v>15</v>
      </c>
      <c r="HF25" s="95" t="s">
        <v>25</v>
      </c>
    </row>
    <row r="26" spans="1:214" s="95" customFormat="1" ht="14.25" thickTop="1" thickBot="1" x14ac:dyDescent="0.25">
      <c r="A26" s="95" t="s">
        <v>115</v>
      </c>
      <c r="B26" s="353">
        <v>7.8500000000000008E-9</v>
      </c>
      <c r="C26" s="95" t="s">
        <v>163</v>
      </c>
      <c r="G26" s="95" t="s">
        <v>400</v>
      </c>
      <c r="H26" s="354">
        <f>B53</f>
        <v>56.2</v>
      </c>
      <c r="I26" s="95" t="s">
        <v>413</v>
      </c>
      <c r="J26" s="95" t="s">
        <v>404</v>
      </c>
      <c r="K26" s="354">
        <f>B51</f>
        <v>2.5</v>
      </c>
      <c r="L26" s="95" t="s">
        <v>413</v>
      </c>
      <c r="M26" s="95" t="s">
        <v>54</v>
      </c>
      <c r="N26" s="95">
        <v>55</v>
      </c>
      <c r="O26" s="95" t="s">
        <v>63</v>
      </c>
      <c r="P26" s="95" t="s">
        <v>54</v>
      </c>
      <c r="Q26" s="95">
        <v>55</v>
      </c>
      <c r="R26" s="95" t="s">
        <v>63</v>
      </c>
      <c r="V26" s="95" t="s">
        <v>46</v>
      </c>
      <c r="W26" s="354">
        <v>9.9999999999999995E-7</v>
      </c>
      <c r="Y26" s="95" t="s">
        <v>46</v>
      </c>
      <c r="Z26" s="354">
        <v>9.9999999999999995E-7</v>
      </c>
      <c r="AC26" s="354"/>
      <c r="AD26" s="354"/>
      <c r="AE26" s="354"/>
      <c r="AI26" s="95" t="s">
        <v>54</v>
      </c>
      <c r="AJ26" s="95">
        <v>130</v>
      </c>
      <c r="AK26" s="95" t="s">
        <v>63</v>
      </c>
      <c r="AL26" s="95" t="s">
        <v>54</v>
      </c>
      <c r="AM26" s="95">
        <v>130</v>
      </c>
      <c r="AN26" s="95" t="s">
        <v>63</v>
      </c>
      <c r="AR26" s="95" t="s">
        <v>54</v>
      </c>
      <c r="AS26" s="95">
        <v>200</v>
      </c>
      <c r="AT26" s="95" t="s">
        <v>63</v>
      </c>
      <c r="AU26" s="95" t="s">
        <v>54</v>
      </c>
      <c r="AV26" s="95">
        <v>200</v>
      </c>
      <c r="AW26" s="95" t="s">
        <v>63</v>
      </c>
      <c r="BA26" s="95" t="s">
        <v>54</v>
      </c>
      <c r="BB26" s="95">
        <v>200</v>
      </c>
      <c r="BC26" s="95" t="s">
        <v>63</v>
      </c>
      <c r="BD26" s="95" t="s">
        <v>54</v>
      </c>
      <c r="BE26" s="95">
        <v>200</v>
      </c>
      <c r="BF26" s="95" t="s">
        <v>63</v>
      </c>
      <c r="BJ26" s="95" t="s">
        <v>54</v>
      </c>
      <c r="BK26" s="95">
        <f>BK27*BK28</f>
        <v>250</v>
      </c>
      <c r="BL26" s="95" t="s">
        <v>63</v>
      </c>
      <c r="BM26" s="95" t="s">
        <v>54</v>
      </c>
      <c r="BN26" s="95">
        <f>BN27*BN28</f>
        <v>250</v>
      </c>
      <c r="BO26" s="95" t="s">
        <v>63</v>
      </c>
      <c r="BS26" s="95" t="s">
        <v>245</v>
      </c>
      <c r="BT26" s="95">
        <v>75</v>
      </c>
      <c r="BU26" s="95" t="s">
        <v>55</v>
      </c>
      <c r="BV26" s="95" t="s">
        <v>167</v>
      </c>
      <c r="BW26" s="95">
        <v>1</v>
      </c>
      <c r="BX26" s="95" t="s">
        <v>168</v>
      </c>
      <c r="BY26" s="95" t="s">
        <v>106</v>
      </c>
      <c r="BZ26" s="95">
        <v>20</v>
      </c>
      <c r="CA26" s="95" t="s">
        <v>129</v>
      </c>
      <c r="CB26" s="95" t="s">
        <v>102</v>
      </c>
      <c r="CC26" s="354">
        <f>B11</f>
        <v>2.2499999999999999E-2</v>
      </c>
      <c r="CE26" s="95" t="s">
        <v>102</v>
      </c>
      <c r="CF26" s="354">
        <f>B7</f>
        <v>4.2700000000000002E-2</v>
      </c>
      <c r="CN26" s="95" t="s">
        <v>342</v>
      </c>
      <c r="CO26" s="357">
        <v>0.5</v>
      </c>
      <c r="CP26" s="95" t="s">
        <v>479</v>
      </c>
      <c r="CT26" s="95" t="s">
        <v>82</v>
      </c>
      <c r="CU26" s="399">
        <f>((CU35*CU31*CU29*CU36/24))+(CU34*CU32*CU30*(CU37/24))</f>
        <v>119000</v>
      </c>
      <c r="CV26" s="95" t="s">
        <v>444</v>
      </c>
      <c r="CZ26" s="95" t="s">
        <v>263</v>
      </c>
      <c r="DA26" s="360">
        <f>(DA31*DA33*DA38*DA40)+(DA32*DA34*DA39*DA41)</f>
        <v>9583</v>
      </c>
      <c r="DB26" s="95" t="s">
        <v>445</v>
      </c>
      <c r="DF26" s="95" t="s">
        <v>67</v>
      </c>
      <c r="DG26" s="354">
        <f>B43</f>
        <v>0</v>
      </c>
      <c r="DO26" s="95" t="s">
        <v>73</v>
      </c>
      <c r="DP26" s="95">
        <v>0.26</v>
      </c>
      <c r="ED26" s="95" t="s">
        <v>73</v>
      </c>
      <c r="EE26" s="95">
        <v>0.25</v>
      </c>
      <c r="EJ26" s="95" t="s">
        <v>67</v>
      </c>
      <c r="EK26" s="354">
        <f>B43</f>
        <v>0</v>
      </c>
      <c r="ES26" s="95" t="s">
        <v>73</v>
      </c>
      <c r="ET26" s="95">
        <v>0.25</v>
      </c>
      <c r="FH26" s="95" t="s">
        <v>316</v>
      </c>
      <c r="FI26" s="95">
        <v>0.25</v>
      </c>
      <c r="FW26" s="95" t="s">
        <v>311</v>
      </c>
      <c r="FX26" s="95">
        <v>0.25</v>
      </c>
      <c r="GL26" s="95" t="s">
        <v>305</v>
      </c>
      <c r="GM26" s="95">
        <v>0.25</v>
      </c>
      <c r="HA26" s="95" t="s">
        <v>310</v>
      </c>
      <c r="HB26" s="95">
        <v>0.25</v>
      </c>
      <c r="HD26" s="95" t="s">
        <v>17</v>
      </c>
      <c r="HE26" s="354" t="e">
        <f>H3</f>
        <v>#DIV/0!</v>
      </c>
      <c r="HF26" s="95" t="s">
        <v>25</v>
      </c>
    </row>
    <row r="27" spans="1:214" s="95" customFormat="1" ht="12.75" customHeight="1" thickTop="1" x14ac:dyDescent="0.2">
      <c r="A27" s="95" t="s">
        <v>409</v>
      </c>
      <c r="B27" s="353">
        <v>1.7100000000000001E-11</v>
      </c>
      <c r="C27" s="95" t="s">
        <v>64</v>
      </c>
      <c r="D27" s="401" t="s">
        <v>3</v>
      </c>
      <c r="E27" s="19"/>
      <c r="F27" s="20" t="s">
        <v>460</v>
      </c>
      <c r="G27" s="95" t="s">
        <v>401</v>
      </c>
      <c r="H27" s="354">
        <f>B54</f>
        <v>10.4</v>
      </c>
      <c r="I27" s="95" t="s">
        <v>413</v>
      </c>
      <c r="J27" s="95" t="s">
        <v>405</v>
      </c>
      <c r="K27" s="354">
        <f>B52</f>
        <v>14.8</v>
      </c>
      <c r="L27" s="95" t="s">
        <v>413</v>
      </c>
      <c r="M27" s="95" t="s">
        <v>68</v>
      </c>
      <c r="N27" s="95">
        <v>20</v>
      </c>
      <c r="O27" s="95" t="s">
        <v>62</v>
      </c>
      <c r="P27" s="95" t="s">
        <v>68</v>
      </c>
      <c r="Q27" s="95">
        <v>20</v>
      </c>
      <c r="R27" s="95" t="s">
        <v>62</v>
      </c>
      <c r="V27" s="95" t="s">
        <v>52</v>
      </c>
      <c r="W27" s="354">
        <f>0.693/W28</f>
        <v>66.155354824913829</v>
      </c>
      <c r="Y27" s="95" t="s">
        <v>52</v>
      </c>
      <c r="Z27" s="354">
        <f>0.693/Z28</f>
        <v>66.155354824913829</v>
      </c>
      <c r="AB27" s="95" t="s">
        <v>68</v>
      </c>
      <c r="AF27" s="95">
        <v>1</v>
      </c>
      <c r="AG27" s="95">
        <v>1</v>
      </c>
      <c r="AH27" s="95" t="s">
        <v>129</v>
      </c>
      <c r="AI27" s="95" t="s">
        <v>68</v>
      </c>
      <c r="AJ27" s="95">
        <v>25</v>
      </c>
      <c r="AK27" s="95" t="s">
        <v>62</v>
      </c>
      <c r="AL27" s="95" t="s">
        <v>68</v>
      </c>
      <c r="AM27" s="95">
        <v>25</v>
      </c>
      <c r="AN27" s="95" t="s">
        <v>62</v>
      </c>
      <c r="AR27" s="95" t="s">
        <v>68</v>
      </c>
      <c r="AS27" s="95">
        <v>20</v>
      </c>
      <c r="AT27" s="95" t="s">
        <v>62</v>
      </c>
      <c r="AU27" s="95" t="s">
        <v>68</v>
      </c>
      <c r="AV27" s="95">
        <v>20</v>
      </c>
      <c r="AW27" s="95" t="s">
        <v>62</v>
      </c>
      <c r="BA27" s="95" t="s">
        <v>68</v>
      </c>
      <c r="BB27" s="95">
        <v>20</v>
      </c>
      <c r="BC27" s="95" t="s">
        <v>62</v>
      </c>
      <c r="BD27" s="95" t="s">
        <v>68</v>
      </c>
      <c r="BE27" s="95">
        <v>20</v>
      </c>
      <c r="BF27" s="95" t="s">
        <v>62</v>
      </c>
      <c r="BJ27" s="95" t="s">
        <v>411</v>
      </c>
      <c r="BK27" s="95">
        <v>50</v>
      </c>
      <c r="BL27" s="95" t="s">
        <v>426</v>
      </c>
      <c r="BM27" s="95" t="s">
        <v>411</v>
      </c>
      <c r="BN27" s="95">
        <v>50</v>
      </c>
      <c r="BO27" s="95" t="s">
        <v>426</v>
      </c>
      <c r="BS27" s="95" t="s">
        <v>238</v>
      </c>
      <c r="BT27" s="95">
        <v>75</v>
      </c>
      <c r="BU27" s="95" t="s">
        <v>55</v>
      </c>
      <c r="BV27" s="95" t="s">
        <v>169</v>
      </c>
      <c r="BW27" s="95">
        <v>1</v>
      </c>
      <c r="BX27" s="95" t="s">
        <v>168</v>
      </c>
      <c r="BY27" s="95" t="s">
        <v>88</v>
      </c>
      <c r="BZ27" s="95">
        <v>6</v>
      </c>
      <c r="CA27" s="95" t="s">
        <v>129</v>
      </c>
      <c r="CB27" s="95" t="s">
        <v>113</v>
      </c>
      <c r="CC27" s="354">
        <f>B12</f>
        <v>0.46300000000000002</v>
      </c>
      <c r="CE27" s="95" t="s">
        <v>113</v>
      </c>
      <c r="CF27" s="354">
        <f>B8</f>
        <v>0.72299999999999998</v>
      </c>
      <c r="CN27" s="95" t="s">
        <v>343</v>
      </c>
      <c r="CO27" s="357">
        <v>1</v>
      </c>
      <c r="CP27" s="95" t="s">
        <v>80</v>
      </c>
      <c r="CT27" s="95" t="s">
        <v>117</v>
      </c>
      <c r="CU27" s="95">
        <f>B47</f>
        <v>60</v>
      </c>
      <c r="CV27" s="95" t="s">
        <v>96</v>
      </c>
      <c r="CZ27" s="95" t="s">
        <v>105</v>
      </c>
      <c r="DA27" s="95">
        <f>B49</f>
        <v>100</v>
      </c>
      <c r="DB27" s="95" t="s">
        <v>59</v>
      </c>
      <c r="EB27" s="354"/>
      <c r="ED27" s="95" t="s">
        <v>347</v>
      </c>
      <c r="EE27" s="354">
        <f>B35</f>
        <v>0</v>
      </c>
      <c r="EQ27" s="354"/>
      <c r="ES27" s="95" t="s">
        <v>348</v>
      </c>
      <c r="ET27" s="354">
        <f>B36</f>
        <v>0</v>
      </c>
      <c r="FH27" s="95" t="s">
        <v>349</v>
      </c>
      <c r="FI27" s="356">
        <f>B38</f>
        <v>0</v>
      </c>
      <c r="FW27" s="95" t="s">
        <v>350</v>
      </c>
      <c r="FX27" s="357">
        <v>1</v>
      </c>
      <c r="GL27" s="95" t="s">
        <v>351</v>
      </c>
      <c r="GM27" s="356">
        <f>B37</f>
        <v>0</v>
      </c>
      <c r="HA27" s="95" t="s">
        <v>352</v>
      </c>
      <c r="HB27" s="356">
        <f>B39</f>
        <v>0</v>
      </c>
      <c r="HD27" s="95" t="s">
        <v>52</v>
      </c>
      <c r="HE27" s="354">
        <f>0.693/HE28</f>
        <v>66.155354824913829</v>
      </c>
    </row>
    <row r="28" spans="1:214" s="95" customFormat="1" ht="14.25" x14ac:dyDescent="0.2">
      <c r="A28" s="95" t="s">
        <v>415</v>
      </c>
      <c r="B28" s="353">
        <v>0</v>
      </c>
      <c r="C28" s="95" t="s">
        <v>64</v>
      </c>
      <c r="D28" s="402" t="s">
        <v>166</v>
      </c>
      <c r="E28" s="101" t="s">
        <v>17</v>
      </c>
      <c r="F28" s="102" t="s">
        <v>23</v>
      </c>
      <c r="G28" s="95" t="s">
        <v>145</v>
      </c>
      <c r="H28" s="95">
        <v>0.5</v>
      </c>
      <c r="I28" s="95" t="s">
        <v>146</v>
      </c>
      <c r="J28" s="95" t="s">
        <v>402</v>
      </c>
      <c r="K28" s="360">
        <f>(K31*K35*K29)+(K32*K34*K30)</f>
        <v>190820</v>
      </c>
      <c r="L28" s="95" t="s">
        <v>230</v>
      </c>
      <c r="M28" s="95" t="s">
        <v>91</v>
      </c>
      <c r="N28" s="95">
        <v>0.4</v>
      </c>
      <c r="P28" s="95" t="s">
        <v>91</v>
      </c>
      <c r="Q28" s="95">
        <v>0.4</v>
      </c>
      <c r="V28" s="95" t="s">
        <v>448</v>
      </c>
      <c r="W28" s="354">
        <f>B29</f>
        <v>1.04753425E-2</v>
      </c>
      <c r="X28" s="95" t="s">
        <v>129</v>
      </c>
      <c r="Y28" s="95" t="s">
        <v>448</v>
      </c>
      <c r="Z28" s="354">
        <f>B29</f>
        <v>1.04753425E-2</v>
      </c>
      <c r="AA28" s="95" t="s">
        <v>129</v>
      </c>
      <c r="AB28" s="95" t="s">
        <v>171</v>
      </c>
      <c r="AC28" s="354">
        <v>5</v>
      </c>
      <c r="AD28" s="354">
        <v>8</v>
      </c>
      <c r="AE28" s="354">
        <v>8</v>
      </c>
      <c r="AF28" s="354">
        <f t="shared" ref="AF28:AF29" si="0">8/24</f>
        <v>0.33333333333333331</v>
      </c>
      <c r="AG28" s="354">
        <f>8/24</f>
        <v>0.33333333333333331</v>
      </c>
      <c r="AH28" s="95" t="s">
        <v>127</v>
      </c>
      <c r="AI28" s="95" t="s">
        <v>91</v>
      </c>
      <c r="AJ28" s="95">
        <v>0.4</v>
      </c>
      <c r="AL28" s="95" t="s">
        <v>91</v>
      </c>
      <c r="AM28" s="95">
        <v>0.4</v>
      </c>
      <c r="AR28" s="95" t="s">
        <v>91</v>
      </c>
      <c r="AS28" s="95">
        <v>0.4</v>
      </c>
      <c r="BA28" s="95" t="s">
        <v>91</v>
      </c>
      <c r="BB28" s="95">
        <v>0.4</v>
      </c>
      <c r="BJ28" s="95" t="s">
        <v>410</v>
      </c>
      <c r="BK28" s="95">
        <v>5</v>
      </c>
      <c r="BL28" s="95" t="s">
        <v>427</v>
      </c>
      <c r="BM28" s="95" t="s">
        <v>410</v>
      </c>
      <c r="BN28" s="95">
        <v>5</v>
      </c>
      <c r="BO28" s="95" t="s">
        <v>427</v>
      </c>
      <c r="BS28" s="95" t="s">
        <v>190</v>
      </c>
      <c r="BT28" s="95">
        <v>26</v>
      </c>
      <c r="BU28" s="95" t="s">
        <v>129</v>
      </c>
      <c r="BW28" s="95">
        <f>1/1000</f>
        <v>1E-3</v>
      </c>
      <c r="BX28" s="95" t="s">
        <v>170</v>
      </c>
      <c r="BY28" s="95" t="s">
        <v>182</v>
      </c>
      <c r="BZ28" s="95">
        <v>2</v>
      </c>
      <c r="CA28" s="95" t="s">
        <v>85</v>
      </c>
      <c r="CB28" s="95" t="s">
        <v>182</v>
      </c>
      <c r="CC28" s="95">
        <v>2</v>
      </c>
      <c r="CD28" s="95" t="s">
        <v>127</v>
      </c>
      <c r="CE28" s="95" t="s">
        <v>182</v>
      </c>
      <c r="CF28" s="95">
        <v>2</v>
      </c>
      <c r="CG28" s="95" t="s">
        <v>127</v>
      </c>
      <c r="CN28" s="95" t="s">
        <v>344</v>
      </c>
      <c r="CO28" s="357">
        <v>1</v>
      </c>
      <c r="CP28" s="95" t="s">
        <v>80</v>
      </c>
      <c r="CT28" s="95" t="s">
        <v>140</v>
      </c>
      <c r="CU28" s="95">
        <f>B48</f>
        <v>200</v>
      </c>
      <c r="CV28" s="95" t="s">
        <v>96</v>
      </c>
      <c r="CZ28" s="95" t="s">
        <v>135</v>
      </c>
      <c r="DA28" s="95">
        <f>B50</f>
        <v>0.78</v>
      </c>
      <c r="DB28" s="95" t="s">
        <v>59</v>
      </c>
      <c r="FW28" s="95" t="s">
        <v>203</v>
      </c>
      <c r="FX28" s="354">
        <v>30</v>
      </c>
      <c r="HD28" s="95" t="s">
        <v>448</v>
      </c>
      <c r="HE28" s="354">
        <f>B29</f>
        <v>1.04753425E-2</v>
      </c>
      <c r="HF28" s="95" t="s">
        <v>129</v>
      </c>
    </row>
    <row r="29" spans="1:214" s="95" customFormat="1" ht="15" x14ac:dyDescent="0.2">
      <c r="A29" s="95" t="s">
        <v>448</v>
      </c>
      <c r="B29" s="353">
        <v>1.04753425E-2</v>
      </c>
      <c r="C29" s="95" t="s">
        <v>454</v>
      </c>
      <c r="D29" s="402" t="s">
        <v>166</v>
      </c>
      <c r="E29" s="403" t="e">
        <f>E36</f>
        <v>#DIV/0!</v>
      </c>
      <c r="F29" s="184"/>
      <c r="G29" s="95" t="s">
        <v>70</v>
      </c>
      <c r="H29" s="95">
        <v>350</v>
      </c>
      <c r="I29" s="95" t="s">
        <v>55</v>
      </c>
      <c r="J29" s="95" t="s">
        <v>400</v>
      </c>
      <c r="K29" s="354">
        <f>B53</f>
        <v>56.2</v>
      </c>
      <c r="L29" s="95" t="s">
        <v>413</v>
      </c>
      <c r="M29" s="95" t="s">
        <v>102</v>
      </c>
      <c r="N29" s="354">
        <f>B11</f>
        <v>2.2499999999999999E-2</v>
      </c>
      <c r="P29" s="95" t="s">
        <v>102</v>
      </c>
      <c r="Q29" s="354">
        <f>B7</f>
        <v>4.2700000000000002E-2</v>
      </c>
      <c r="V29" s="95" t="s">
        <v>54</v>
      </c>
      <c r="W29" s="95">
        <v>130</v>
      </c>
      <c r="X29" s="95" t="s">
        <v>63</v>
      </c>
      <c r="Y29" s="95" t="s">
        <v>54</v>
      </c>
      <c r="Z29" s="95">
        <f>Z41*Z42</f>
        <v>250</v>
      </c>
      <c r="AA29" s="95" t="s">
        <v>63</v>
      </c>
      <c r="AB29" s="95" t="s">
        <v>174</v>
      </c>
      <c r="AC29" s="354">
        <v>5</v>
      </c>
      <c r="AD29" s="354">
        <v>8</v>
      </c>
      <c r="AE29" s="354">
        <v>8</v>
      </c>
      <c r="AF29" s="354">
        <f t="shared" si="0"/>
        <v>0.33333333333333331</v>
      </c>
      <c r="AG29" s="354">
        <f>8/24</f>
        <v>0.33333333333333331</v>
      </c>
      <c r="AH29" s="95" t="s">
        <v>127</v>
      </c>
      <c r="AI29" s="95" t="s">
        <v>102</v>
      </c>
      <c r="AJ29" s="354">
        <f>B11</f>
        <v>2.2499999999999999E-2</v>
      </c>
      <c r="AL29" s="95" t="s">
        <v>102</v>
      </c>
      <c r="AM29" s="354">
        <f>B7</f>
        <v>4.2700000000000002E-2</v>
      </c>
      <c r="AR29" s="95" t="s">
        <v>102</v>
      </c>
      <c r="AS29" s="354">
        <f>B11</f>
        <v>2.2499999999999999E-2</v>
      </c>
      <c r="AU29" s="95" t="s">
        <v>102</v>
      </c>
      <c r="AV29" s="354">
        <f>B7</f>
        <v>4.2700000000000002E-2</v>
      </c>
      <c r="BA29" s="95" t="s">
        <v>102</v>
      </c>
      <c r="BB29" s="354">
        <f>B11</f>
        <v>2.2499999999999999E-2</v>
      </c>
      <c r="BD29" s="95" t="s">
        <v>102</v>
      </c>
      <c r="BE29" s="354">
        <f>B7</f>
        <v>4.2700000000000002E-2</v>
      </c>
      <c r="BJ29" s="95" t="s">
        <v>68</v>
      </c>
      <c r="BK29" s="95">
        <v>1</v>
      </c>
      <c r="BL29" s="95" t="s">
        <v>62</v>
      </c>
      <c r="BM29" s="95" t="s">
        <v>68</v>
      </c>
      <c r="BN29" s="95">
        <v>1</v>
      </c>
      <c r="BO29" s="95" t="s">
        <v>62</v>
      </c>
      <c r="BT29" s="404"/>
      <c r="BU29" s="355"/>
      <c r="BW29" s="95">
        <v>1000</v>
      </c>
      <c r="BX29" s="95" t="s">
        <v>173</v>
      </c>
      <c r="BY29" s="95" t="s">
        <v>259</v>
      </c>
      <c r="BZ29" s="95">
        <v>2</v>
      </c>
      <c r="CA29" s="95" t="s">
        <v>85</v>
      </c>
      <c r="CB29" s="95" t="s">
        <v>131</v>
      </c>
      <c r="CC29" s="354">
        <f>B22</f>
        <v>1.5400000000000001E-6</v>
      </c>
      <c r="CD29" s="95" t="s">
        <v>132</v>
      </c>
      <c r="CE29" s="95" t="s">
        <v>131</v>
      </c>
      <c r="CF29" s="354">
        <f>B24</f>
        <v>4.5199999999999999E-6</v>
      </c>
      <c r="CG29" s="95" t="s">
        <v>132</v>
      </c>
      <c r="CT29" s="95" t="s">
        <v>240</v>
      </c>
      <c r="CU29" s="95">
        <f>B44</f>
        <v>0</v>
      </c>
      <c r="CV29" s="95" t="s">
        <v>83</v>
      </c>
      <c r="CZ29" s="95" t="s">
        <v>240</v>
      </c>
      <c r="DA29" s="95">
        <f>B44</f>
        <v>0</v>
      </c>
      <c r="DB29" s="95" t="s">
        <v>264</v>
      </c>
      <c r="FW29" s="95" t="s">
        <v>322</v>
      </c>
      <c r="FX29" s="354">
        <v>8.1999999999999993</v>
      </c>
      <c r="HD29" s="95" t="s">
        <v>172</v>
      </c>
      <c r="HE29" s="95">
        <v>0.3</v>
      </c>
    </row>
    <row r="30" spans="1:214" s="95" customFormat="1" ht="15.75" thickBot="1" x14ac:dyDescent="0.25">
      <c r="A30" s="95" t="s">
        <v>164</v>
      </c>
      <c r="B30" s="353">
        <f>PEF!D3</f>
        <v>1359344473.5814338</v>
      </c>
      <c r="D30" s="405"/>
      <c r="E30" s="256" t="s">
        <v>34</v>
      </c>
      <c r="F30" s="257"/>
      <c r="G30" s="95" t="s">
        <v>78</v>
      </c>
      <c r="H30" s="95">
        <v>350</v>
      </c>
      <c r="I30" s="95" t="s">
        <v>55</v>
      </c>
      <c r="J30" s="95" t="s">
        <v>401</v>
      </c>
      <c r="K30" s="354">
        <f>B54</f>
        <v>10.4</v>
      </c>
      <c r="L30" s="95" t="s">
        <v>413</v>
      </c>
      <c r="M30" s="95" t="s">
        <v>113</v>
      </c>
      <c r="N30" s="354">
        <f>B12</f>
        <v>0.46300000000000002</v>
      </c>
      <c r="P30" s="95" t="s">
        <v>113</v>
      </c>
      <c r="Q30" s="354">
        <f>B8</f>
        <v>0.72299999999999998</v>
      </c>
      <c r="V30" s="95" t="s">
        <v>68</v>
      </c>
      <c r="W30" s="95">
        <v>25</v>
      </c>
      <c r="X30" s="95" t="s">
        <v>62</v>
      </c>
      <c r="Y30" s="95" t="s">
        <v>68</v>
      </c>
      <c r="Z30" s="95">
        <v>1</v>
      </c>
      <c r="AA30" s="95" t="s">
        <v>62</v>
      </c>
      <c r="AB30" s="95" t="s">
        <v>177</v>
      </c>
      <c r="AC30" s="95">
        <v>0.4</v>
      </c>
      <c r="AD30" s="95">
        <v>0.4</v>
      </c>
      <c r="AE30" s="95">
        <v>0.4</v>
      </c>
      <c r="AF30" s="95">
        <v>0.4</v>
      </c>
      <c r="AG30" s="95">
        <v>0.4</v>
      </c>
      <c r="AI30" s="95" t="s">
        <v>113</v>
      </c>
      <c r="AJ30" s="354">
        <f>B12</f>
        <v>0.46300000000000002</v>
      </c>
      <c r="AL30" s="95" t="s">
        <v>113</v>
      </c>
      <c r="AM30" s="354">
        <f>B8</f>
        <v>0.72299999999999998</v>
      </c>
      <c r="AR30" s="95" t="s">
        <v>113</v>
      </c>
      <c r="AS30" s="354">
        <f>B12</f>
        <v>0.46300000000000002</v>
      </c>
      <c r="AU30" s="95" t="s">
        <v>113</v>
      </c>
      <c r="AV30" s="354">
        <f>B8</f>
        <v>0.72299999999999998</v>
      </c>
      <c r="BA30" s="95" t="s">
        <v>113</v>
      </c>
      <c r="BB30" s="354">
        <f>B12</f>
        <v>0.46300000000000002</v>
      </c>
      <c r="BD30" s="95" t="s">
        <v>113</v>
      </c>
      <c r="BE30" s="354">
        <f>B8</f>
        <v>0.72299999999999998</v>
      </c>
      <c r="BT30" s="354"/>
      <c r="BW30" s="95">
        <v>1000</v>
      </c>
      <c r="BX30" s="95" t="s">
        <v>408</v>
      </c>
      <c r="BY30" s="95" t="s">
        <v>260</v>
      </c>
      <c r="BZ30" s="95">
        <v>2</v>
      </c>
      <c r="CA30" s="95" t="s">
        <v>85</v>
      </c>
      <c r="CT30" s="95" t="s">
        <v>241</v>
      </c>
      <c r="CU30" s="95">
        <f>B45</f>
        <v>10</v>
      </c>
      <c r="CV30" s="95" t="s">
        <v>83</v>
      </c>
      <c r="CZ30" s="95" t="s">
        <v>241</v>
      </c>
      <c r="DA30" s="95">
        <f>B45</f>
        <v>10</v>
      </c>
      <c r="DB30" s="95" t="s">
        <v>264</v>
      </c>
      <c r="FX30" s="95">
        <v>1000</v>
      </c>
      <c r="FY30" s="95" t="s">
        <v>230</v>
      </c>
      <c r="HD30" s="95" t="s">
        <v>175</v>
      </c>
      <c r="HE30" s="354">
        <v>1.5</v>
      </c>
    </row>
    <row r="31" spans="1:214" s="95" customFormat="1" ht="13.5" thickTop="1" x14ac:dyDescent="0.2">
      <c r="A31" s="95" t="s">
        <v>201</v>
      </c>
      <c r="B31" s="353">
        <f>PEF!G3</f>
        <v>773681.6396651821</v>
      </c>
      <c r="D31" s="95" t="s">
        <v>46</v>
      </c>
      <c r="E31" s="354">
        <v>9.9999999999999995E-7</v>
      </c>
      <c r="G31" s="95" t="s">
        <v>108</v>
      </c>
      <c r="H31" s="95">
        <v>26</v>
      </c>
      <c r="I31" s="95" t="s">
        <v>129</v>
      </c>
      <c r="J31" s="95" t="s">
        <v>70</v>
      </c>
      <c r="K31" s="95">
        <v>350</v>
      </c>
      <c r="L31" s="95" t="s">
        <v>55</v>
      </c>
      <c r="M31" s="95" t="s">
        <v>124</v>
      </c>
      <c r="N31" s="95">
        <v>1.752</v>
      </c>
      <c r="O31" s="95" t="s">
        <v>127</v>
      </c>
      <c r="P31" s="95" t="s">
        <v>124</v>
      </c>
      <c r="Q31" s="95">
        <v>1.752</v>
      </c>
      <c r="R31" s="95" t="s">
        <v>127</v>
      </c>
      <c r="V31" s="95" t="s">
        <v>75</v>
      </c>
      <c r="W31" s="354">
        <f>B17</f>
        <v>1.7999999999999999E-11</v>
      </c>
      <c r="X31" s="95" t="s">
        <v>76</v>
      </c>
      <c r="Y31" s="95" t="s">
        <v>75</v>
      </c>
      <c r="Z31" s="354">
        <f>B17</f>
        <v>1.7999999999999999E-11</v>
      </c>
      <c r="AA31" s="95" t="s">
        <v>76</v>
      </c>
      <c r="AB31" s="95" t="s">
        <v>160</v>
      </c>
      <c r="AC31" s="95">
        <v>20</v>
      </c>
      <c r="AD31" s="95">
        <v>25</v>
      </c>
      <c r="AE31" s="95">
        <v>25</v>
      </c>
      <c r="AF31" s="95">
        <v>1</v>
      </c>
      <c r="AG31" s="95">
        <v>1</v>
      </c>
      <c r="AH31" s="95" t="s">
        <v>94</v>
      </c>
      <c r="AI31" s="95" t="s">
        <v>124</v>
      </c>
      <c r="AJ31" s="95">
        <v>0</v>
      </c>
      <c r="AK31" s="95" t="s">
        <v>127</v>
      </c>
      <c r="AL31" s="95" t="s">
        <v>124</v>
      </c>
      <c r="AM31" s="95">
        <v>0</v>
      </c>
      <c r="AN31" s="95" t="s">
        <v>127</v>
      </c>
      <c r="AR31" s="95" t="s">
        <v>126</v>
      </c>
      <c r="AS31" s="95">
        <v>5</v>
      </c>
      <c r="AT31" s="95" t="s">
        <v>127</v>
      </c>
      <c r="AU31" s="95" t="s">
        <v>124</v>
      </c>
      <c r="AV31" s="95">
        <v>5</v>
      </c>
      <c r="AW31" s="95" t="s">
        <v>127</v>
      </c>
      <c r="BA31" s="95" t="s">
        <v>126</v>
      </c>
      <c r="BB31" s="95">
        <v>5</v>
      </c>
      <c r="BC31" s="95" t="s">
        <v>127</v>
      </c>
      <c r="BD31" s="95" t="s">
        <v>124</v>
      </c>
      <c r="BE31" s="95">
        <v>5</v>
      </c>
      <c r="BF31" s="95" t="s">
        <v>127</v>
      </c>
      <c r="BJ31" s="95" t="s">
        <v>102</v>
      </c>
      <c r="BK31" s="354">
        <f>B11</f>
        <v>2.2499999999999999E-2</v>
      </c>
      <c r="BM31" s="95" t="s">
        <v>102</v>
      </c>
      <c r="BN31" s="354">
        <f>B7</f>
        <v>4.2700000000000002E-2</v>
      </c>
      <c r="BW31" s="95">
        <v>365</v>
      </c>
      <c r="BX31" s="95" t="s">
        <v>55</v>
      </c>
      <c r="BY31" s="95" t="s">
        <v>243</v>
      </c>
      <c r="BZ31" s="354">
        <f>B2</f>
        <v>6.8000000000000005E-2</v>
      </c>
      <c r="CT31" s="95" t="s">
        <v>70</v>
      </c>
      <c r="CU31" s="95">
        <v>350</v>
      </c>
      <c r="CV31" s="95" t="s">
        <v>55</v>
      </c>
      <c r="CZ31" s="95" t="s">
        <v>269</v>
      </c>
      <c r="DA31" s="95">
        <v>350</v>
      </c>
      <c r="DB31" s="95" t="s">
        <v>268</v>
      </c>
      <c r="HD31" s="95" t="s">
        <v>61</v>
      </c>
      <c r="HE31" s="95">
        <v>26</v>
      </c>
    </row>
    <row r="32" spans="1:214" s="95" customFormat="1" x14ac:dyDescent="0.2">
      <c r="A32" s="95" t="s">
        <v>202</v>
      </c>
      <c r="B32" s="353">
        <f>PEF!J3</f>
        <v>36055860.959050171</v>
      </c>
      <c r="D32" s="95" t="s">
        <v>54</v>
      </c>
      <c r="E32" s="95">
        <v>350</v>
      </c>
      <c r="F32" s="95" t="s">
        <v>55</v>
      </c>
      <c r="G32" s="95" t="s">
        <v>88</v>
      </c>
      <c r="H32" s="95">
        <v>6</v>
      </c>
      <c r="J32" s="95" t="s">
        <v>78</v>
      </c>
      <c r="K32" s="95">
        <v>350</v>
      </c>
      <c r="L32" s="95" t="s">
        <v>55</v>
      </c>
      <c r="M32" s="95" t="s">
        <v>131</v>
      </c>
      <c r="N32" s="354">
        <f>B22</f>
        <v>1.5400000000000001E-6</v>
      </c>
      <c r="O32" s="95" t="s">
        <v>132</v>
      </c>
      <c r="P32" s="95" t="s">
        <v>131</v>
      </c>
      <c r="Q32" s="354">
        <f>B24</f>
        <v>4.5199999999999999E-6</v>
      </c>
      <c r="R32" s="95" t="s">
        <v>132</v>
      </c>
      <c r="V32" s="95" t="s">
        <v>84</v>
      </c>
      <c r="W32" s="95">
        <v>8</v>
      </c>
      <c r="X32" s="95" t="s">
        <v>85</v>
      </c>
      <c r="Y32" s="95" t="s">
        <v>84</v>
      </c>
      <c r="Z32" s="95">
        <v>8</v>
      </c>
      <c r="AA32" s="95" t="s">
        <v>85</v>
      </c>
      <c r="AB32" s="95" t="s">
        <v>52</v>
      </c>
      <c r="AC32" s="354">
        <f>0.693/AC33</f>
        <v>66.155354824913829</v>
      </c>
      <c r="AD32" s="354">
        <f>0.693/AD33</f>
        <v>66.155354824913829</v>
      </c>
      <c r="AE32" s="354">
        <f>0.693/AE33</f>
        <v>66.155354824913829</v>
      </c>
      <c r="AF32" s="354">
        <f>0.693/AF33</f>
        <v>66.155354824913829</v>
      </c>
      <c r="AG32" s="354">
        <f>0.693/AG33</f>
        <v>66.155354824913829</v>
      </c>
      <c r="AI32" s="95" t="s">
        <v>131</v>
      </c>
      <c r="AJ32" s="354">
        <f>B22</f>
        <v>1.5400000000000001E-6</v>
      </c>
      <c r="AK32" s="95" t="s">
        <v>132</v>
      </c>
      <c r="AL32" s="95" t="s">
        <v>131</v>
      </c>
      <c r="AM32" s="354">
        <f>B24</f>
        <v>4.5199999999999999E-6</v>
      </c>
      <c r="AN32" s="95" t="s">
        <v>132</v>
      </c>
      <c r="AR32" s="95" t="s">
        <v>131</v>
      </c>
      <c r="AS32" s="354">
        <f>B22</f>
        <v>1.5400000000000001E-6</v>
      </c>
      <c r="AT32" s="95" t="s">
        <v>132</v>
      </c>
      <c r="AU32" s="95" t="s">
        <v>131</v>
      </c>
      <c r="AV32" s="354">
        <f>B24</f>
        <v>4.5199999999999999E-6</v>
      </c>
      <c r="AW32" s="95" t="s">
        <v>132</v>
      </c>
      <c r="BA32" s="95" t="s">
        <v>131</v>
      </c>
      <c r="BB32" s="354">
        <f>B22</f>
        <v>1.5400000000000001E-6</v>
      </c>
      <c r="BC32" s="95" t="s">
        <v>132</v>
      </c>
      <c r="BD32" s="95" t="s">
        <v>131</v>
      </c>
      <c r="BE32" s="354">
        <f>B24</f>
        <v>4.5199999999999999E-6</v>
      </c>
      <c r="BF32" s="95" t="s">
        <v>132</v>
      </c>
      <c r="BJ32" s="95" t="s">
        <v>113</v>
      </c>
      <c r="BK32" s="354">
        <f>B12</f>
        <v>0.46300000000000002</v>
      </c>
      <c r="BM32" s="95" t="s">
        <v>113</v>
      </c>
      <c r="BN32" s="354">
        <f>B8</f>
        <v>0.72299999999999998</v>
      </c>
      <c r="BT32" s="354"/>
      <c r="BW32" s="95">
        <v>8760</v>
      </c>
      <c r="BX32" s="95" t="s">
        <v>258</v>
      </c>
      <c r="BY32" s="95" t="s">
        <v>113</v>
      </c>
      <c r="BZ32" s="354">
        <f>B3</f>
        <v>0.75600000000000001</v>
      </c>
      <c r="CT32" s="95" t="s">
        <v>78</v>
      </c>
      <c r="CU32" s="95">
        <v>350</v>
      </c>
      <c r="CV32" s="95" t="s">
        <v>55</v>
      </c>
      <c r="CZ32" s="95" t="s">
        <v>270</v>
      </c>
      <c r="DA32" s="95">
        <v>350</v>
      </c>
      <c r="DB32" s="95" t="s">
        <v>268</v>
      </c>
      <c r="DY32" s="406"/>
      <c r="HD32" s="95" t="s">
        <v>68</v>
      </c>
      <c r="HE32" s="354">
        <v>70</v>
      </c>
    </row>
    <row r="33" spans="1:214" s="95" customFormat="1" ht="13.15" customHeight="1" x14ac:dyDescent="0.2">
      <c r="A33" s="95" t="s">
        <v>448</v>
      </c>
      <c r="B33" s="353">
        <v>3.82</v>
      </c>
      <c r="C33" s="95" t="s">
        <v>416</v>
      </c>
      <c r="D33" s="95" t="s">
        <v>415</v>
      </c>
      <c r="E33" s="354">
        <f>B28</f>
        <v>0</v>
      </c>
      <c r="F33" s="95" t="s">
        <v>176</v>
      </c>
      <c r="G33" s="95" t="s">
        <v>106</v>
      </c>
      <c r="H33" s="95">
        <f>H31-H32</f>
        <v>20</v>
      </c>
      <c r="J33" s="95" t="s">
        <v>108</v>
      </c>
      <c r="K33" s="95">
        <v>26</v>
      </c>
      <c r="L33" s="95" t="s">
        <v>129</v>
      </c>
      <c r="M33" s="95" t="s">
        <v>151</v>
      </c>
      <c r="N33" s="95">
        <v>16.416</v>
      </c>
      <c r="O33" s="95" t="s">
        <v>127</v>
      </c>
      <c r="P33" s="95" t="s">
        <v>151</v>
      </c>
      <c r="Q33" s="95">
        <v>16.416</v>
      </c>
      <c r="R33" s="95" t="s">
        <v>127</v>
      </c>
      <c r="W33" s="95">
        <v>24</v>
      </c>
      <c r="X33" s="95" t="s">
        <v>85</v>
      </c>
      <c r="Z33" s="95">
        <v>24</v>
      </c>
      <c r="AA33" s="95" t="s">
        <v>85</v>
      </c>
      <c r="AB33" s="95" t="s">
        <v>448</v>
      </c>
      <c r="AC33" s="354">
        <f>B29</f>
        <v>1.04753425E-2</v>
      </c>
      <c r="AD33" s="354">
        <f>B29</f>
        <v>1.04753425E-2</v>
      </c>
      <c r="AE33" s="354">
        <f>B29</f>
        <v>1.04753425E-2</v>
      </c>
      <c r="AF33" s="354">
        <f>B29</f>
        <v>1.04753425E-2</v>
      </c>
      <c r="AG33" s="354">
        <f>B29</f>
        <v>1.04753425E-2</v>
      </c>
      <c r="AH33" s="95" t="s">
        <v>129</v>
      </c>
      <c r="AI33" s="95" t="s">
        <v>151</v>
      </c>
      <c r="AJ33" s="95">
        <v>8</v>
      </c>
      <c r="AK33" s="95" t="s">
        <v>127</v>
      </c>
      <c r="AL33" s="95" t="s">
        <v>151</v>
      </c>
      <c r="AM33" s="95">
        <v>8</v>
      </c>
      <c r="AN33" s="95" t="s">
        <v>127</v>
      </c>
      <c r="AR33" s="95" t="s">
        <v>151</v>
      </c>
      <c r="AS33" s="95">
        <v>0</v>
      </c>
      <c r="AT33" s="95" t="s">
        <v>127</v>
      </c>
      <c r="AU33" s="95" t="s">
        <v>151</v>
      </c>
      <c r="AV33" s="95">
        <v>0</v>
      </c>
      <c r="AW33" s="95" t="s">
        <v>127</v>
      </c>
      <c r="BA33" s="95" t="s">
        <v>151</v>
      </c>
      <c r="BB33" s="95">
        <v>0</v>
      </c>
      <c r="BC33" s="95" t="s">
        <v>127</v>
      </c>
      <c r="BD33" s="95" t="s">
        <v>151</v>
      </c>
      <c r="BE33" s="95">
        <v>0</v>
      </c>
      <c r="BF33" s="95" t="s">
        <v>127</v>
      </c>
      <c r="BJ33" s="95" t="s">
        <v>126</v>
      </c>
      <c r="BK33" s="95">
        <f>8/24</f>
        <v>0.33333333333333331</v>
      </c>
      <c r="BL33" s="95" t="s">
        <v>127</v>
      </c>
      <c r="BM33" s="95" t="s">
        <v>124</v>
      </c>
      <c r="BN33" s="95">
        <f>8/24</f>
        <v>0.33333333333333331</v>
      </c>
      <c r="BO33" s="95" t="s">
        <v>125</v>
      </c>
      <c r="BY33" s="95" t="s">
        <v>190</v>
      </c>
      <c r="BZ33" s="95">
        <v>26</v>
      </c>
      <c r="CA33" s="95" t="s">
        <v>94</v>
      </c>
      <c r="CT33" s="95" t="s">
        <v>248</v>
      </c>
      <c r="CU33" s="95">
        <v>40</v>
      </c>
      <c r="CV33" s="95" t="s">
        <v>129</v>
      </c>
      <c r="CZ33" s="95" t="s">
        <v>246</v>
      </c>
      <c r="DA33" s="95">
        <v>6</v>
      </c>
      <c r="DB33" s="95" t="s">
        <v>129</v>
      </c>
      <c r="DY33" s="406"/>
      <c r="HD33" s="95" t="s">
        <v>428</v>
      </c>
      <c r="HE33" s="354">
        <f>1+((HE35*HE36*HE37)/(HE38*HE39))</f>
        <v>16.660043458695149</v>
      </c>
    </row>
    <row r="34" spans="1:214" s="95" customFormat="1" ht="13.15" customHeight="1" x14ac:dyDescent="0.2">
      <c r="A34" s="95" t="s">
        <v>203</v>
      </c>
      <c r="B34" s="397">
        <v>0</v>
      </c>
      <c r="C34" s="95" t="s">
        <v>48</v>
      </c>
      <c r="D34" s="95" t="s">
        <v>68</v>
      </c>
      <c r="E34" s="95">
        <v>26</v>
      </c>
      <c r="F34" s="95" t="s">
        <v>129</v>
      </c>
      <c r="G34" s="95" t="s">
        <v>179</v>
      </c>
      <c r="H34" s="95">
        <v>0.54</v>
      </c>
      <c r="I34" s="95" t="s">
        <v>180</v>
      </c>
      <c r="J34" s="95" t="s">
        <v>106</v>
      </c>
      <c r="K34" s="95">
        <v>20</v>
      </c>
      <c r="L34" s="95" t="s">
        <v>129</v>
      </c>
      <c r="V34" s="95" t="s">
        <v>104</v>
      </c>
      <c r="W34" s="95">
        <v>55</v>
      </c>
      <c r="X34" s="95" t="s">
        <v>83</v>
      </c>
      <c r="Y34" s="95" t="s">
        <v>484</v>
      </c>
      <c r="Z34" s="95">
        <v>60</v>
      </c>
      <c r="AA34" s="95" t="s">
        <v>83</v>
      </c>
      <c r="AC34" s="95">
        <v>365</v>
      </c>
      <c r="AD34" s="95">
        <v>365</v>
      </c>
      <c r="AE34" s="95">
        <v>365</v>
      </c>
      <c r="AF34" s="95">
        <v>365</v>
      </c>
      <c r="AG34" s="95">
        <v>365</v>
      </c>
      <c r="AH34" s="95" t="s">
        <v>189</v>
      </c>
      <c r="BJ34" s="95" t="s">
        <v>131</v>
      </c>
      <c r="BK34" s="354">
        <f>B22</f>
        <v>1.5400000000000001E-6</v>
      </c>
      <c r="BL34" s="95" t="s">
        <v>132</v>
      </c>
      <c r="BM34" s="95" t="s">
        <v>131</v>
      </c>
      <c r="BN34" s="354">
        <f>B24</f>
        <v>4.5199999999999999E-6</v>
      </c>
      <c r="BO34" s="95" t="s">
        <v>132</v>
      </c>
      <c r="BZ34" s="95">
        <v>365</v>
      </c>
      <c r="CA34" s="95" t="s">
        <v>189</v>
      </c>
      <c r="CH34" s="483" t="s">
        <v>430</v>
      </c>
      <c r="CI34" s="483"/>
      <c r="CJ34" s="483"/>
      <c r="CK34" s="483"/>
      <c r="CL34" s="483"/>
      <c r="CT34" s="95" t="s">
        <v>106</v>
      </c>
      <c r="CU34" s="95">
        <v>34</v>
      </c>
      <c r="CV34" s="95" t="s">
        <v>129</v>
      </c>
      <c r="CZ34" s="95" t="s">
        <v>247</v>
      </c>
      <c r="DA34" s="95">
        <v>34</v>
      </c>
      <c r="DB34" s="95" t="s">
        <v>129</v>
      </c>
      <c r="DS34" s="354"/>
      <c r="DY34" s="406"/>
      <c r="EH34" s="354"/>
      <c r="HD34" s="95" t="s">
        <v>183</v>
      </c>
      <c r="HE34" s="95">
        <v>8.1999999999999993</v>
      </c>
    </row>
    <row r="35" spans="1:214" s="95" customFormat="1" ht="13.15" customHeight="1" x14ac:dyDescent="0.2">
      <c r="A35" s="95" t="s">
        <v>458</v>
      </c>
      <c r="B35" s="353">
        <v>0</v>
      </c>
      <c r="D35" s="95" t="s">
        <v>178</v>
      </c>
      <c r="E35" s="95">
        <f>B55</f>
        <v>28.5</v>
      </c>
      <c r="F35" s="95" t="s">
        <v>96</v>
      </c>
      <c r="G35" s="95" t="s">
        <v>181</v>
      </c>
      <c r="H35" s="95">
        <v>0.71</v>
      </c>
      <c r="I35" s="95" t="s">
        <v>180</v>
      </c>
      <c r="J35" s="95" t="s">
        <v>88</v>
      </c>
      <c r="K35" s="95">
        <v>6</v>
      </c>
      <c r="L35" s="95" t="s">
        <v>129</v>
      </c>
      <c r="M35" s="407"/>
      <c r="N35" s="407"/>
      <c r="O35" s="407"/>
      <c r="P35" s="407"/>
      <c r="Q35" s="407"/>
      <c r="R35" s="407"/>
      <c r="V35" s="95" t="s">
        <v>115</v>
      </c>
      <c r="W35" s="354">
        <f>B26</f>
        <v>7.8500000000000008E-9</v>
      </c>
      <c r="X35" s="95" t="s">
        <v>116</v>
      </c>
      <c r="Y35" s="95" t="s">
        <v>115</v>
      </c>
      <c r="Z35" s="354">
        <f>B26</f>
        <v>7.8500000000000008E-9</v>
      </c>
      <c r="AA35" s="95" t="s">
        <v>116</v>
      </c>
      <c r="AB35" s="95" t="s">
        <v>38</v>
      </c>
      <c r="AC35" s="95">
        <f>(AC31*AC32)/(1-EXP(-AC32*AC31))</f>
        <v>1323.1070964982766</v>
      </c>
      <c r="AD35" s="95">
        <f>(AD31*AD32)/(1-EXP(-AD32*AD31))</f>
        <v>1653.8838706228457</v>
      </c>
      <c r="AE35" s="95">
        <f>(AE31*AE32)/(1-EXP(-AE32*AE31))</f>
        <v>1653.8838706228457</v>
      </c>
      <c r="AF35" s="95">
        <f>(AF31*AF32)/(1-EXP(-AF32*AF31))</f>
        <v>66.155354824913829</v>
      </c>
      <c r="AG35" s="95">
        <f>(AG31*AG32)/(1-EXP(-AG32*AG31))</f>
        <v>66.155354824913829</v>
      </c>
      <c r="BT35" s="354"/>
      <c r="BZ35" s="95">
        <v>1000</v>
      </c>
      <c r="CA35" s="95" t="s">
        <v>195</v>
      </c>
      <c r="CH35" s="483"/>
      <c r="CI35" s="483"/>
      <c r="CJ35" s="483"/>
      <c r="CK35" s="483"/>
      <c r="CL35" s="483"/>
      <c r="CT35" s="95" t="s">
        <v>88</v>
      </c>
      <c r="CU35" s="95">
        <v>6</v>
      </c>
      <c r="CV35" s="95" t="s">
        <v>129</v>
      </c>
      <c r="CZ35" s="95" t="s">
        <v>248</v>
      </c>
      <c r="DA35" s="95">
        <v>40</v>
      </c>
      <c r="DB35" s="95" t="s">
        <v>129</v>
      </c>
      <c r="DS35" s="354"/>
      <c r="DY35" s="406"/>
      <c r="EH35" s="354"/>
      <c r="HD35" s="95" t="s">
        <v>145</v>
      </c>
      <c r="HE35" s="408">
        <v>5</v>
      </c>
      <c r="HF35" s="95" t="s">
        <v>186</v>
      </c>
    </row>
    <row r="36" spans="1:214" s="95" customFormat="1" ht="13.15" customHeight="1" thickBot="1" x14ac:dyDescent="0.25">
      <c r="A36" s="95" t="s">
        <v>455</v>
      </c>
      <c r="B36" s="353">
        <v>0</v>
      </c>
      <c r="D36" s="95" t="s">
        <v>142</v>
      </c>
      <c r="E36" s="354" t="e">
        <f>E31/(E33*E32*E34*E35)</f>
        <v>#DIV/0!</v>
      </c>
      <c r="F36" s="95" t="s">
        <v>23</v>
      </c>
      <c r="G36" s="95" t="s">
        <v>184</v>
      </c>
      <c r="H36" s="95">
        <v>24</v>
      </c>
      <c r="I36" s="95" t="s">
        <v>85</v>
      </c>
      <c r="J36" s="95" t="s">
        <v>259</v>
      </c>
      <c r="K36" s="95">
        <v>24</v>
      </c>
      <c r="L36" s="95" t="s">
        <v>85</v>
      </c>
      <c r="M36" s="407"/>
      <c r="N36" s="407"/>
      <c r="O36" s="407"/>
      <c r="P36" s="407"/>
      <c r="Q36" s="407"/>
      <c r="R36" s="407"/>
      <c r="V36" s="95" t="s">
        <v>414</v>
      </c>
      <c r="W36" s="354">
        <f>B2</f>
        <v>6.8000000000000005E-2</v>
      </c>
      <c r="Y36" s="95" t="s">
        <v>414</v>
      </c>
      <c r="Z36" s="354">
        <v>1</v>
      </c>
      <c r="AC36" s="95">
        <v>1000</v>
      </c>
      <c r="AD36" s="95">
        <v>1000</v>
      </c>
      <c r="AE36" s="95">
        <v>1000</v>
      </c>
      <c r="AF36" s="95">
        <v>1000</v>
      </c>
      <c r="AG36" s="95">
        <v>1000</v>
      </c>
      <c r="AH36" s="95" t="s">
        <v>195</v>
      </c>
      <c r="BK36" s="483" t="s">
        <v>442</v>
      </c>
      <c r="BL36" s="483"/>
      <c r="BM36" s="483"/>
      <c r="BN36" s="483"/>
      <c r="BO36" s="483"/>
      <c r="BZ36" s="95">
        <v>1000</v>
      </c>
      <c r="CA36" s="95" t="s">
        <v>53</v>
      </c>
      <c r="CH36" s="483"/>
      <c r="CI36" s="483"/>
      <c r="CJ36" s="483"/>
      <c r="CK36" s="483"/>
      <c r="CL36" s="483"/>
      <c r="CT36" s="95" t="s">
        <v>419</v>
      </c>
      <c r="CU36" s="95">
        <v>24</v>
      </c>
      <c r="CV36" s="95" t="s">
        <v>85</v>
      </c>
      <c r="CZ36" s="95" t="s">
        <v>446</v>
      </c>
      <c r="DA36" s="95">
        <v>24</v>
      </c>
      <c r="DB36" s="95" t="s">
        <v>85</v>
      </c>
      <c r="DS36" s="354"/>
      <c r="DY36" s="409"/>
      <c r="EH36" s="354"/>
      <c r="HD36" s="95" t="s">
        <v>187</v>
      </c>
      <c r="HE36" s="408">
        <v>5</v>
      </c>
      <c r="HF36" s="95" t="s">
        <v>188</v>
      </c>
    </row>
    <row r="37" spans="1:214" s="95" customFormat="1" ht="13.5" thickBot="1" x14ac:dyDescent="0.25">
      <c r="A37" s="95" t="s">
        <v>456</v>
      </c>
      <c r="B37" s="353">
        <v>0</v>
      </c>
      <c r="G37" s="95" t="s">
        <v>184</v>
      </c>
      <c r="H37" s="95">
        <v>24</v>
      </c>
      <c r="I37" s="95" t="s">
        <v>85</v>
      </c>
      <c r="J37" s="95" t="s">
        <v>260</v>
      </c>
      <c r="K37" s="95">
        <v>24</v>
      </c>
      <c r="L37" s="95" t="s">
        <v>85</v>
      </c>
      <c r="V37" s="374" t="s">
        <v>134</v>
      </c>
      <c r="W37" s="375">
        <f>W26/((W32/W33)*W29*W30*W31*W34)</f>
        <v>0.93240093240093247</v>
      </c>
      <c r="X37" s="376" t="s">
        <v>37</v>
      </c>
      <c r="Y37" s="376" t="s">
        <v>134</v>
      </c>
      <c r="Z37" s="375">
        <f>(Z26*Z45*Z27)/((1-EXP(-Z27*Z45))*Z31*Z29*Z30*(Z32/Z33)*Z36*Z34)</f>
        <v>735.05949805459818</v>
      </c>
      <c r="AA37" s="377" t="s">
        <v>38</v>
      </c>
      <c r="AB37" s="374" t="s">
        <v>142</v>
      </c>
      <c r="AC37" s="375" t="e">
        <f>(AC5/(AC8*AC16*AC7*AC11*(1/AC6)))*AC35</f>
        <v>#DIV/0!</v>
      </c>
      <c r="AD37" s="375" t="e">
        <f>(AD5/(AD8*AD16*AD7*AD11*(1/AD6)))*AD35</f>
        <v>#DIV/0!</v>
      </c>
      <c r="AE37" s="375" t="e">
        <f>(AE5/(AE8*AE16*AE7*AE11*(1/AE6)))*AE35</f>
        <v>#DIV/0!</v>
      </c>
      <c r="AF37" s="375" t="e">
        <f>(AF5/(AF8*AF16*AF7*AF11*(1/AF6)))*AF35</f>
        <v>#DIV/0!</v>
      </c>
      <c r="AG37" s="410" t="e">
        <f>(AG5/(AG8*AG16*AG7*AG11*(1/AG6)))*AG35</f>
        <v>#DIV/0!</v>
      </c>
      <c r="BK37" s="483"/>
      <c r="BL37" s="483"/>
      <c r="BM37" s="483"/>
      <c r="BN37" s="483"/>
      <c r="BO37" s="483"/>
      <c r="CH37" s="483"/>
      <c r="CI37" s="483"/>
      <c r="CJ37" s="483"/>
      <c r="CK37" s="483"/>
      <c r="CL37" s="483"/>
      <c r="CT37" s="95" t="s">
        <v>260</v>
      </c>
      <c r="CU37" s="95">
        <v>24</v>
      </c>
      <c r="CV37" s="95" t="s">
        <v>85</v>
      </c>
      <c r="CZ37" s="95" t="s">
        <v>447</v>
      </c>
      <c r="DA37" s="95">
        <v>24</v>
      </c>
      <c r="DB37" s="95" t="s">
        <v>85</v>
      </c>
      <c r="DS37" s="354"/>
      <c r="DY37" s="406"/>
      <c r="EH37" s="354"/>
      <c r="HD37" s="95" t="s">
        <v>191</v>
      </c>
      <c r="HE37" s="408">
        <f>(0.0112*HE39*HE39)^0.5+HE40*(1-EXP((-HE38*HE39)/(HE35*HE36*HE40)))</f>
        <v>6.2013772096432787</v>
      </c>
      <c r="HF37" s="95" t="s">
        <v>192</v>
      </c>
    </row>
    <row r="38" spans="1:214" s="95" customFormat="1" ht="14.25" thickTop="1" thickBot="1" x14ac:dyDescent="0.25">
      <c r="A38" s="95" t="s">
        <v>349</v>
      </c>
      <c r="B38" s="353">
        <v>0</v>
      </c>
      <c r="D38" s="19" t="s">
        <v>3</v>
      </c>
      <c r="E38" s="19"/>
      <c r="F38" s="20" t="s">
        <v>460</v>
      </c>
      <c r="G38" s="95" t="s">
        <v>167</v>
      </c>
      <c r="H38" s="95">
        <v>1</v>
      </c>
      <c r="I38" s="95" t="s">
        <v>168</v>
      </c>
      <c r="J38" s="95" t="s">
        <v>399</v>
      </c>
      <c r="K38" s="95">
        <v>0.25</v>
      </c>
      <c r="V38" s="383" t="s">
        <v>139</v>
      </c>
      <c r="W38" s="384">
        <f>(W26)/((W32/W33)*W29*W30*W35*(1/365)*W36)</f>
        <v>631.17848805372205</v>
      </c>
      <c r="X38" s="385" t="s">
        <v>37</v>
      </c>
      <c r="Y38" s="385" t="s">
        <v>139</v>
      </c>
      <c r="Z38" s="384">
        <f>(Z26*Z30*Z27)/((1-EXP(-Z27*Z30))*Z35*Z29*Z43*(Z32/Z33)*Z36*(Z43/Z44))</f>
        <v>36912.159762181211</v>
      </c>
      <c r="AA38" s="386" t="s">
        <v>38</v>
      </c>
      <c r="AB38" s="411" t="s">
        <v>134</v>
      </c>
      <c r="AC38" s="354">
        <f>(AC5/(AC24*AC20*AC7*(AC29/24)*AC11*(1/AC40)*AC36))*AC35</f>
        <v>1998398132.8681211</v>
      </c>
      <c r="AD38" s="354">
        <f>(AD5/(AD24*AD20*AD7*(AD29/24)*AD11*(1/AD40)*AD36))*AD35</f>
        <v>2096221817.6938336</v>
      </c>
      <c r="AE38" s="354">
        <f>(AE5/(AE24*AE20*AE7*(AE29/24)*AE11*(1/AE40)*AE36))*AE35</f>
        <v>1921536666.2193475</v>
      </c>
      <c r="AF38" s="413">
        <f>(AF5*AF31*AF32)/((1-EXP(-AF32*AF31))*AF9*AF7*AF11*(AF14/24)*AF20*(1/AF41)*AF36)</f>
        <v>1093657.7648198984</v>
      </c>
      <c r="AG38" s="413">
        <f>(AG5*AG31*AG32)/((1-EXP(-AG32*AG31))*AG9*AG7*AG15*(AG14/24)*AG20*(1/AG42)*AG36)</f>
        <v>50967698.18939577</v>
      </c>
      <c r="BK38" s="483"/>
      <c r="BL38" s="483"/>
      <c r="BM38" s="483"/>
      <c r="BN38" s="483"/>
      <c r="BO38" s="483"/>
      <c r="CT38" s="95" t="s">
        <v>420</v>
      </c>
      <c r="CU38" s="95">
        <v>1</v>
      </c>
      <c r="CZ38" s="95" t="s">
        <v>167</v>
      </c>
      <c r="DA38" s="95">
        <v>1</v>
      </c>
      <c r="DB38" s="95" t="s">
        <v>271</v>
      </c>
      <c r="DY38" s="406"/>
      <c r="HD38" s="95" t="s">
        <v>194</v>
      </c>
      <c r="HE38" s="408">
        <v>0.18</v>
      </c>
      <c r="HF38" s="95" t="s">
        <v>186</v>
      </c>
    </row>
    <row r="39" spans="1:214" s="95" customFormat="1" ht="13.5" thickBot="1" x14ac:dyDescent="0.25">
      <c r="A39" s="95" t="s">
        <v>457</v>
      </c>
      <c r="B39" s="353">
        <v>0</v>
      </c>
      <c r="D39" s="101" t="s">
        <v>166</v>
      </c>
      <c r="E39" s="101" t="s">
        <v>17</v>
      </c>
      <c r="F39" s="102" t="s">
        <v>25</v>
      </c>
      <c r="G39" s="95" t="s">
        <v>169</v>
      </c>
      <c r="H39" s="95">
        <v>1</v>
      </c>
      <c r="I39" s="95" t="s">
        <v>168</v>
      </c>
      <c r="J39" s="95" t="s">
        <v>171</v>
      </c>
      <c r="K39" s="95">
        <v>1.752</v>
      </c>
      <c r="L39" s="95" t="s">
        <v>127</v>
      </c>
      <c r="V39" s="374" t="s">
        <v>134</v>
      </c>
      <c r="W39" s="375">
        <f>(W26*W27*W30)/((W32/W33)*(1-EXP(-W27*W30))*W31*W34*W29*W30)</f>
        <v>1542.0828630516044</v>
      </c>
      <c r="X39" s="376" t="s">
        <v>38</v>
      </c>
      <c r="Y39" s="376" t="s">
        <v>134</v>
      </c>
      <c r="Z39" s="375">
        <f>Z26/((Z31*Z29*Z43*(Z32/Z33)*Z34))</f>
        <v>11.111111111111112</v>
      </c>
      <c r="AA39" s="377" t="s">
        <v>37</v>
      </c>
      <c r="AB39" s="385" t="s">
        <v>197</v>
      </c>
      <c r="AC39" s="384">
        <f>(AC5/(AC23*AC22*(AC28/24)*AC19*AC7*(1/AC34)*AC11))*AC35</f>
        <v>1329.3598223696301</v>
      </c>
      <c r="AD39" s="384">
        <f>(AD5/(AD23*AD22*(AD29/24)*AD21*AD7*(1/AD34)*AD11))*AD35</f>
        <v>217.29920173349731</v>
      </c>
      <c r="AE39" s="384">
        <f>(AE5/(AE23*AE22*(AE28/24)*AE19*AE7*(1/AE34)*AE11))*AE35</f>
        <v>1278.2305984323373</v>
      </c>
      <c r="AF39" s="414">
        <f>(AF5*AF31*AF32)/((1-EXP(-AF32*AF31))*AF10*AF7*(1/365)*AF15*(AF14/24)*AF19*AF22)</f>
        <v>1278.230598432337</v>
      </c>
      <c r="AG39" s="414">
        <f>(AG5*AG31*AG32)/((1-EXP(-AG32*AG31))*AG10*AG7*AG15*(AG14/24)*AG19*AG22*(1/365))</f>
        <v>1278.230598432337</v>
      </c>
      <c r="BK39" s="483"/>
      <c r="BL39" s="483"/>
      <c r="BM39" s="483"/>
      <c r="BN39" s="483"/>
      <c r="BO39" s="483"/>
      <c r="BT39" s="404"/>
      <c r="BU39" s="355"/>
      <c r="CT39" s="95" t="s">
        <v>171</v>
      </c>
      <c r="CU39" s="95">
        <v>12.167999999999999</v>
      </c>
      <c r="CV39" s="95" t="s">
        <v>127</v>
      </c>
      <c r="CZ39" s="95" t="s">
        <v>169</v>
      </c>
      <c r="DA39" s="95">
        <v>1</v>
      </c>
      <c r="DB39" s="95" t="s">
        <v>271</v>
      </c>
      <c r="DY39" s="406"/>
      <c r="HD39" s="95" t="s">
        <v>196</v>
      </c>
      <c r="HE39" s="408">
        <v>55</v>
      </c>
      <c r="HF39" s="95" t="s">
        <v>192</v>
      </c>
    </row>
    <row r="40" spans="1:214" s="95" customFormat="1" ht="15" customHeight="1" thickBot="1" x14ac:dyDescent="0.25">
      <c r="A40" s="95" t="s">
        <v>433</v>
      </c>
      <c r="B40" s="353">
        <f>B36</f>
        <v>0</v>
      </c>
      <c r="D40" s="101" t="s">
        <v>193</v>
      </c>
      <c r="E40" s="403" t="e">
        <f>E50</f>
        <v>#DIV/0!</v>
      </c>
      <c r="F40" s="184"/>
      <c r="H40" s="95">
        <f>1/1000</f>
        <v>1E-3</v>
      </c>
      <c r="I40" s="95" t="s">
        <v>170</v>
      </c>
      <c r="J40" s="95" t="s">
        <v>174</v>
      </c>
      <c r="K40" s="95">
        <v>16.416</v>
      </c>
      <c r="L40" s="95" t="s">
        <v>127</v>
      </c>
      <c r="V40" s="383" t="s">
        <v>139</v>
      </c>
      <c r="W40" s="384">
        <f>(W26*W30*W27)/((1-EXP(-W27*W30))*W35*W29*(1/365)*W30*(W32/W33)*W36)</f>
        <v>1043895.9208761655</v>
      </c>
      <c r="X40" s="385" t="s">
        <v>38</v>
      </c>
      <c r="Y40" s="385" t="s">
        <v>139</v>
      </c>
      <c r="Z40" s="384">
        <f>Z26/(Z35*Z29*(1/Z44)*Z43*(Z32/Z33)*Z36)</f>
        <v>557.96178343949032</v>
      </c>
      <c r="AA40" s="386" t="s">
        <v>37</v>
      </c>
      <c r="AB40" s="95" t="s">
        <v>164</v>
      </c>
      <c r="AC40" s="354">
        <f>B30</f>
        <v>1359344473.5814338</v>
      </c>
      <c r="AD40" s="354">
        <f>B30</f>
        <v>1359344473.5814338</v>
      </c>
      <c r="AE40" s="354">
        <f>B30</f>
        <v>1359344473.5814338</v>
      </c>
      <c r="AG40" s="354">
        <f>(AG5/(AG23*AG22*(AG28+AG29*AG21)*AG7*(1/AG34)*AG11))*AG35</f>
        <v>62.085486209570647</v>
      </c>
      <c r="BT40" s="404"/>
      <c r="BU40" s="355"/>
      <c r="CT40" s="95" t="s">
        <v>174</v>
      </c>
      <c r="CU40" s="95">
        <v>10.007999999999999</v>
      </c>
      <c r="CV40" s="95" t="s">
        <v>127</v>
      </c>
      <c r="CZ40" s="95" t="s">
        <v>272</v>
      </c>
      <c r="DA40" s="95">
        <v>0.54</v>
      </c>
      <c r="DB40" s="95" t="s">
        <v>274</v>
      </c>
      <c r="DY40" s="406"/>
      <c r="HD40" s="95" t="s">
        <v>198</v>
      </c>
      <c r="HE40" s="408">
        <v>5</v>
      </c>
      <c r="HF40" s="95" t="s">
        <v>192</v>
      </c>
    </row>
    <row r="41" spans="1:214" s="95" customFormat="1" ht="15" thickBot="1" x14ac:dyDescent="0.25">
      <c r="A41" s="95" t="s">
        <v>432</v>
      </c>
      <c r="B41" s="353">
        <f>B37</f>
        <v>0</v>
      </c>
      <c r="D41" s="433" t="s">
        <v>10</v>
      </c>
      <c r="E41" s="256" t="s">
        <v>34</v>
      </c>
      <c r="F41" s="257"/>
      <c r="H41" s="95">
        <v>1000</v>
      </c>
      <c r="I41" s="95" t="s">
        <v>173</v>
      </c>
      <c r="J41" s="95" t="s">
        <v>177</v>
      </c>
      <c r="K41" s="95">
        <v>0.4</v>
      </c>
      <c r="Y41" s="95" t="s">
        <v>411</v>
      </c>
      <c r="Z41" s="95">
        <v>50</v>
      </c>
      <c r="AA41" s="95" t="s">
        <v>211</v>
      </c>
      <c r="AB41" s="415" t="s">
        <v>201</v>
      </c>
      <c r="AF41" s="416">
        <f>B31</f>
        <v>773681.6396651821</v>
      </c>
      <c r="AH41" s="415" t="s">
        <v>165</v>
      </c>
      <c r="BT41" s="354"/>
      <c r="CT41" s="95" t="s">
        <v>177</v>
      </c>
      <c r="CU41" s="95">
        <v>0.4</v>
      </c>
      <c r="CZ41" s="95" t="s">
        <v>273</v>
      </c>
      <c r="DA41" s="95">
        <v>0.71</v>
      </c>
      <c r="DB41" s="95" t="s">
        <v>274</v>
      </c>
      <c r="DY41" s="406"/>
      <c r="HD41" s="95" t="s">
        <v>199</v>
      </c>
      <c r="HE41" s="408">
        <v>5</v>
      </c>
      <c r="HF41" s="95" t="s">
        <v>192</v>
      </c>
    </row>
    <row r="42" spans="1:214" s="95" customFormat="1" ht="13.9" customHeight="1" thickTop="1" x14ac:dyDescent="0.2">
      <c r="A42" s="95" t="s">
        <v>66</v>
      </c>
      <c r="B42" s="353">
        <v>0</v>
      </c>
      <c r="D42" s="95" t="s">
        <v>46</v>
      </c>
      <c r="E42" s="354">
        <v>9.9999999999999995E-7</v>
      </c>
      <c r="H42" s="95">
        <v>1000</v>
      </c>
      <c r="I42" s="95" t="s">
        <v>408</v>
      </c>
      <c r="J42" s="95" t="s">
        <v>242</v>
      </c>
      <c r="K42" s="95">
        <v>0.4</v>
      </c>
      <c r="Y42" s="95" t="s">
        <v>410</v>
      </c>
      <c r="Z42" s="95">
        <v>5</v>
      </c>
      <c r="AA42" s="95" t="s">
        <v>327</v>
      </c>
      <c r="AB42" s="415" t="s">
        <v>202</v>
      </c>
      <c r="AF42" s="415"/>
      <c r="AG42" s="416">
        <f>B32</f>
        <v>36055860.959050171</v>
      </c>
      <c r="AH42" s="415"/>
      <c r="AI42" s="415"/>
      <c r="AJ42" s="415"/>
      <c r="AK42" s="415"/>
      <c r="CT42" s="95" t="s">
        <v>242</v>
      </c>
      <c r="CU42" s="95">
        <v>0.4</v>
      </c>
      <c r="DA42" s="95">
        <v>365</v>
      </c>
      <c r="DB42" s="95" t="s">
        <v>268</v>
      </c>
    </row>
    <row r="43" spans="1:214" s="95" customFormat="1" ht="13.15" customHeight="1" x14ac:dyDescent="0.2">
      <c r="A43" s="95" t="s">
        <v>67</v>
      </c>
      <c r="B43" s="353">
        <v>0</v>
      </c>
      <c r="D43" s="95" t="s">
        <v>54</v>
      </c>
      <c r="E43" s="95">
        <v>350</v>
      </c>
      <c r="F43" s="95" t="s">
        <v>55</v>
      </c>
      <c r="G43" s="95" t="s">
        <v>399</v>
      </c>
      <c r="H43" s="95">
        <v>0.25</v>
      </c>
      <c r="J43" s="95" t="s">
        <v>243</v>
      </c>
      <c r="K43" s="354">
        <f>B2</f>
        <v>6.8000000000000005E-2</v>
      </c>
      <c r="Y43" s="95" t="s">
        <v>328</v>
      </c>
      <c r="Z43" s="95">
        <v>1</v>
      </c>
      <c r="AA43" s="95" t="s">
        <v>276</v>
      </c>
      <c r="AF43" s="483" t="s">
        <v>429</v>
      </c>
      <c r="AG43" s="483"/>
      <c r="AH43" s="483"/>
      <c r="AI43" s="415"/>
      <c r="AJ43" s="415"/>
      <c r="AK43" s="415"/>
      <c r="BT43" s="354"/>
      <c r="CT43" s="95" t="s">
        <v>243</v>
      </c>
      <c r="CU43" s="354">
        <f>B2</f>
        <v>6.8000000000000005E-2</v>
      </c>
      <c r="CZ43" s="95" t="s">
        <v>145</v>
      </c>
      <c r="DA43" s="95">
        <v>0.5</v>
      </c>
      <c r="DB43" s="95" t="s">
        <v>275</v>
      </c>
    </row>
    <row r="44" spans="1:214" s="95" customFormat="1" x14ac:dyDescent="0.2">
      <c r="D44" s="95" t="s">
        <v>415</v>
      </c>
      <c r="E44" s="354">
        <f>B28</f>
        <v>0</v>
      </c>
      <c r="F44" s="95" t="s">
        <v>176</v>
      </c>
      <c r="H44" s="95">
        <v>365</v>
      </c>
      <c r="I44" s="95" t="s">
        <v>55</v>
      </c>
      <c r="J44" s="95" t="s">
        <v>113</v>
      </c>
      <c r="K44" s="354">
        <f>B3</f>
        <v>0.75600000000000001</v>
      </c>
      <c r="Z44" s="95">
        <v>365</v>
      </c>
      <c r="AA44" s="95" t="s">
        <v>161</v>
      </c>
      <c r="AF44" s="483"/>
      <c r="AG44" s="483"/>
      <c r="AH44" s="483"/>
      <c r="CT44" s="95" t="s">
        <v>113</v>
      </c>
      <c r="CU44" s="354">
        <f>B3</f>
        <v>0.75600000000000001</v>
      </c>
      <c r="DA44" s="95">
        <v>1</v>
      </c>
      <c r="DB44" s="95" t="s">
        <v>276</v>
      </c>
    </row>
    <row r="45" spans="1:214" s="95" customFormat="1" ht="12.75" customHeight="1" x14ac:dyDescent="0.2">
      <c r="A45" s="95" t="s">
        <v>93</v>
      </c>
      <c r="B45" s="397">
        <v>10</v>
      </c>
      <c r="C45" s="95" t="s">
        <v>83</v>
      </c>
      <c r="D45" s="95" t="s">
        <v>68</v>
      </c>
      <c r="E45" s="95">
        <v>26</v>
      </c>
      <c r="F45" s="95" t="s">
        <v>129</v>
      </c>
      <c r="H45" s="95">
        <v>8760</v>
      </c>
      <c r="I45" s="95" t="s">
        <v>258</v>
      </c>
      <c r="J45" s="95" t="s">
        <v>185</v>
      </c>
      <c r="K45" s="95">
        <v>26</v>
      </c>
      <c r="L45" s="95" t="s">
        <v>94</v>
      </c>
      <c r="Y45" s="95" t="s">
        <v>483</v>
      </c>
      <c r="Z45" s="95">
        <v>1</v>
      </c>
      <c r="AA45" s="95" t="s">
        <v>276</v>
      </c>
      <c r="AB45" s="415"/>
      <c r="AC45" s="415"/>
      <c r="AF45" s="483"/>
      <c r="AG45" s="483"/>
      <c r="AH45" s="483"/>
      <c r="AI45" s="415"/>
      <c r="AJ45" s="415"/>
      <c r="AK45" s="415"/>
      <c r="CT45" s="95" t="s">
        <v>329</v>
      </c>
      <c r="CU45" s="95">
        <v>40</v>
      </c>
      <c r="CV45" s="95" t="s">
        <v>94</v>
      </c>
      <c r="DA45" s="95">
        <v>8760</v>
      </c>
      <c r="DB45" s="95" t="s">
        <v>258</v>
      </c>
    </row>
    <row r="46" spans="1:214" s="95" customFormat="1" x14ac:dyDescent="0.2">
      <c r="A46" s="95" t="s">
        <v>103</v>
      </c>
      <c r="B46" s="397">
        <v>20</v>
      </c>
      <c r="C46" s="95" t="s">
        <v>83</v>
      </c>
      <c r="D46" s="95" t="s">
        <v>178</v>
      </c>
      <c r="E46" s="95">
        <f>B55</f>
        <v>28.5</v>
      </c>
      <c r="F46" s="95" t="s">
        <v>96</v>
      </c>
      <c r="G46" s="95" t="s">
        <v>49</v>
      </c>
      <c r="H46" s="95">
        <f>H48</f>
        <v>0</v>
      </c>
      <c r="K46" s="95">
        <v>365</v>
      </c>
      <c r="L46" s="95" t="s">
        <v>189</v>
      </c>
      <c r="AB46" s="415"/>
      <c r="AC46" s="417"/>
      <c r="AI46" s="415"/>
      <c r="AJ46" s="415"/>
      <c r="AK46" s="415"/>
      <c r="CU46" s="95">
        <v>365</v>
      </c>
      <c r="CV46" s="95" t="s">
        <v>189</v>
      </c>
      <c r="DA46" s="95">
        <v>1000</v>
      </c>
      <c r="DB46" s="95" t="s">
        <v>195</v>
      </c>
    </row>
    <row r="47" spans="1:214" s="95" customFormat="1" x14ac:dyDescent="0.2">
      <c r="A47" s="95" t="s">
        <v>104</v>
      </c>
      <c r="B47" s="397">
        <v>60</v>
      </c>
      <c r="C47" s="95" t="s">
        <v>83</v>
      </c>
      <c r="E47" s="95">
        <v>1000</v>
      </c>
      <c r="F47" s="95" t="s">
        <v>195</v>
      </c>
      <c r="G47" s="95" t="s">
        <v>57</v>
      </c>
      <c r="H47" s="95">
        <f>H49</f>
        <v>0.26</v>
      </c>
      <c r="K47" s="95">
        <v>1000</v>
      </c>
      <c r="L47" s="95" t="s">
        <v>195</v>
      </c>
      <c r="W47" s="404"/>
      <c r="X47" s="355"/>
      <c r="Y47" s="355"/>
      <c r="Z47" s="355"/>
      <c r="AA47" s="355"/>
      <c r="AB47" s="415"/>
      <c r="AC47" s="415"/>
      <c r="AD47" s="415"/>
      <c r="AI47" s="415"/>
      <c r="AJ47" s="415"/>
      <c r="AK47" s="415"/>
      <c r="CU47" s="95">
        <v>1000</v>
      </c>
      <c r="CV47" s="95" t="s">
        <v>195</v>
      </c>
    </row>
    <row r="48" spans="1:214" s="95" customFormat="1" x14ac:dyDescent="0.2">
      <c r="A48" s="95" t="s">
        <v>117</v>
      </c>
      <c r="B48" s="397">
        <v>200</v>
      </c>
      <c r="C48" s="95" t="s">
        <v>96</v>
      </c>
      <c r="D48" s="95" t="s">
        <v>203</v>
      </c>
      <c r="E48" s="95">
        <f>B34</f>
        <v>0</v>
      </c>
      <c r="F48" s="95" t="s">
        <v>48</v>
      </c>
      <c r="G48" s="95" t="s">
        <v>66</v>
      </c>
      <c r="H48" s="95">
        <f>B40</f>
        <v>0</v>
      </c>
      <c r="K48" s="95">
        <v>1000</v>
      </c>
      <c r="L48" s="95" t="s">
        <v>53</v>
      </c>
      <c r="W48" s="404"/>
      <c r="X48" s="355"/>
      <c r="Y48" s="355"/>
      <c r="Z48" s="355"/>
      <c r="AA48" s="355"/>
      <c r="AB48" s="415"/>
      <c r="AC48" s="415"/>
      <c r="AF48" s="418"/>
      <c r="AG48" s="415"/>
      <c r="AH48" s="415"/>
      <c r="AI48" s="415"/>
      <c r="AJ48" s="415"/>
      <c r="AK48" s="415"/>
      <c r="CU48" s="95">
        <v>1000</v>
      </c>
      <c r="CV48" s="95" t="s">
        <v>53</v>
      </c>
    </row>
    <row r="49" spans="1:105" s="95" customFormat="1" x14ac:dyDescent="0.2">
      <c r="A49" s="95" t="s">
        <v>140</v>
      </c>
      <c r="B49" s="397">
        <v>100</v>
      </c>
      <c r="C49" s="95" t="s">
        <v>96</v>
      </c>
      <c r="D49" s="95" t="s">
        <v>205</v>
      </c>
      <c r="E49" s="95">
        <v>1</v>
      </c>
      <c r="F49" s="95" t="s">
        <v>206</v>
      </c>
      <c r="G49" s="95" t="s">
        <v>73</v>
      </c>
      <c r="H49" s="95">
        <v>0.26</v>
      </c>
      <c r="J49" s="95" t="s">
        <v>49</v>
      </c>
      <c r="K49" s="95">
        <f>K51</f>
        <v>0</v>
      </c>
      <c r="W49" s="354"/>
      <c r="AB49" s="415"/>
      <c r="AC49" s="415"/>
      <c r="AF49" s="418"/>
      <c r="AG49" s="415"/>
      <c r="AH49" s="415"/>
      <c r="AI49" s="415"/>
      <c r="AJ49" s="415"/>
      <c r="AK49" s="415"/>
      <c r="BT49" s="354"/>
    </row>
    <row r="50" spans="1:105" s="95" customFormat="1" x14ac:dyDescent="0.2">
      <c r="A50" s="95" t="s">
        <v>451</v>
      </c>
      <c r="B50" s="397">
        <v>0.78</v>
      </c>
      <c r="D50" s="95" t="s">
        <v>142</v>
      </c>
      <c r="E50" s="354" t="e">
        <f>E42/(E44*E43*E45*E46*E48*E49*(1/E47))</f>
        <v>#DIV/0!</v>
      </c>
      <c r="G50" s="95" t="s">
        <v>47</v>
      </c>
      <c r="H50" s="354">
        <f>(H53*H54*H55*((1-EXP(-H56*H57))))/(H58*H56)</f>
        <v>0</v>
      </c>
      <c r="I50" s="95" t="s">
        <v>48</v>
      </c>
      <c r="J50" s="95" t="s">
        <v>57</v>
      </c>
      <c r="K50" s="95">
        <f>K52</f>
        <v>0.26</v>
      </c>
      <c r="W50" s="354"/>
      <c r="AB50" s="415"/>
      <c r="AC50" s="415"/>
      <c r="AF50" s="418"/>
      <c r="AG50" s="415"/>
      <c r="AH50" s="415"/>
      <c r="AI50" s="415"/>
      <c r="AJ50" s="415"/>
      <c r="AK50" s="415"/>
      <c r="BW50" s="354"/>
    </row>
    <row r="51" spans="1:105" s="95" customFormat="1" x14ac:dyDescent="0.2">
      <c r="A51" s="95" t="s">
        <v>452</v>
      </c>
      <c r="B51" s="397">
        <v>2.5</v>
      </c>
      <c r="G51" s="95" t="s">
        <v>56</v>
      </c>
      <c r="H51" s="354">
        <f>(H53*H54*H59*((1-EXP(-H56*H57))))/(H58*H56)</f>
        <v>5.4035127681958941E-3</v>
      </c>
      <c r="I51" s="95" t="s">
        <v>48</v>
      </c>
      <c r="J51" s="95" t="s">
        <v>66</v>
      </c>
      <c r="K51" s="354">
        <f>B42</f>
        <v>0</v>
      </c>
      <c r="AB51" s="415"/>
      <c r="AC51" s="415"/>
      <c r="AF51" s="418"/>
      <c r="AG51" s="415"/>
      <c r="BW51" s="354"/>
    </row>
    <row r="52" spans="1:105" s="95" customFormat="1" x14ac:dyDescent="0.2">
      <c r="A52" s="95" t="s">
        <v>404</v>
      </c>
      <c r="B52" s="353">
        <v>14.8</v>
      </c>
      <c r="C52" s="95" t="s">
        <v>413</v>
      </c>
      <c r="G52" s="95" t="s">
        <v>65</v>
      </c>
      <c r="H52" s="354">
        <f>(H53*H54*H60*H66*((1-EXP(-H61*H62))))/(H63*H61)</f>
        <v>0.82303427313698274</v>
      </c>
      <c r="I52" s="95" t="s">
        <v>48</v>
      </c>
      <c r="J52" s="95" t="s">
        <v>73</v>
      </c>
      <c r="K52" s="95">
        <v>0.26</v>
      </c>
      <c r="AB52" s="415"/>
      <c r="AC52" s="415"/>
      <c r="AF52" s="418"/>
      <c r="AG52" s="415"/>
      <c r="BW52" s="354"/>
    </row>
    <row r="53" spans="1:105" s="95" customFormat="1" x14ac:dyDescent="0.2">
      <c r="A53" s="95" t="s">
        <v>405</v>
      </c>
      <c r="B53" s="353">
        <v>56.2</v>
      </c>
      <c r="C53" s="95" t="s">
        <v>413</v>
      </c>
      <c r="G53" s="95" t="s">
        <v>71</v>
      </c>
      <c r="H53" s="95">
        <v>3.62</v>
      </c>
      <c r="I53" s="95" t="s">
        <v>72</v>
      </c>
      <c r="W53" s="354"/>
      <c r="AB53" s="415"/>
      <c r="AC53" s="415"/>
      <c r="AF53" s="418"/>
      <c r="AG53" s="415"/>
    </row>
    <row r="54" spans="1:105" s="95" customFormat="1" x14ac:dyDescent="0.2">
      <c r="A54" s="95" t="s">
        <v>400</v>
      </c>
      <c r="B54" s="353">
        <v>10.4</v>
      </c>
      <c r="C54" s="95" t="s">
        <v>413</v>
      </c>
      <c r="G54" s="95" t="s">
        <v>79</v>
      </c>
      <c r="H54" s="95">
        <v>0.25</v>
      </c>
      <c r="I54" s="95" t="s">
        <v>80</v>
      </c>
      <c r="AB54" s="415"/>
      <c r="AC54" s="415"/>
      <c r="AF54" s="418"/>
      <c r="AG54" s="415"/>
    </row>
    <row r="55" spans="1:105" s="95" customFormat="1" x14ac:dyDescent="0.2">
      <c r="A55" s="95" t="s">
        <v>401</v>
      </c>
      <c r="B55" s="353">
        <v>28.5</v>
      </c>
      <c r="C55" s="95" t="s">
        <v>413</v>
      </c>
      <c r="G55" s="95" t="s">
        <v>66</v>
      </c>
      <c r="H55" s="354">
        <f>B42</f>
        <v>0</v>
      </c>
      <c r="AB55" s="415"/>
      <c r="AC55" s="415"/>
      <c r="AD55" s="415"/>
      <c r="AF55" s="418"/>
      <c r="AG55" s="415"/>
      <c r="AH55" s="415"/>
      <c r="AI55" s="415"/>
      <c r="AJ55" s="415"/>
      <c r="AK55" s="415"/>
    </row>
    <row r="56" spans="1:105" s="95" customFormat="1" x14ac:dyDescent="0.2">
      <c r="A56" s="95" t="s">
        <v>178</v>
      </c>
      <c r="B56" s="397">
        <v>54</v>
      </c>
      <c r="C56" s="95" t="s">
        <v>96</v>
      </c>
      <c r="G56" s="95" t="s">
        <v>99</v>
      </c>
      <c r="H56" s="95">
        <f>H64+H65</f>
        <v>0.18144061256544503</v>
      </c>
      <c r="AB56" s="415"/>
      <c r="AC56" s="415"/>
      <c r="AD56" s="415"/>
      <c r="AF56" s="418"/>
      <c r="AG56" s="415"/>
      <c r="AH56" s="415"/>
      <c r="AI56" s="415"/>
      <c r="AJ56" s="415"/>
      <c r="AK56" s="415"/>
    </row>
    <row r="57" spans="1:105" s="95" customFormat="1" x14ac:dyDescent="0.2">
      <c r="A57" s="95" t="s">
        <v>278</v>
      </c>
      <c r="B57" s="397">
        <v>256</v>
      </c>
      <c r="C57" s="95" t="s">
        <v>413</v>
      </c>
      <c r="G57" s="95" t="s">
        <v>109</v>
      </c>
      <c r="H57" s="95">
        <v>10950</v>
      </c>
      <c r="I57" s="95" t="s">
        <v>110</v>
      </c>
      <c r="AB57" s="415"/>
      <c r="AC57" s="415"/>
      <c r="AD57" s="415"/>
      <c r="AF57" s="418"/>
      <c r="AG57" s="415"/>
      <c r="AH57" s="415"/>
      <c r="AI57" s="415"/>
      <c r="AJ57" s="415"/>
      <c r="AK57" s="415"/>
    </row>
    <row r="58" spans="1:105" s="95" customFormat="1" x14ac:dyDescent="0.2">
      <c r="A58" s="95" t="s">
        <v>279</v>
      </c>
      <c r="B58" s="397">
        <v>615</v>
      </c>
      <c r="C58" s="95" t="s">
        <v>413</v>
      </c>
      <c r="G58" s="95" t="s">
        <v>120</v>
      </c>
      <c r="H58" s="95">
        <v>240</v>
      </c>
      <c r="I58" s="95" t="s">
        <v>121</v>
      </c>
      <c r="AB58" s="415"/>
      <c r="AC58" s="415"/>
      <c r="AF58" s="418"/>
      <c r="AG58" s="415"/>
      <c r="AH58" s="415"/>
      <c r="AI58" s="415"/>
      <c r="AJ58" s="415"/>
      <c r="AK58" s="415"/>
    </row>
    <row r="59" spans="1:105" s="95" customFormat="1" x14ac:dyDescent="0.2">
      <c r="G59" s="95" t="s">
        <v>130</v>
      </c>
      <c r="H59" s="95">
        <v>0.26</v>
      </c>
      <c r="AB59" s="415"/>
      <c r="AC59" s="415"/>
      <c r="AF59" s="415"/>
      <c r="AG59" s="415"/>
      <c r="AH59" s="415"/>
      <c r="AI59" s="415"/>
      <c r="AJ59" s="415"/>
      <c r="AK59" s="415"/>
    </row>
    <row r="60" spans="1:105" s="95" customFormat="1" x14ac:dyDescent="0.2">
      <c r="G60" s="95" t="s">
        <v>137</v>
      </c>
      <c r="H60" s="95">
        <v>0.42</v>
      </c>
      <c r="I60" s="95" t="s">
        <v>80</v>
      </c>
      <c r="AB60" s="415"/>
      <c r="AC60" s="415"/>
      <c r="AF60" s="415"/>
      <c r="AG60" s="415"/>
      <c r="AH60" s="415"/>
      <c r="AI60" s="415"/>
      <c r="AJ60" s="415"/>
      <c r="AK60" s="415"/>
    </row>
    <row r="61" spans="1:105" s="95" customFormat="1" x14ac:dyDescent="0.2">
      <c r="G61" s="95" t="s">
        <v>143</v>
      </c>
      <c r="H61" s="95">
        <f>H65+(0.693/H67)</f>
        <v>0.23091361256544501</v>
      </c>
      <c r="I61" s="95" t="s">
        <v>144</v>
      </c>
      <c r="AB61" s="415"/>
      <c r="AC61" s="415"/>
      <c r="AD61" s="415"/>
      <c r="AF61" s="415"/>
      <c r="AG61" s="415"/>
      <c r="AH61" s="415"/>
      <c r="AI61" s="415"/>
      <c r="AJ61" s="415"/>
      <c r="AK61" s="415"/>
      <c r="DA61" s="354"/>
    </row>
    <row r="62" spans="1:105" s="95" customFormat="1" x14ac:dyDescent="0.2">
      <c r="G62" s="95" t="s">
        <v>148</v>
      </c>
      <c r="H62" s="95">
        <v>60</v>
      </c>
      <c r="I62" s="95" t="s">
        <v>110</v>
      </c>
      <c r="AB62" s="415"/>
      <c r="AC62" s="415"/>
      <c r="AD62" s="415"/>
      <c r="AF62" s="418"/>
      <c r="AG62" s="415"/>
      <c r="AH62" s="415"/>
      <c r="AI62" s="415"/>
      <c r="AJ62" s="415"/>
      <c r="AK62" s="415"/>
    </row>
    <row r="63" spans="1:105" s="95" customFormat="1" x14ac:dyDescent="0.2">
      <c r="G63" s="95" t="s">
        <v>150</v>
      </c>
      <c r="H63" s="95">
        <v>2</v>
      </c>
      <c r="I63" s="95" t="s">
        <v>121</v>
      </c>
      <c r="AB63" s="415"/>
      <c r="AC63" s="415"/>
      <c r="AD63" s="415"/>
      <c r="AF63" s="418"/>
      <c r="AG63" s="415"/>
      <c r="AH63" s="415"/>
      <c r="AI63" s="415"/>
      <c r="AJ63" s="415"/>
      <c r="AK63" s="415"/>
    </row>
    <row r="64" spans="1:105" s="95" customFormat="1" x14ac:dyDescent="0.2">
      <c r="G64" s="95" t="s">
        <v>153</v>
      </c>
      <c r="H64" s="95">
        <v>2.6999999999999999E-5</v>
      </c>
      <c r="I64" s="95" t="s">
        <v>144</v>
      </c>
      <c r="AB64" s="415"/>
      <c r="AC64" s="415"/>
      <c r="AD64" s="415"/>
      <c r="AF64" s="418"/>
      <c r="AG64" s="415"/>
      <c r="AH64" s="415"/>
      <c r="AI64" s="415"/>
      <c r="AJ64" s="415"/>
      <c r="AK64" s="415"/>
    </row>
    <row r="65" spans="7:105" s="95" customFormat="1" x14ac:dyDescent="0.2">
      <c r="G65" s="95" t="s">
        <v>154</v>
      </c>
      <c r="H65" s="95">
        <f>0.693/H69</f>
        <v>0.18141361256544503</v>
      </c>
      <c r="I65" s="95" t="s">
        <v>144</v>
      </c>
      <c r="AB65" s="415"/>
      <c r="AC65" s="415"/>
      <c r="AD65" s="415"/>
      <c r="AF65" s="418"/>
      <c r="AG65" s="415"/>
      <c r="AH65" s="415"/>
      <c r="AI65" s="415"/>
      <c r="AJ65" s="415"/>
      <c r="AK65" s="415"/>
    </row>
    <row r="66" spans="7:105" s="95" customFormat="1" x14ac:dyDescent="0.2">
      <c r="G66" s="95" t="s">
        <v>156</v>
      </c>
      <c r="H66" s="95">
        <v>1</v>
      </c>
      <c r="I66" s="95" t="s">
        <v>80</v>
      </c>
      <c r="AB66" s="415"/>
      <c r="AC66" s="415"/>
      <c r="AD66" s="415"/>
      <c r="AF66" s="418"/>
      <c r="AG66" s="415"/>
      <c r="AH66" s="415"/>
      <c r="AI66" s="415"/>
      <c r="AJ66" s="415"/>
      <c r="AK66" s="415"/>
      <c r="DA66" s="354"/>
    </row>
    <row r="67" spans="7:105" s="95" customFormat="1" x14ac:dyDescent="0.2">
      <c r="G67" s="95" t="s">
        <v>160</v>
      </c>
      <c r="H67" s="95">
        <v>14</v>
      </c>
      <c r="I67" s="95" t="s">
        <v>161</v>
      </c>
      <c r="AB67" s="415"/>
      <c r="AC67" s="419"/>
      <c r="AD67" s="415"/>
      <c r="AF67" s="418"/>
      <c r="AG67" s="415"/>
      <c r="AH67" s="415"/>
      <c r="AI67" s="415"/>
      <c r="AJ67" s="415"/>
      <c r="AK67" s="415"/>
    </row>
    <row r="68" spans="7:105" s="95" customFormat="1" x14ac:dyDescent="0.2">
      <c r="G68" s="95" t="s">
        <v>67</v>
      </c>
      <c r="H68" s="354">
        <f>B43</f>
        <v>0</v>
      </c>
      <c r="AB68" s="415"/>
      <c r="AC68" s="420"/>
      <c r="AD68" s="415"/>
      <c r="AF68" s="418"/>
      <c r="AG68" s="415"/>
      <c r="AH68" s="415"/>
      <c r="AI68" s="415"/>
      <c r="AJ68" s="415"/>
      <c r="AK68" s="415"/>
    </row>
    <row r="69" spans="7:105" s="95" customFormat="1" x14ac:dyDescent="0.2">
      <c r="G69" s="95" t="s">
        <v>453</v>
      </c>
      <c r="H69" s="354">
        <f>B33</f>
        <v>3.82</v>
      </c>
      <c r="I69" s="95" t="s">
        <v>416</v>
      </c>
      <c r="AF69" s="421"/>
      <c r="AG69" s="415"/>
      <c r="AH69" s="415"/>
      <c r="AI69" s="415"/>
      <c r="AJ69" s="415"/>
      <c r="AK69" s="415"/>
      <c r="BW69" s="354"/>
    </row>
    <row r="70" spans="7:105" x14ac:dyDescent="0.2">
      <c r="AF70" s="2"/>
      <c r="AG70" s="1"/>
      <c r="AH70" s="1"/>
      <c r="AI70" s="1"/>
      <c r="AJ70" s="1"/>
      <c r="AK70" s="1"/>
    </row>
    <row r="71" spans="7:105" x14ac:dyDescent="0.2">
      <c r="AF71" s="3"/>
      <c r="AG71" s="1"/>
      <c r="AH71" s="1"/>
      <c r="AI71" s="1"/>
      <c r="AJ71" s="1"/>
      <c r="AK71" s="1"/>
    </row>
    <row r="72" spans="7:105" x14ac:dyDescent="0.2">
      <c r="AF72" s="2"/>
      <c r="AG72" s="1"/>
      <c r="AH72" s="1"/>
      <c r="AI72" s="1"/>
      <c r="AJ72" s="1"/>
      <c r="AK72" s="1"/>
    </row>
    <row r="73" spans="7:105" x14ac:dyDescent="0.2">
      <c r="AF73" s="2"/>
      <c r="AG73" s="1"/>
      <c r="AH73" s="1"/>
      <c r="AI73" s="1"/>
      <c r="AJ73" s="1"/>
      <c r="AK73" s="1"/>
    </row>
    <row r="74" spans="7:105" x14ac:dyDescent="0.2">
      <c r="AF74" s="2"/>
      <c r="AG74" s="1"/>
      <c r="AH74" s="1"/>
      <c r="AI74" s="1"/>
      <c r="AJ74" s="1"/>
      <c r="AK74" s="1"/>
    </row>
    <row r="75" spans="7:105" x14ac:dyDescent="0.2">
      <c r="AF75" s="1"/>
      <c r="AG75" s="1"/>
      <c r="AH75" s="1"/>
      <c r="AI75" s="1"/>
      <c r="AJ75" s="1"/>
      <c r="AK75" s="1"/>
    </row>
    <row r="76" spans="7:105" x14ac:dyDescent="0.2">
      <c r="AF76" s="2"/>
      <c r="AG76" s="1"/>
      <c r="AH76" s="1"/>
      <c r="AI76" s="1"/>
      <c r="AJ76" s="1"/>
      <c r="AK76" s="1"/>
    </row>
    <row r="77" spans="7:105" x14ac:dyDescent="0.2">
      <c r="AF77" s="2"/>
      <c r="AG77" s="1"/>
      <c r="AH77" s="1"/>
      <c r="AI77" s="1"/>
      <c r="AJ77" s="1"/>
      <c r="AK77" s="1"/>
    </row>
    <row r="78" spans="7:105" ht="12.75" customHeight="1" x14ac:dyDescent="0.2">
      <c r="AF78" s="2"/>
      <c r="AG78" s="1"/>
    </row>
    <row r="79" spans="7:105" x14ac:dyDescent="0.2">
      <c r="AF79" s="2"/>
      <c r="AG79" s="1"/>
      <c r="AH79" s="1"/>
      <c r="AI79" s="1"/>
      <c r="AJ79" s="1"/>
      <c r="AK79" s="1"/>
    </row>
    <row r="80" spans="7:105" x14ac:dyDescent="0.2">
      <c r="AF80" s="2"/>
      <c r="AG80" s="1"/>
      <c r="AH80" s="1"/>
      <c r="AI80" s="1"/>
      <c r="AJ80" s="1"/>
      <c r="AK80" s="1"/>
    </row>
    <row r="81" spans="32:37" x14ac:dyDescent="0.2">
      <c r="AF81" s="2"/>
      <c r="AG81" s="1"/>
      <c r="AH81" s="1"/>
      <c r="AI81" s="1"/>
      <c r="AJ81" s="1"/>
      <c r="AK81" s="1"/>
    </row>
    <row r="82" spans="32:37" x14ac:dyDescent="0.2">
      <c r="AF82" s="2"/>
      <c r="AG82" s="1"/>
      <c r="AH82" s="1"/>
      <c r="AI82" s="1"/>
      <c r="AJ82" s="1"/>
      <c r="AK82" s="1"/>
    </row>
    <row r="83" spans="32:37" x14ac:dyDescent="0.2">
      <c r="AF83" s="1"/>
      <c r="AG83" s="1"/>
    </row>
    <row r="84" spans="32:37" x14ac:dyDescent="0.2">
      <c r="AF84" s="1"/>
      <c r="AG84" s="1"/>
      <c r="AH84" s="1"/>
      <c r="AI84" s="1"/>
      <c r="AJ84" s="1"/>
      <c r="AK84" s="1"/>
    </row>
    <row r="85" spans="32:37" x14ac:dyDescent="0.2">
      <c r="AF85" s="1"/>
      <c r="AG85" s="1"/>
    </row>
    <row r="86" spans="32:37" x14ac:dyDescent="0.2">
      <c r="AH86" s="1"/>
      <c r="AI86" s="1"/>
      <c r="AJ86" s="1"/>
      <c r="AK86" s="1"/>
    </row>
  </sheetData>
  <sheetProtection algorithmName="SHA-512" hashValue="nB80wJ2iY5Rfp4M/MkauD5Olg+yz9fu6iod6gsqfQyx0TgZZ01rawyXcagwnOrIwuSk9rigKjEp0saD3lR+c9Q==" saltValue="1ZtqP4kBpPys2bWseciXaA==" spinCount="100000" sheet="1" objects="1" scenarios="1" formatColumns="0" formatRows="0"/>
  <mergeCells count="6">
    <mergeCell ref="CH34:CL37"/>
    <mergeCell ref="BK36:BO39"/>
    <mergeCell ref="AF43:AH45"/>
    <mergeCell ref="A13:C16"/>
    <mergeCell ref="A1:C1"/>
    <mergeCell ref="A4:C4"/>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Am-241 Default</vt:lpstr>
      <vt:lpstr>Cs-137+D Default</vt:lpstr>
      <vt:lpstr>Ra-226+D Default</vt:lpstr>
      <vt:lpstr>Rn-222+D Default</vt:lpstr>
      <vt:lpstr>AM-241 SS</vt:lpstr>
      <vt:lpstr>Cs-137+D SS</vt:lpstr>
      <vt:lpstr>Ra-226+D SS</vt:lpstr>
      <vt:lpstr>Rn-222+D SS</vt:lpstr>
      <vt:lpstr>PEF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Dolislager, Fredrick G.</dc:creator>
  <cp:lastModifiedBy>Manning, Karessa L.</cp:lastModifiedBy>
  <dcterms:created xsi:type="dcterms:W3CDTF">2014-05-12T17:24:56Z</dcterms:created>
  <dcterms:modified xsi:type="dcterms:W3CDTF">2019-06-17T19:19:29Z</dcterms:modified>
</cp:coreProperties>
</file>