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975" windowHeight="12555" activeTab="0"/>
  </bookViews>
  <sheets>
    <sheet name="Am-241" sheetId="1" r:id="rId1"/>
    <sheet name="Cs-137+D" sheetId="2" r:id="rId2"/>
    <sheet name="Ra-226" sheetId="3" r:id="rId3"/>
    <sheet name="Rn-222+D" sheetId="4" r:id="rId4"/>
  </sheets>
  <definedNames/>
  <calcPr fullCalcOnLoad="1"/>
</workbook>
</file>

<file path=xl/sharedStrings.xml><?xml version="1.0" encoding="utf-8"?>
<sst xmlns="http://schemas.openxmlformats.org/spreadsheetml/2006/main" count="4514" uniqueCount="262">
  <si>
    <t>TR</t>
  </si>
  <si>
    <t>EF</t>
  </si>
  <si>
    <t>ED</t>
  </si>
  <si>
    <t>ET</t>
  </si>
  <si>
    <t>ED c</t>
  </si>
  <si>
    <t>yr</t>
  </si>
  <si>
    <t>day/yr</t>
  </si>
  <si>
    <t>m^3/kg</t>
  </si>
  <si>
    <t>correct</t>
  </si>
  <si>
    <t>Resident</t>
  </si>
  <si>
    <t>air</t>
  </si>
  <si>
    <t>Worker</t>
  </si>
  <si>
    <t>tapwater</t>
  </si>
  <si>
    <t>soil</t>
  </si>
  <si>
    <t>days/year</t>
  </si>
  <si>
    <t>years</t>
  </si>
  <si>
    <t>SF oral</t>
  </si>
  <si>
    <t>(mg/kg-day)^-1</t>
  </si>
  <si>
    <t>IFW adj</t>
  </si>
  <si>
    <t>IRW c</t>
  </si>
  <si>
    <t>BW c</t>
  </si>
  <si>
    <t>ED r</t>
  </si>
  <si>
    <t>IRW a</t>
  </si>
  <si>
    <t>BW a</t>
  </si>
  <si>
    <t>K</t>
  </si>
  <si>
    <t>L/m^3</t>
  </si>
  <si>
    <t>IFS adj</t>
  </si>
  <si>
    <t>IRS c</t>
  </si>
  <si>
    <t>IRS a</t>
  </si>
  <si>
    <t>VF</t>
  </si>
  <si>
    <t>PEF</t>
  </si>
  <si>
    <t>ED w</t>
  </si>
  <si>
    <t>PRG</t>
  </si>
  <si>
    <t>PRG-ing</t>
  </si>
  <si>
    <t>PRG-inh</t>
  </si>
  <si>
    <r>
      <t>L/cm</t>
    </r>
    <r>
      <rPr>
        <vertAlign val="superscript"/>
        <sz val="10"/>
        <rFont val="Arial"/>
        <family val="2"/>
      </rPr>
      <t>3</t>
    </r>
  </si>
  <si>
    <t>ET c</t>
  </si>
  <si>
    <t>ET a</t>
  </si>
  <si>
    <t>hours/event</t>
  </si>
  <si>
    <t>EV c</t>
  </si>
  <si>
    <t>EV a</t>
  </si>
  <si>
    <t>events/day</t>
  </si>
  <si>
    <r>
      <t>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/L</t>
    </r>
  </si>
  <si>
    <t>ug/L</t>
  </si>
  <si>
    <t>fish</t>
  </si>
  <si>
    <t>IRF a</t>
  </si>
  <si>
    <t>mg/day</t>
  </si>
  <si>
    <t>hrs/day</t>
  </si>
  <si>
    <t>ET rs</t>
  </si>
  <si>
    <t>ET rw</t>
  </si>
  <si>
    <t>ET ra</t>
  </si>
  <si>
    <t>ET wa</t>
  </si>
  <si>
    <t>outdoor</t>
  </si>
  <si>
    <t>indoor</t>
  </si>
  <si>
    <t>hr/day</t>
  </si>
  <si>
    <t>farmer</t>
  </si>
  <si>
    <t>water</t>
  </si>
  <si>
    <t>L/kg</t>
  </si>
  <si>
    <t>Bv wet</t>
  </si>
  <si>
    <t>unitless</t>
  </si>
  <si>
    <t>t w</t>
  </si>
  <si>
    <t>L/day</t>
  </si>
  <si>
    <t>SF soil</t>
  </si>
  <si>
    <t>risk/pCi</t>
  </si>
  <si>
    <t>SF inh</t>
  </si>
  <si>
    <t>SF ext</t>
  </si>
  <si>
    <t>risk/yr per pCi/g</t>
  </si>
  <si>
    <t>pCi/g</t>
  </si>
  <si>
    <t>yrs</t>
  </si>
  <si>
    <t>lambda</t>
  </si>
  <si>
    <t>g/mg</t>
  </si>
  <si>
    <t>IFA adj</t>
  </si>
  <si>
    <t>IRA child</t>
  </si>
  <si>
    <t>IRA adult</t>
  </si>
  <si>
    <t>m3/day</t>
  </si>
  <si>
    <t>PRG-ext</t>
  </si>
  <si>
    <t>ETO</t>
  </si>
  <si>
    <t>ACF</t>
  </si>
  <si>
    <t>GSF</t>
  </si>
  <si>
    <t>days/yr</t>
  </si>
  <si>
    <t>decay</t>
  </si>
  <si>
    <t>Am-241</t>
  </si>
  <si>
    <t>t res</t>
  </si>
  <si>
    <t>g/kg</t>
  </si>
  <si>
    <t>resident</t>
  </si>
  <si>
    <t>indoor worker</t>
  </si>
  <si>
    <t>outdoor worker</t>
  </si>
  <si>
    <t>IR iw</t>
  </si>
  <si>
    <t>IRA iw</t>
  </si>
  <si>
    <t>IR ow</t>
  </si>
  <si>
    <t>EF ew</t>
  </si>
  <si>
    <t>EF ow</t>
  </si>
  <si>
    <t>EF iw</t>
  </si>
  <si>
    <t>pCi/m^3</t>
  </si>
  <si>
    <t>ED child</t>
  </si>
  <si>
    <t>ED adult</t>
  </si>
  <si>
    <t>surface</t>
  </si>
  <si>
    <t>pCi/L</t>
  </si>
  <si>
    <t>BCF</t>
  </si>
  <si>
    <t xml:space="preserve">FI </t>
  </si>
  <si>
    <t>fraction contaminated</t>
  </si>
  <si>
    <t>IRA ow</t>
  </si>
  <si>
    <t>outdor</t>
  </si>
  <si>
    <t>Ra-226</t>
  </si>
  <si>
    <t>Rn-222+D</t>
  </si>
  <si>
    <t>Cs-137+D</t>
  </si>
  <si>
    <t>IRA c</t>
  </si>
  <si>
    <t>IRA a</t>
  </si>
  <si>
    <t>SF sub</t>
  </si>
  <si>
    <t>risk/yer per pCi/m3</t>
  </si>
  <si>
    <t>no decay</t>
  </si>
  <si>
    <t>PRG-sub</t>
  </si>
  <si>
    <t>external</t>
  </si>
  <si>
    <t>soil volume</t>
  </si>
  <si>
    <t>15cm</t>
  </si>
  <si>
    <t>2-D</t>
  </si>
  <si>
    <t>PRG 1E-06</t>
  </si>
  <si>
    <t>t</t>
  </si>
  <si>
    <t>GSFi</t>
  </si>
  <si>
    <t>GSFo</t>
  </si>
  <si>
    <t>ET o</t>
  </si>
  <si>
    <t>(risk/yr per pCi/g)</t>
  </si>
  <si>
    <t>ET i</t>
  </si>
  <si>
    <t>1cm</t>
  </si>
  <si>
    <t>ground plane</t>
  </si>
  <si>
    <t>pCi/cm^2</t>
  </si>
  <si>
    <t>5cm</t>
  </si>
  <si>
    <t>hr/hr</t>
  </si>
  <si>
    <t>worker</t>
  </si>
  <si>
    <t xml:space="preserve">Kd = </t>
  </si>
  <si>
    <t xml:space="preserve">θw = </t>
  </si>
  <si>
    <t xml:space="preserve">ρb = </t>
  </si>
  <si>
    <t xml:space="preserve">t = </t>
  </si>
  <si>
    <t xml:space="preserve">dil factor = </t>
  </si>
  <si>
    <t>mcl based</t>
  </si>
  <si>
    <t>risk based</t>
  </si>
  <si>
    <t>Soil 2 gw</t>
  </si>
  <si>
    <t>partitioning</t>
  </si>
  <si>
    <t>mass balance</t>
  </si>
  <si>
    <t>I</t>
  </si>
  <si>
    <t>i</t>
  </si>
  <si>
    <t>d</t>
  </si>
  <si>
    <t>L</t>
  </si>
  <si>
    <t>d a</t>
  </si>
  <si>
    <t>d s</t>
  </si>
  <si>
    <t>m</t>
  </si>
  <si>
    <t>m/m</t>
  </si>
  <si>
    <t>m/yr</t>
  </si>
  <si>
    <t>θw</t>
  </si>
  <si>
    <t>ρb</t>
  </si>
  <si>
    <t xml:space="preserve">dil factor </t>
  </si>
  <si>
    <t>Kd</t>
  </si>
  <si>
    <t>MCL</t>
  </si>
  <si>
    <t>DCC-prod</t>
  </si>
  <si>
    <t>CPF res</t>
  </si>
  <si>
    <t>IFF r-adj</t>
  </si>
  <si>
    <t>IFV r-adj</t>
  </si>
  <si>
    <t>IRF r-c</t>
  </si>
  <si>
    <t>IRF r-a</t>
  </si>
  <si>
    <t>IRV r-c</t>
  </si>
  <si>
    <t>IRV r-a</t>
  </si>
  <si>
    <t>PRG-prod</t>
  </si>
  <si>
    <t>SF food</t>
  </si>
  <si>
    <t>CF</t>
  </si>
  <si>
    <t>day/hr</t>
  </si>
  <si>
    <t>composite worker</t>
  </si>
  <si>
    <t>ET w</t>
  </si>
  <si>
    <t>DCC</t>
  </si>
  <si>
    <t>Farmer</t>
  </si>
  <si>
    <t>EF f</t>
  </si>
  <si>
    <t>mrem/pCi</t>
  </si>
  <si>
    <t>IFS f-adj</t>
  </si>
  <si>
    <t>ED f</t>
  </si>
  <si>
    <t>ED f-c</t>
  </si>
  <si>
    <t>IRS f-c</t>
  </si>
  <si>
    <t>ED f-a</t>
  </si>
  <si>
    <t>IRS f-a</t>
  </si>
  <si>
    <t>IFA f-adj</t>
  </si>
  <si>
    <t>IRA f-c</t>
  </si>
  <si>
    <t>IRA f-a</t>
  </si>
  <si>
    <t>GSF i</t>
  </si>
  <si>
    <t>DCF ext</t>
  </si>
  <si>
    <t>mrem/yr per pCi/g</t>
  </si>
  <si>
    <t>DCF inh</t>
  </si>
  <si>
    <t>ET f-o</t>
  </si>
  <si>
    <t>ET f-i</t>
  </si>
  <si>
    <t>ET f</t>
  </si>
  <si>
    <t>t f</t>
  </si>
  <si>
    <t>DCC-ing</t>
  </si>
  <si>
    <t>DCC-inh</t>
  </si>
  <si>
    <t>DCC-ext</t>
  </si>
  <si>
    <t>DCC-fish</t>
  </si>
  <si>
    <t>DCC-beef</t>
  </si>
  <si>
    <t>DCC-milk</t>
  </si>
  <si>
    <t>DCC-swine</t>
  </si>
  <si>
    <t>DCC-poultry</t>
  </si>
  <si>
    <t>DCC-egg</t>
  </si>
  <si>
    <t>DF w</t>
  </si>
  <si>
    <t>As</t>
  </si>
  <si>
    <t>m^2</t>
  </si>
  <si>
    <t>Aw</t>
  </si>
  <si>
    <t>CPF f</t>
  </si>
  <si>
    <t>IFF f-adj</t>
  </si>
  <si>
    <t>IFV f-adj</t>
  </si>
  <si>
    <t>IRF f-c</t>
  </si>
  <si>
    <t>IRF f-a</t>
  </si>
  <si>
    <t>IRV f-c</t>
  </si>
  <si>
    <t>IRV f-a</t>
  </si>
  <si>
    <t>TF produce</t>
  </si>
  <si>
    <t>TF fodder</t>
  </si>
  <si>
    <t>IRFI f-c</t>
  </si>
  <si>
    <t>kg/yr</t>
  </si>
  <si>
    <t>IRFI f-a</t>
  </si>
  <si>
    <t>sigma</t>
  </si>
  <si>
    <t>S</t>
  </si>
  <si>
    <t>rho</t>
  </si>
  <si>
    <t>kg/L</t>
  </si>
  <si>
    <t>IFFI f-adj</t>
  </si>
  <si>
    <t>TF fish</t>
  </si>
  <si>
    <t>pCi/kg per pCi/L</t>
  </si>
  <si>
    <t>TF beef</t>
  </si>
  <si>
    <t>TF milk</t>
  </si>
  <si>
    <t>TF swine</t>
  </si>
  <si>
    <t>TF poultry</t>
  </si>
  <si>
    <t>TF egg</t>
  </si>
  <si>
    <t>day/kg</t>
  </si>
  <si>
    <t>IFE f-adj</t>
  </si>
  <si>
    <t>IFP f-adj</t>
  </si>
  <si>
    <t>IFB f-adj</t>
  </si>
  <si>
    <t>IFD f-adj</t>
  </si>
  <si>
    <t>IFSW f-adj</t>
  </si>
  <si>
    <t>IRE f-c</t>
  </si>
  <si>
    <t>IRE f-a</t>
  </si>
  <si>
    <t>IRP f-c</t>
  </si>
  <si>
    <t>IRP f-a</t>
  </si>
  <si>
    <t>IRB f-c</t>
  </si>
  <si>
    <t>IRB f-a</t>
  </si>
  <si>
    <t>IRD f-c</t>
  </si>
  <si>
    <t>IRD f-a</t>
  </si>
  <si>
    <t>IRSW f-c</t>
  </si>
  <si>
    <t>IRSW f-a</t>
  </si>
  <si>
    <t>FI po</t>
  </si>
  <si>
    <t>kg/day</t>
  </si>
  <si>
    <t>FI po-s</t>
  </si>
  <si>
    <t>FI beef-w</t>
  </si>
  <si>
    <t>FI beef</t>
  </si>
  <si>
    <t>FI beef-s</t>
  </si>
  <si>
    <t>FI dairy-w</t>
  </si>
  <si>
    <t>FI dairy</t>
  </si>
  <si>
    <t>FI dairy-s</t>
  </si>
  <si>
    <t>FI sw-w</t>
  </si>
  <si>
    <t>FI sw</t>
  </si>
  <si>
    <t>FI sw-s</t>
  </si>
  <si>
    <t>composite</t>
  </si>
  <si>
    <t xml:space="preserve">hr </t>
  </si>
  <si>
    <t>(mrem/yr per pCi/g)</t>
  </si>
  <si>
    <t>ED gw</t>
  </si>
  <si>
    <t>EF w</t>
  </si>
  <si>
    <t>IRA w</t>
  </si>
  <si>
    <t>DCC-sub</t>
  </si>
  <si>
    <t>IR w</t>
  </si>
  <si>
    <t>day.hr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</si>
</sst>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1" fontId="2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11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11" fontId="0" fillId="0" borderId="0" xfId="0" applyNumberFormat="1" applyFont="1" applyAlignment="1">
      <alignment/>
    </xf>
    <xf numFmtId="11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11" fontId="2" fillId="36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11" fontId="2" fillId="37" borderId="0" xfId="0" applyNumberFormat="1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6" fillId="38" borderId="0" xfId="0" applyFont="1" applyFill="1" applyAlignment="1">
      <alignment/>
    </xf>
    <xf numFmtId="1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1" fontId="0" fillId="0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2" fillId="39" borderId="0" xfId="0" applyFont="1" applyFill="1" applyAlignment="1">
      <alignment/>
    </xf>
    <xf numFmtId="11" fontId="2" fillId="39" borderId="0" xfId="0" applyNumberFormat="1" applyFont="1" applyFill="1" applyAlignment="1">
      <alignment/>
    </xf>
    <xf numFmtId="0" fontId="0" fillId="40" borderId="0" xfId="0" applyFill="1" applyAlignment="1">
      <alignment/>
    </xf>
    <xf numFmtId="0" fontId="0" fillId="38" borderId="0" xfId="0" applyFill="1" applyAlignment="1">
      <alignment/>
    </xf>
    <xf numFmtId="0" fontId="2" fillId="40" borderId="0" xfId="0" applyFont="1" applyFill="1" applyAlignment="1">
      <alignment/>
    </xf>
    <xf numFmtId="0" fontId="2" fillId="38" borderId="0" xfId="0" applyFont="1" applyFill="1" applyAlignment="1">
      <alignment/>
    </xf>
    <xf numFmtId="11" fontId="2" fillId="40" borderId="0" xfId="0" applyNumberFormat="1" applyFont="1" applyFill="1" applyAlignment="1">
      <alignment/>
    </xf>
    <xf numFmtId="11" fontId="2" fillId="38" borderId="0" xfId="0" applyNumberFormat="1" applyFont="1" applyFill="1" applyAlignment="1">
      <alignment/>
    </xf>
    <xf numFmtId="0" fontId="0" fillId="0" borderId="0" xfId="57">
      <alignment/>
      <protection/>
    </xf>
    <xf numFmtId="11" fontId="0" fillId="0" borderId="0" xfId="57" applyNumberFormat="1">
      <alignment/>
      <protection/>
    </xf>
    <xf numFmtId="0" fontId="0" fillId="0" borderId="0" xfId="57" applyFont="1">
      <alignment/>
      <protection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7" borderId="11" xfId="0" applyFont="1" applyFill="1" applyBorder="1" applyAlignment="1">
      <alignment/>
    </xf>
    <xf numFmtId="11" fontId="2" fillId="41" borderId="0" xfId="0" applyNumberFormat="1" applyFont="1" applyFill="1" applyAlignment="1">
      <alignment/>
    </xf>
    <xf numFmtId="0" fontId="0" fillId="0" borderId="0" xfId="60">
      <alignment/>
      <protection/>
    </xf>
    <xf numFmtId="11" fontId="0" fillId="0" borderId="0" xfId="60" applyNumberFormat="1">
      <alignment/>
      <protection/>
    </xf>
    <xf numFmtId="0" fontId="0" fillId="0" borderId="0" xfId="60" applyFont="1">
      <alignment/>
      <protection/>
    </xf>
    <xf numFmtId="0" fontId="0" fillId="35" borderId="0" xfId="60" applyFill="1">
      <alignment/>
      <protection/>
    </xf>
    <xf numFmtId="11" fontId="2" fillId="35" borderId="0" xfId="60" applyNumberFormat="1" applyFont="1" applyFill="1">
      <alignment/>
      <protection/>
    </xf>
    <xf numFmtId="0" fontId="2" fillId="35" borderId="0" xfId="60" applyFont="1" applyFill="1">
      <alignment/>
      <protection/>
    </xf>
    <xf numFmtId="11" fontId="0" fillId="0" borderId="0" xfId="60" applyNumberFormat="1" applyFont="1">
      <alignment/>
      <protection/>
    </xf>
    <xf numFmtId="0" fontId="0" fillId="0" borderId="0" xfId="60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NumberFormat="1">
      <alignment/>
      <protection/>
    </xf>
    <xf numFmtId="0" fontId="0" fillId="0" borderId="0" xfId="60" applyNumberFormat="1" applyFill="1">
      <alignment/>
      <protection/>
    </xf>
    <xf numFmtId="0" fontId="0" fillId="0" borderId="0" xfId="60" applyNumberFormat="1" applyFont="1">
      <alignment/>
      <protection/>
    </xf>
    <xf numFmtId="0" fontId="0" fillId="35" borderId="0" xfId="60" applyFont="1" applyFill="1">
      <alignment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35" borderId="0" xfId="61" applyFill="1">
      <alignment/>
      <protection/>
    </xf>
    <xf numFmtId="11" fontId="2" fillId="35" borderId="0" xfId="61" applyNumberFormat="1" applyFont="1" applyFill="1">
      <alignment/>
      <protection/>
    </xf>
    <xf numFmtId="0" fontId="2" fillId="35" borderId="0" xfId="61" applyFont="1" applyFill="1">
      <alignment/>
      <protection/>
    </xf>
    <xf numFmtId="11" fontId="0" fillId="0" borderId="0" xfId="61" applyNumberFormat="1" applyFont="1">
      <alignment/>
      <protection/>
    </xf>
    <xf numFmtId="0" fontId="0" fillId="0" borderId="0" xfId="61" applyFill="1">
      <alignment/>
      <protection/>
    </xf>
    <xf numFmtId="0" fontId="2" fillId="0" borderId="0" xfId="61" applyFont="1">
      <alignment/>
      <protection/>
    </xf>
    <xf numFmtId="2" fontId="0" fillId="0" borderId="0" xfId="61" applyNumberFormat="1" applyFont="1">
      <alignment/>
      <protection/>
    </xf>
    <xf numFmtId="0" fontId="0" fillId="17" borderId="0" xfId="61" applyFill="1">
      <alignment/>
      <protection/>
    </xf>
    <xf numFmtId="0" fontId="0" fillId="17" borderId="0" xfId="61" applyFont="1" applyFill="1">
      <alignment/>
      <protection/>
    </xf>
    <xf numFmtId="0" fontId="2" fillId="17" borderId="0" xfId="61" applyFont="1" applyFill="1">
      <alignment/>
      <protection/>
    </xf>
    <xf numFmtId="11" fontId="2" fillId="17" borderId="0" xfId="61" applyNumberFormat="1" applyFont="1" applyFill="1">
      <alignment/>
      <protection/>
    </xf>
    <xf numFmtId="0" fontId="0" fillId="0" borderId="0" xfId="62">
      <alignment/>
      <protection/>
    </xf>
    <xf numFmtId="11" fontId="0" fillId="0" borderId="0" xfId="62" applyNumberFormat="1">
      <alignment/>
      <protection/>
    </xf>
    <xf numFmtId="0" fontId="0" fillId="0" borderId="0" xfId="62" applyFont="1">
      <alignment/>
      <protection/>
    </xf>
    <xf numFmtId="0" fontId="0" fillId="34" borderId="0" xfId="62" applyFill="1">
      <alignment/>
      <protection/>
    </xf>
    <xf numFmtId="0" fontId="2" fillId="34" borderId="0" xfId="62" applyFont="1" applyFill="1">
      <alignment/>
      <protection/>
    </xf>
    <xf numFmtId="0" fontId="0" fillId="34" borderId="0" xfId="62" applyFont="1" applyFill="1">
      <alignment/>
      <protection/>
    </xf>
    <xf numFmtId="0" fontId="0" fillId="0" borderId="0" xfId="62" applyFill="1">
      <alignment/>
      <protection/>
    </xf>
    <xf numFmtId="0" fontId="0" fillId="0" borderId="0" xfId="62" applyFont="1" applyFill="1">
      <alignment/>
      <protection/>
    </xf>
    <xf numFmtId="0" fontId="0" fillId="0" borderId="0" xfId="62" applyNumberFormat="1" applyFont="1">
      <alignment/>
      <protection/>
    </xf>
    <xf numFmtId="11" fontId="2" fillId="17" borderId="0" xfId="0" applyNumberFormat="1" applyFont="1" applyFill="1" applyAlignment="1">
      <alignment/>
    </xf>
    <xf numFmtId="11" fontId="2" fillId="35" borderId="0" xfId="63" applyNumberFormat="1" applyFont="1" applyFill="1">
      <alignment/>
      <protection/>
    </xf>
    <xf numFmtId="0" fontId="0" fillId="38" borderId="0" xfId="0" applyFont="1" applyFill="1" applyAlignment="1">
      <alignment/>
    </xf>
    <xf numFmtId="0" fontId="41" fillId="41" borderId="0" xfId="60" applyFont="1" applyFill="1">
      <alignment/>
      <protection/>
    </xf>
    <xf numFmtId="0" fontId="41" fillId="41" borderId="0" xfId="0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bestFit="1" customWidth="1"/>
    <col min="2" max="2" width="11.00390625" style="0" bestFit="1" customWidth="1"/>
    <col min="3" max="3" width="19.00390625" style="0" bestFit="1" customWidth="1"/>
    <col min="4" max="4" width="8.57421875" style="0" bestFit="1" customWidth="1"/>
    <col min="5" max="5" width="9.7109375" style="0" bestFit="1" customWidth="1"/>
    <col min="6" max="6" width="16.8515625" style="0" bestFit="1" customWidth="1"/>
    <col min="7" max="7" width="8.28125" style="0" bestFit="1" customWidth="1"/>
    <col min="8" max="8" width="8.421875" style="0" bestFit="1" customWidth="1"/>
    <col min="9" max="9" width="10.421875" style="0" bestFit="1" customWidth="1"/>
    <col min="10" max="10" width="8.57421875" style="0" bestFit="1" customWidth="1"/>
    <col min="11" max="11" width="12.00390625" style="0" bestFit="1" customWidth="1"/>
    <col min="12" max="12" width="14.28125" style="0" bestFit="1" customWidth="1"/>
    <col min="13" max="13" width="8.140625" style="0" bestFit="1" customWidth="1"/>
    <col min="14" max="14" width="13.8515625" style="0" bestFit="1" customWidth="1"/>
    <col min="15" max="15" width="14.28125" style="0" bestFit="1" customWidth="1"/>
    <col min="16" max="16" width="8.140625" style="0" bestFit="1" customWidth="1"/>
    <col min="17" max="17" width="15.00390625" style="0" bestFit="1" customWidth="1"/>
    <col min="18" max="18" width="14.28125" style="0" bestFit="1" customWidth="1"/>
    <col min="19" max="19" width="8.140625" style="0" bestFit="1" customWidth="1"/>
    <col min="20" max="20" width="17.421875" style="0" bestFit="1" customWidth="1"/>
    <col min="21" max="21" width="14.28125" style="0" bestFit="1" customWidth="1"/>
    <col min="22" max="22" width="11.00390625" style="0" bestFit="1" customWidth="1"/>
    <col min="23" max="23" width="12.00390625" style="0" bestFit="1" customWidth="1"/>
    <col min="24" max="24" width="16.00390625" style="0" bestFit="1" customWidth="1"/>
    <col min="25" max="25" width="10.421875" style="0" bestFit="1" customWidth="1"/>
    <col min="26" max="26" width="10.140625" style="0" bestFit="1" customWidth="1"/>
    <col min="27" max="27" width="15.421875" style="0" bestFit="1" customWidth="1"/>
    <col min="28" max="28" width="10.421875" style="0" bestFit="1" customWidth="1"/>
    <col min="29" max="29" width="11.57421875" style="0" bestFit="1" customWidth="1"/>
    <col min="30" max="30" width="15.421875" style="0" bestFit="1" customWidth="1"/>
    <col min="31" max="31" width="10.421875" style="0" bestFit="1" customWidth="1"/>
    <col min="32" max="32" width="10.140625" style="0" bestFit="1" customWidth="1"/>
    <col min="33" max="33" width="15.421875" style="0" bestFit="1" customWidth="1"/>
    <col min="34" max="34" width="10.421875" style="0" bestFit="1" customWidth="1"/>
    <col min="35" max="35" width="11.57421875" style="0" bestFit="1" customWidth="1"/>
    <col min="36" max="36" width="15.421875" style="0" bestFit="1" customWidth="1"/>
    <col min="37" max="37" width="10.421875" style="0" bestFit="1" customWidth="1"/>
    <col min="38" max="38" width="10.140625" style="0" bestFit="1" customWidth="1"/>
    <col min="39" max="39" width="15.421875" style="0" bestFit="1" customWidth="1"/>
    <col min="40" max="40" width="10.421875" style="0" bestFit="1" customWidth="1"/>
    <col min="41" max="41" width="11.57421875" style="0" bestFit="1" customWidth="1"/>
    <col min="42" max="42" width="15.421875" style="0" bestFit="1" customWidth="1"/>
    <col min="43" max="43" width="9.57421875" style="0" bestFit="1" customWidth="1"/>
    <col min="44" max="44" width="10.140625" style="0" bestFit="1" customWidth="1"/>
    <col min="45" max="45" width="17.28125" style="0" bestFit="1" customWidth="1"/>
    <col min="46" max="46" width="9.57421875" style="0" bestFit="1" customWidth="1"/>
    <col min="47" max="47" width="11.57421875" style="0" bestFit="1" customWidth="1"/>
    <col min="48" max="48" width="17.28125" style="0" bestFit="1" customWidth="1"/>
    <col min="49" max="49" width="10.28125" style="0" bestFit="1" customWidth="1"/>
    <col min="50" max="50" width="9.00390625" style="0" bestFit="1" customWidth="1"/>
    <col min="51" max="51" width="12.57421875" style="0" bestFit="1" customWidth="1"/>
  </cols>
  <sheetData>
    <row r="1" spans="1:51" ht="12.75">
      <c r="A1" s="12" t="s">
        <v>9</v>
      </c>
      <c r="B1" s="12"/>
      <c r="C1" s="12" t="s">
        <v>81</v>
      </c>
      <c r="D1" s="13" t="s">
        <v>11</v>
      </c>
      <c r="E1" s="4" t="s">
        <v>52</v>
      </c>
      <c r="F1" s="4" t="s">
        <v>81</v>
      </c>
      <c r="G1" s="15" t="s">
        <v>9</v>
      </c>
      <c r="H1" s="15"/>
      <c r="I1" s="15" t="s">
        <v>81</v>
      </c>
      <c r="J1" s="7" t="s">
        <v>9</v>
      </c>
      <c r="K1" s="7"/>
      <c r="L1" s="7" t="s">
        <v>81</v>
      </c>
      <c r="M1" s="22" t="s">
        <v>11</v>
      </c>
      <c r="N1" s="23" t="s">
        <v>53</v>
      </c>
      <c r="O1" s="24" t="s">
        <v>81</v>
      </c>
      <c r="P1" s="22" t="s">
        <v>11</v>
      </c>
      <c r="Q1" s="23" t="s">
        <v>102</v>
      </c>
      <c r="R1" s="24" t="s">
        <v>81</v>
      </c>
      <c r="S1" s="22" t="s">
        <v>11</v>
      </c>
      <c r="T1" s="49" t="s">
        <v>165</v>
      </c>
      <c r="U1" s="24" t="s">
        <v>81</v>
      </c>
      <c r="V1" s="63" t="s">
        <v>55</v>
      </c>
      <c r="W1" s="54"/>
      <c r="X1" s="54" t="s">
        <v>81</v>
      </c>
      <c r="Y1" s="34" t="s">
        <v>112</v>
      </c>
      <c r="Z1" s="34" t="s">
        <v>113</v>
      </c>
      <c r="AA1" s="34" t="s">
        <v>81</v>
      </c>
      <c r="AB1" s="34" t="s">
        <v>112</v>
      </c>
      <c r="AC1" s="34" t="s">
        <v>114</v>
      </c>
      <c r="AD1" s="34" t="s">
        <v>81</v>
      </c>
      <c r="AE1" s="37" t="s">
        <v>112</v>
      </c>
      <c r="AF1" s="37" t="s">
        <v>113</v>
      </c>
      <c r="AG1" s="37" t="s">
        <v>81</v>
      </c>
      <c r="AH1" s="37" t="s">
        <v>112</v>
      </c>
      <c r="AI1" s="37" t="s">
        <v>114</v>
      </c>
      <c r="AJ1" s="37" t="s">
        <v>81</v>
      </c>
      <c r="AK1" s="38" t="s">
        <v>112</v>
      </c>
      <c r="AL1" s="38" t="s">
        <v>113</v>
      </c>
      <c r="AM1" s="88" t="s">
        <v>81</v>
      </c>
      <c r="AN1" s="38" t="s">
        <v>112</v>
      </c>
      <c r="AO1" s="38" t="s">
        <v>114</v>
      </c>
      <c r="AP1" s="38" t="s">
        <v>81</v>
      </c>
      <c r="AQ1" s="73" t="s">
        <v>112</v>
      </c>
      <c r="AR1" s="73" t="s">
        <v>113</v>
      </c>
      <c r="AS1" s="73" t="s">
        <v>81</v>
      </c>
      <c r="AT1" s="73" t="s">
        <v>112</v>
      </c>
      <c r="AU1" s="73" t="s">
        <v>114</v>
      </c>
      <c r="AV1" s="73" t="s">
        <v>81</v>
      </c>
      <c r="AW1" s="66" t="s">
        <v>32</v>
      </c>
      <c r="AX1" s="66" t="s">
        <v>81</v>
      </c>
      <c r="AY1" s="66" t="s">
        <v>137</v>
      </c>
    </row>
    <row r="2" spans="1:51" ht="12.75">
      <c r="A2" s="12" t="s">
        <v>10</v>
      </c>
      <c r="B2" s="12" t="s">
        <v>32</v>
      </c>
      <c r="C2" s="12" t="s">
        <v>93</v>
      </c>
      <c r="D2" s="4" t="s">
        <v>10</v>
      </c>
      <c r="E2" s="4" t="s">
        <v>32</v>
      </c>
      <c r="F2" s="4" t="s">
        <v>93</v>
      </c>
      <c r="G2" s="15" t="s">
        <v>12</v>
      </c>
      <c r="H2" s="15" t="s">
        <v>32</v>
      </c>
      <c r="I2" s="15" t="s">
        <v>43</v>
      </c>
      <c r="J2" s="7" t="s">
        <v>13</v>
      </c>
      <c r="K2" s="7" t="s">
        <v>32</v>
      </c>
      <c r="L2" s="7" t="s">
        <v>67</v>
      </c>
      <c r="M2" s="25" t="s">
        <v>13</v>
      </c>
      <c r="N2" s="26" t="s">
        <v>32</v>
      </c>
      <c r="O2" s="27" t="s">
        <v>67</v>
      </c>
      <c r="P2" s="25" t="s">
        <v>13</v>
      </c>
      <c r="Q2" s="26" t="s">
        <v>32</v>
      </c>
      <c r="R2" s="27" t="s">
        <v>67</v>
      </c>
      <c r="S2" s="25" t="s">
        <v>13</v>
      </c>
      <c r="T2" s="26" t="s">
        <v>32</v>
      </c>
      <c r="U2" s="27" t="s">
        <v>67</v>
      </c>
      <c r="V2" s="54" t="s">
        <v>13</v>
      </c>
      <c r="W2" s="54" t="s">
        <v>167</v>
      </c>
      <c r="X2" s="54" t="s">
        <v>67</v>
      </c>
      <c r="Y2" s="36"/>
      <c r="Z2" s="34" t="s">
        <v>84</v>
      </c>
      <c r="AA2" s="35" t="s">
        <v>67</v>
      </c>
      <c r="AB2" s="36"/>
      <c r="AC2" s="34" t="s">
        <v>84</v>
      </c>
      <c r="AD2" s="35" t="s">
        <v>67</v>
      </c>
      <c r="AE2" s="37" t="s">
        <v>53</v>
      </c>
      <c r="AF2" s="37" t="s">
        <v>128</v>
      </c>
      <c r="AG2" s="39" t="s">
        <v>67</v>
      </c>
      <c r="AH2" s="37" t="s">
        <v>53</v>
      </c>
      <c r="AI2" s="37" t="s">
        <v>128</v>
      </c>
      <c r="AJ2" s="39" t="s">
        <v>67</v>
      </c>
      <c r="AK2" s="38" t="s">
        <v>52</v>
      </c>
      <c r="AL2" s="38" t="s">
        <v>128</v>
      </c>
      <c r="AM2" s="40" t="s">
        <v>67</v>
      </c>
      <c r="AN2" s="38" t="s">
        <v>52</v>
      </c>
      <c r="AO2" s="38" t="s">
        <v>128</v>
      </c>
      <c r="AP2" s="40" t="s">
        <v>67</v>
      </c>
      <c r="AQ2" s="74" t="s">
        <v>253</v>
      </c>
      <c r="AR2" s="73" t="s">
        <v>128</v>
      </c>
      <c r="AS2" s="75" t="s">
        <v>67</v>
      </c>
      <c r="AT2" s="74" t="s">
        <v>253</v>
      </c>
      <c r="AU2" s="73" t="s">
        <v>128</v>
      </c>
      <c r="AV2" s="75" t="s">
        <v>67</v>
      </c>
      <c r="AW2" s="66" t="s">
        <v>67</v>
      </c>
      <c r="AX2" s="66" t="s">
        <v>84</v>
      </c>
      <c r="AY2" s="66" t="s">
        <v>136</v>
      </c>
    </row>
    <row r="3" spans="1:51" ht="12.75">
      <c r="A3" s="12" t="s">
        <v>110</v>
      </c>
      <c r="B3" s="11">
        <f>1/((1/B19)+(1/B20))</f>
        <v>0.00018829194367612546</v>
      </c>
      <c r="C3" s="3" t="s">
        <v>8</v>
      </c>
      <c r="D3" s="4" t="s">
        <v>80</v>
      </c>
      <c r="E3" s="6">
        <f>1/((1/E17)+(1/E18))</f>
        <v>0.00032269932240984277</v>
      </c>
      <c r="F3" s="5" t="s">
        <v>8</v>
      </c>
      <c r="G3" s="15"/>
      <c r="H3" s="16">
        <f>1/(1/H24)</f>
        <v>0.5087505087505086</v>
      </c>
      <c r="I3" s="14" t="s">
        <v>8</v>
      </c>
      <c r="J3" s="7"/>
      <c r="K3" s="8">
        <f>1/((1/K40)+(1/K41)+(1/K42)+(1/K43))</f>
        <v>1.8016319932309464</v>
      </c>
      <c r="L3" s="9" t="s">
        <v>8</v>
      </c>
      <c r="M3" s="25"/>
      <c r="N3" s="28">
        <f>1/((1/N25)+(1/N26)+(1/N27))</f>
        <v>11.109121883960135</v>
      </c>
      <c r="O3" s="29" t="s">
        <v>8</v>
      </c>
      <c r="P3" s="25"/>
      <c r="Q3" s="28">
        <f>1/((1/Q25)+(1/Q26)+(1/Q27))</f>
        <v>5.35980120033836</v>
      </c>
      <c r="R3" s="29" t="s">
        <v>8</v>
      </c>
      <c r="S3" s="25"/>
      <c r="T3" s="28">
        <f>1/((1/T25)+(1/T26)+(1/T27))</f>
        <v>4.823821080304524</v>
      </c>
      <c r="U3" s="29" t="s">
        <v>8</v>
      </c>
      <c r="V3" s="54"/>
      <c r="W3" s="55">
        <f>1/((1/W40)+(1/W41)+(1/W42)+(1/W43)+(1/W44)+(1/W45)+(1/W46)+(1/W47)+(1/W48)+(1/W49))</f>
        <v>0.013681301917237114</v>
      </c>
      <c r="X3" s="56" t="s">
        <v>8</v>
      </c>
      <c r="Y3" s="34" t="s">
        <v>116</v>
      </c>
      <c r="Z3" s="36">
        <f>(Z5*Z6*Z7)/((1-EXP(-Z7*Z6))*Z9*Z14*(Z8/365)*Z12*((Z13)+(Z15*Z10)))</f>
        <v>3.861192754194321</v>
      </c>
      <c r="AA3" s="35" t="s">
        <v>8</v>
      </c>
      <c r="AB3" s="34" t="s">
        <v>116</v>
      </c>
      <c r="AC3" s="36">
        <f>(AC5*AC6*AC7)/((1-EXP(-AC7*AC6))*AC9*AC14*(AC8/365)*AC12*((AC13)+(AC15*AC10)))</f>
        <v>3.861192754194321</v>
      </c>
      <c r="AD3" s="35" t="s">
        <v>8</v>
      </c>
      <c r="AE3" s="37" t="s">
        <v>116</v>
      </c>
      <c r="AF3" s="41">
        <f>(AF5*AF6*AF7)/((1-EXP(-AF7*AF6))*AF9*AF14*(AF8/365)*AF12*(AF15/24)*AF10)</f>
        <v>16.776240836627082</v>
      </c>
      <c r="AG3" s="39" t="s">
        <v>8</v>
      </c>
      <c r="AH3" s="37" t="s">
        <v>116</v>
      </c>
      <c r="AI3" s="41">
        <f>(AI5*AI6*AI7)/((1-EXP(-AI7*AI6))*AI9*AI14*(AI8/365)*AI12*(AI15/24)*AI10)</f>
        <v>16.776240836627082</v>
      </c>
      <c r="AJ3" s="39" t="s">
        <v>8</v>
      </c>
      <c r="AK3" s="38" t="s">
        <v>116</v>
      </c>
      <c r="AL3" s="50">
        <f>(AL5*AL6*AL7)/((1-EXP(-AL7*AL6))*AL9*AL14*(AL8/365)*AL12*(AL15/24)*AL11)</f>
        <v>7.4561070385009245</v>
      </c>
      <c r="AM3" s="40" t="s">
        <v>8</v>
      </c>
      <c r="AN3" s="38" t="s">
        <v>116</v>
      </c>
      <c r="AO3" s="50">
        <f>(AO5*AO6*AO7)/((1-EXP(-AO7*AO6))*AO9*AO14*(AO8/365)*AO12*(AO15/24)*AO11)</f>
        <v>7.4561070385009245</v>
      </c>
      <c r="AP3" s="40" t="s">
        <v>8</v>
      </c>
      <c r="AQ3" s="73"/>
      <c r="AR3" s="86">
        <f>(AR5*AR6*AR7)/((1-EXP(-AR7*AR6))*AR9*AR14*(AR8/365)*AR12*(AR15/24)*AR11)</f>
        <v>6.710496334650834</v>
      </c>
      <c r="AS3" s="75" t="s">
        <v>8</v>
      </c>
      <c r="AT3" s="73"/>
      <c r="AU3" s="86">
        <f>(AU5*AU6*AU7)/((1-EXP(-AU7*AU6))*AU9*AU14*(AU8/365)*AU12*(AU15/24)*AU11)</f>
        <v>6.710496334650834</v>
      </c>
      <c r="AV3" s="75" t="s">
        <v>8</v>
      </c>
      <c r="AW3" s="67">
        <f>(AX5*AX11*0.001*(AX12+(AX8/AX9)))*((AX10*AX7)/(1-EXP(-AX7*AX10)))</f>
        <v>2.580963821421562</v>
      </c>
      <c r="AX3" s="68" t="s">
        <v>8</v>
      </c>
      <c r="AY3" s="66" t="s">
        <v>134</v>
      </c>
    </row>
    <row r="4" spans="1:51" ht="12.75">
      <c r="A4" s="12" t="s">
        <v>80</v>
      </c>
      <c r="B4" s="11">
        <f>1/((1/B21)+(1/B22))</f>
        <v>0.00019284710098937556</v>
      </c>
      <c r="C4" s="3" t="s">
        <v>8</v>
      </c>
      <c r="D4" s="4" t="s">
        <v>110</v>
      </c>
      <c r="E4" s="6">
        <f>1/((1/E15)+(1/E16))</f>
        <v>0.00031633053542138055</v>
      </c>
      <c r="F4" s="5" t="s">
        <v>8</v>
      </c>
      <c r="G4" s="15"/>
      <c r="H4" s="16"/>
      <c r="I4" s="14"/>
      <c r="J4" s="7" t="s">
        <v>81</v>
      </c>
      <c r="K4" s="8" t="s">
        <v>84</v>
      </c>
      <c r="L4" s="9"/>
      <c r="M4" s="25" t="s">
        <v>81</v>
      </c>
      <c r="N4" s="28" t="s">
        <v>85</v>
      </c>
      <c r="O4" s="29"/>
      <c r="P4" s="25" t="s">
        <v>81</v>
      </c>
      <c r="Q4" s="28" t="s">
        <v>86</v>
      </c>
      <c r="R4" s="29"/>
      <c r="S4" s="25" t="s">
        <v>81</v>
      </c>
      <c r="T4" s="28" t="s">
        <v>165</v>
      </c>
      <c r="U4" s="29"/>
      <c r="V4" s="54" t="s">
        <v>81</v>
      </c>
      <c r="W4" s="55" t="s">
        <v>168</v>
      </c>
      <c r="X4" s="56"/>
      <c r="Y4" s="34" t="s">
        <v>115</v>
      </c>
      <c r="Z4" s="36"/>
      <c r="AA4" s="35"/>
      <c r="AB4" s="34" t="s">
        <v>115</v>
      </c>
      <c r="AC4" s="36"/>
      <c r="AD4" s="35"/>
      <c r="AE4" s="37" t="s">
        <v>115</v>
      </c>
      <c r="AF4" s="41"/>
      <c r="AG4" s="39"/>
      <c r="AH4" s="37" t="s">
        <v>115</v>
      </c>
      <c r="AI4" s="41"/>
      <c r="AJ4" s="39"/>
      <c r="AK4" s="38" t="s">
        <v>115</v>
      </c>
      <c r="AL4" s="42"/>
      <c r="AM4" s="40"/>
      <c r="AN4" s="38" t="s">
        <v>115</v>
      </c>
      <c r="AO4" s="42"/>
      <c r="AP4" s="40"/>
      <c r="AQ4" s="73" t="s">
        <v>115</v>
      </c>
      <c r="AR4" s="76"/>
      <c r="AS4" s="75"/>
      <c r="AT4" s="73" t="s">
        <v>115</v>
      </c>
      <c r="AU4" s="76"/>
      <c r="AV4" s="75"/>
      <c r="AW4" s="67">
        <f>(AX6*AX11*10^-3*(AX12+(AX8/AX9)))*((AX10*AX7)/(1-EXP(-AX7*AX10)))</f>
        <v>0.08753777714765845</v>
      </c>
      <c r="AX4" s="68" t="s">
        <v>8</v>
      </c>
      <c r="AY4" s="66" t="s">
        <v>135</v>
      </c>
    </row>
    <row r="5" spans="1:51" ht="12.75">
      <c r="A5" t="s">
        <v>0</v>
      </c>
      <c r="B5" s="1">
        <v>1E-06</v>
      </c>
      <c r="D5" t="s">
        <v>0</v>
      </c>
      <c r="E5" s="1">
        <v>1E-06</v>
      </c>
      <c r="G5" s="18" t="s">
        <v>0</v>
      </c>
      <c r="H5" s="1">
        <v>1E-06</v>
      </c>
      <c r="J5" s="18" t="s">
        <v>0</v>
      </c>
      <c r="K5" s="1">
        <v>1E-06</v>
      </c>
      <c r="M5" s="18" t="s">
        <v>0</v>
      </c>
      <c r="N5" s="1">
        <v>1E-06</v>
      </c>
      <c r="P5" s="18" t="s">
        <v>0</v>
      </c>
      <c r="Q5" s="1">
        <v>1E-06</v>
      </c>
      <c r="S5" s="18" t="s">
        <v>0</v>
      </c>
      <c r="T5" s="1">
        <v>1E-06</v>
      </c>
      <c r="V5" s="18" t="s">
        <v>0</v>
      </c>
      <c r="W5" s="1">
        <v>1E-06</v>
      </c>
      <c r="X5" s="51"/>
      <c r="Y5" t="s">
        <v>0</v>
      </c>
      <c r="Z5" s="1">
        <v>1E-06</v>
      </c>
      <c r="AB5" t="s">
        <v>0</v>
      </c>
      <c r="AC5" s="1">
        <v>1E-06</v>
      </c>
      <c r="AE5" t="s">
        <v>0</v>
      </c>
      <c r="AF5" s="1">
        <v>1E-06</v>
      </c>
      <c r="AH5" t="s">
        <v>0</v>
      </c>
      <c r="AI5" s="1">
        <v>1E-06</v>
      </c>
      <c r="AK5" t="s">
        <v>0</v>
      </c>
      <c r="AL5" s="1">
        <v>1E-06</v>
      </c>
      <c r="AN5" t="s">
        <v>0</v>
      </c>
      <c r="AO5" s="1">
        <v>1E-06</v>
      </c>
      <c r="AQ5" t="s">
        <v>0</v>
      </c>
      <c r="AR5" s="1">
        <v>1E-06</v>
      </c>
      <c r="AT5" t="s">
        <v>0</v>
      </c>
      <c r="AU5" s="1">
        <v>1E-06</v>
      </c>
      <c r="AW5" s="71" t="s">
        <v>152</v>
      </c>
      <c r="AX5" s="65">
        <v>15</v>
      </c>
      <c r="AY5" s="70" t="s">
        <v>97</v>
      </c>
    </row>
    <row r="6" spans="1:51" ht="12.75">
      <c r="A6" s="18" t="s">
        <v>69</v>
      </c>
      <c r="B6" s="1">
        <v>0.0016</v>
      </c>
      <c r="D6" s="18" t="s">
        <v>69</v>
      </c>
      <c r="E6" s="1">
        <v>0.0016</v>
      </c>
      <c r="G6" s="18" t="s">
        <v>1</v>
      </c>
      <c r="H6" s="21">
        <v>350</v>
      </c>
      <c r="I6" s="18" t="s">
        <v>14</v>
      </c>
      <c r="J6" s="17"/>
      <c r="K6" s="19">
        <v>1000</v>
      </c>
      <c r="L6" t="s">
        <v>70</v>
      </c>
      <c r="M6" s="17"/>
      <c r="N6" s="19">
        <v>1000</v>
      </c>
      <c r="O6" t="s">
        <v>70</v>
      </c>
      <c r="P6" s="17"/>
      <c r="Q6" s="19">
        <v>1000</v>
      </c>
      <c r="R6" t="s">
        <v>70</v>
      </c>
      <c r="S6" s="17"/>
      <c r="T6" s="19">
        <v>1000</v>
      </c>
      <c r="U6" t="s">
        <v>70</v>
      </c>
      <c r="V6" s="58"/>
      <c r="W6" s="60">
        <f>1/1000</f>
        <v>0.001</v>
      </c>
      <c r="X6" s="51" t="s">
        <v>70</v>
      </c>
      <c r="Y6" t="s">
        <v>117</v>
      </c>
      <c r="Z6">
        <v>30</v>
      </c>
      <c r="AA6" t="s">
        <v>5</v>
      </c>
      <c r="AB6" t="s">
        <v>117</v>
      </c>
      <c r="AC6">
        <v>30</v>
      </c>
      <c r="AD6" t="s">
        <v>5</v>
      </c>
      <c r="AE6" t="s">
        <v>117</v>
      </c>
      <c r="AF6">
        <v>25</v>
      </c>
      <c r="AG6" t="s">
        <v>5</v>
      </c>
      <c r="AH6" t="s">
        <v>117</v>
      </c>
      <c r="AI6">
        <v>25</v>
      </c>
      <c r="AJ6" t="s">
        <v>5</v>
      </c>
      <c r="AK6" t="s">
        <v>117</v>
      </c>
      <c r="AL6">
        <v>25</v>
      </c>
      <c r="AM6" t="s">
        <v>5</v>
      </c>
      <c r="AN6" t="s">
        <v>117</v>
      </c>
      <c r="AO6">
        <v>25</v>
      </c>
      <c r="AP6" t="s">
        <v>5</v>
      </c>
      <c r="AQ6" t="s">
        <v>117</v>
      </c>
      <c r="AR6">
        <v>25</v>
      </c>
      <c r="AS6" t="s">
        <v>5</v>
      </c>
      <c r="AT6" t="s">
        <v>117</v>
      </c>
      <c r="AU6">
        <v>25</v>
      </c>
      <c r="AV6" t="s">
        <v>5</v>
      </c>
      <c r="AW6" s="65" t="s">
        <v>32</v>
      </c>
      <c r="AX6" s="69">
        <f>H3</f>
        <v>0.5087505087505086</v>
      </c>
      <c r="AY6" s="70" t="s">
        <v>97</v>
      </c>
    </row>
    <row r="7" spans="1:51" ht="12.75">
      <c r="A7" t="s">
        <v>1</v>
      </c>
      <c r="B7">
        <v>350</v>
      </c>
      <c r="C7" t="s">
        <v>6</v>
      </c>
      <c r="D7" t="s">
        <v>1</v>
      </c>
      <c r="E7">
        <v>225</v>
      </c>
      <c r="F7" t="s">
        <v>6</v>
      </c>
      <c r="G7" s="18" t="s">
        <v>16</v>
      </c>
      <c r="H7" s="1">
        <v>1.04E-10</v>
      </c>
      <c r="I7" s="18" t="s">
        <v>63</v>
      </c>
      <c r="J7" s="47" t="s">
        <v>162</v>
      </c>
      <c r="K7" s="10">
        <v>1.34E-10</v>
      </c>
      <c r="L7" s="18" t="s">
        <v>63</v>
      </c>
      <c r="M7" s="18" t="s">
        <v>92</v>
      </c>
      <c r="N7" s="21">
        <v>250</v>
      </c>
      <c r="O7" s="18" t="s">
        <v>14</v>
      </c>
      <c r="P7" s="18" t="s">
        <v>91</v>
      </c>
      <c r="Q7" s="21">
        <v>225</v>
      </c>
      <c r="R7" s="18" t="s">
        <v>14</v>
      </c>
      <c r="S7" s="18" t="s">
        <v>90</v>
      </c>
      <c r="T7" s="21">
        <v>250</v>
      </c>
      <c r="U7" s="18" t="s">
        <v>14</v>
      </c>
      <c r="V7" s="18" t="s">
        <v>162</v>
      </c>
      <c r="W7" s="52">
        <v>1.34E-10</v>
      </c>
      <c r="X7" s="18" t="s">
        <v>63</v>
      </c>
      <c r="Y7" t="s">
        <v>69</v>
      </c>
      <c r="Z7" s="10">
        <v>0.0016</v>
      </c>
      <c r="AB7" t="s">
        <v>69</v>
      </c>
      <c r="AC7" s="10">
        <f>Z7</f>
        <v>0.0016</v>
      </c>
      <c r="AE7" t="s">
        <v>69</v>
      </c>
      <c r="AF7" s="10">
        <v>0.0016</v>
      </c>
      <c r="AH7" t="s">
        <v>69</v>
      </c>
      <c r="AI7" s="10">
        <v>0.0016</v>
      </c>
      <c r="AK7" t="s">
        <v>69</v>
      </c>
      <c r="AL7" s="10">
        <v>0.0016</v>
      </c>
      <c r="AN7" t="s">
        <v>69</v>
      </c>
      <c r="AO7" s="10">
        <v>0.0016</v>
      </c>
      <c r="AQ7" s="64" t="s">
        <v>69</v>
      </c>
      <c r="AR7" s="69">
        <v>0.0016</v>
      </c>
      <c r="AS7" s="64"/>
      <c r="AT7" s="64" t="s">
        <v>69</v>
      </c>
      <c r="AU7" s="69">
        <v>0.0016</v>
      </c>
      <c r="AV7" s="64"/>
      <c r="AW7" s="64" t="s">
        <v>69</v>
      </c>
      <c r="AX7" s="69">
        <v>0.0016</v>
      </c>
      <c r="AY7" s="64"/>
    </row>
    <row r="8" spans="1:51" ht="12.75">
      <c r="A8" t="s">
        <v>2</v>
      </c>
      <c r="B8">
        <v>30</v>
      </c>
      <c r="C8" t="s">
        <v>5</v>
      </c>
      <c r="D8" t="s">
        <v>2</v>
      </c>
      <c r="E8">
        <v>25</v>
      </c>
      <c r="F8" t="s">
        <v>5</v>
      </c>
      <c r="G8" s="18" t="s">
        <v>18</v>
      </c>
      <c r="H8" s="19">
        <f>(H9*H10+H11*H12)/(H9+H11)</f>
        <v>1.8</v>
      </c>
      <c r="I8" s="18" t="s">
        <v>61</v>
      </c>
      <c r="J8" s="18" t="s">
        <v>1</v>
      </c>
      <c r="K8" s="21">
        <v>350</v>
      </c>
      <c r="L8" s="18" t="s">
        <v>14</v>
      </c>
      <c r="M8" s="18" t="s">
        <v>62</v>
      </c>
      <c r="N8">
        <v>9.1E-11</v>
      </c>
      <c r="O8" t="s">
        <v>63</v>
      </c>
      <c r="P8" t="s">
        <v>62</v>
      </c>
      <c r="Q8">
        <f>N8</f>
        <v>9.1E-11</v>
      </c>
      <c r="R8" t="s">
        <v>63</v>
      </c>
      <c r="S8" t="s">
        <v>62</v>
      </c>
      <c r="T8">
        <f>Q8</f>
        <v>9.1E-11</v>
      </c>
      <c r="U8" s="18" t="s">
        <v>63</v>
      </c>
      <c r="V8" s="59" t="s">
        <v>169</v>
      </c>
      <c r="W8" s="62">
        <v>350</v>
      </c>
      <c r="X8" s="59" t="s">
        <v>14</v>
      </c>
      <c r="Y8" t="s">
        <v>1</v>
      </c>
      <c r="Z8">
        <v>350</v>
      </c>
      <c r="AA8" t="s">
        <v>6</v>
      </c>
      <c r="AB8" t="s">
        <v>1</v>
      </c>
      <c r="AC8">
        <v>350</v>
      </c>
      <c r="AD8" t="s">
        <v>6</v>
      </c>
      <c r="AE8" t="s">
        <v>1</v>
      </c>
      <c r="AF8">
        <v>250</v>
      </c>
      <c r="AG8" t="s">
        <v>6</v>
      </c>
      <c r="AH8" t="s">
        <v>1</v>
      </c>
      <c r="AI8">
        <v>250</v>
      </c>
      <c r="AJ8" t="s">
        <v>6</v>
      </c>
      <c r="AK8" t="s">
        <v>1</v>
      </c>
      <c r="AL8">
        <v>225</v>
      </c>
      <c r="AM8" t="s">
        <v>6</v>
      </c>
      <c r="AN8" t="s">
        <v>1</v>
      </c>
      <c r="AO8">
        <v>225</v>
      </c>
      <c r="AP8" t="s">
        <v>6</v>
      </c>
      <c r="AQ8" s="64" t="s">
        <v>1</v>
      </c>
      <c r="AR8" s="64">
        <v>250</v>
      </c>
      <c r="AS8" s="64" t="s">
        <v>6</v>
      </c>
      <c r="AT8" s="64" t="s">
        <v>1</v>
      </c>
      <c r="AU8" s="64">
        <v>250</v>
      </c>
      <c r="AV8" s="64" t="s">
        <v>6</v>
      </c>
      <c r="AW8" s="65" t="s">
        <v>130</v>
      </c>
      <c r="AX8" s="65">
        <v>0.3</v>
      </c>
      <c r="AY8" s="64"/>
    </row>
    <row r="9" spans="1:51" ht="12.75">
      <c r="A9" t="s">
        <v>64</v>
      </c>
      <c r="B9" s="10">
        <v>2.81E-08</v>
      </c>
      <c r="C9" s="2" t="s">
        <v>63</v>
      </c>
      <c r="D9" t="s">
        <v>64</v>
      </c>
      <c r="E9" s="10">
        <v>2.81E-08</v>
      </c>
      <c r="F9" s="2" t="s">
        <v>63</v>
      </c>
      <c r="G9" s="18" t="s">
        <v>4</v>
      </c>
      <c r="H9" s="19">
        <v>6</v>
      </c>
      <c r="J9" s="18" t="s">
        <v>62</v>
      </c>
      <c r="K9" s="1">
        <v>2.17E-10</v>
      </c>
      <c r="L9" s="18" t="s">
        <v>63</v>
      </c>
      <c r="M9" s="18" t="s">
        <v>2</v>
      </c>
      <c r="N9" s="1">
        <v>25</v>
      </c>
      <c r="O9" s="18" t="s">
        <v>68</v>
      </c>
      <c r="P9" s="18" t="s">
        <v>2</v>
      </c>
      <c r="Q9" s="1">
        <v>25</v>
      </c>
      <c r="R9" s="18" t="s">
        <v>68</v>
      </c>
      <c r="S9" s="18" t="s">
        <v>2</v>
      </c>
      <c r="T9" s="1">
        <v>25</v>
      </c>
      <c r="U9" s="18" t="s">
        <v>68</v>
      </c>
      <c r="V9" s="18" t="s">
        <v>62</v>
      </c>
      <c r="W9" s="52">
        <f>K9</f>
        <v>2.17E-10</v>
      </c>
      <c r="X9" s="18" t="s">
        <v>63</v>
      </c>
      <c r="Y9" t="s">
        <v>2</v>
      </c>
      <c r="Z9">
        <v>30</v>
      </c>
      <c r="AA9" t="s">
        <v>5</v>
      </c>
      <c r="AB9" t="s">
        <v>2</v>
      </c>
      <c r="AC9">
        <v>30</v>
      </c>
      <c r="AD9" t="s">
        <v>5</v>
      </c>
      <c r="AE9" t="s">
        <v>2</v>
      </c>
      <c r="AF9">
        <v>25</v>
      </c>
      <c r="AG9" t="s">
        <v>5</v>
      </c>
      <c r="AH9" t="s">
        <v>2</v>
      </c>
      <c r="AI9">
        <v>25</v>
      </c>
      <c r="AJ9" t="s">
        <v>5</v>
      </c>
      <c r="AK9" t="s">
        <v>2</v>
      </c>
      <c r="AL9">
        <v>25</v>
      </c>
      <c r="AM9" t="s">
        <v>5</v>
      </c>
      <c r="AN9" t="s">
        <v>2</v>
      </c>
      <c r="AO9">
        <v>25</v>
      </c>
      <c r="AP9" t="s">
        <v>5</v>
      </c>
      <c r="AQ9" t="s">
        <v>2</v>
      </c>
      <c r="AR9">
        <v>25</v>
      </c>
      <c r="AS9" t="s">
        <v>5</v>
      </c>
      <c r="AT9" t="s">
        <v>2</v>
      </c>
      <c r="AU9">
        <v>25</v>
      </c>
      <c r="AV9" t="s">
        <v>5</v>
      </c>
      <c r="AW9" s="65" t="s">
        <v>131</v>
      </c>
      <c r="AX9" s="69">
        <v>1.5</v>
      </c>
      <c r="AY9" s="64"/>
    </row>
    <row r="10" spans="1:51" ht="12.75">
      <c r="A10" s="18" t="s">
        <v>71</v>
      </c>
      <c r="B10" s="1">
        <f>(B11*B15+B12*B16)/(B15+B16)</f>
        <v>18</v>
      </c>
      <c r="C10" t="s">
        <v>74</v>
      </c>
      <c r="D10" t="s">
        <v>51</v>
      </c>
      <c r="E10" s="21">
        <v>8</v>
      </c>
      <c r="F10" s="2" t="s">
        <v>47</v>
      </c>
      <c r="G10" s="18" t="s">
        <v>19</v>
      </c>
      <c r="H10" s="19">
        <v>1</v>
      </c>
      <c r="J10" s="18" t="s">
        <v>26</v>
      </c>
      <c r="K10" s="19">
        <f>(K13*K12+K16*K15)/(K12+K15)</f>
        <v>120</v>
      </c>
      <c r="L10" s="18" t="s">
        <v>46</v>
      </c>
      <c r="M10" s="18" t="s">
        <v>87</v>
      </c>
      <c r="N10" s="19">
        <v>50</v>
      </c>
      <c r="P10" s="18" t="s">
        <v>89</v>
      </c>
      <c r="Q10" s="19">
        <v>100</v>
      </c>
      <c r="S10" s="18" t="s">
        <v>260</v>
      </c>
      <c r="T10" s="19">
        <v>100</v>
      </c>
      <c r="V10" s="59" t="s">
        <v>171</v>
      </c>
      <c r="W10" s="51">
        <f>(W13*W12+W16*W15)/(W11)</f>
        <v>115</v>
      </c>
      <c r="X10" s="59" t="s">
        <v>46</v>
      </c>
      <c r="Y10" t="s">
        <v>118</v>
      </c>
      <c r="Z10">
        <v>0.4</v>
      </c>
      <c r="AB10" t="s">
        <v>118</v>
      </c>
      <c r="AC10">
        <v>0.4</v>
      </c>
      <c r="AE10" t="s">
        <v>118</v>
      </c>
      <c r="AF10">
        <v>0.4</v>
      </c>
      <c r="AH10" t="s">
        <v>118</v>
      </c>
      <c r="AI10">
        <v>0.4</v>
      </c>
      <c r="AK10" t="s">
        <v>118</v>
      </c>
      <c r="AL10">
        <v>0.4</v>
      </c>
      <c r="AN10" t="s">
        <v>118</v>
      </c>
      <c r="AO10">
        <v>0.4</v>
      </c>
      <c r="AQ10" s="64"/>
      <c r="AR10" s="64"/>
      <c r="AS10" s="64"/>
      <c r="AT10" s="64"/>
      <c r="AU10" s="64"/>
      <c r="AV10" s="64"/>
      <c r="AW10" s="65" t="s">
        <v>132</v>
      </c>
      <c r="AX10" s="65">
        <v>30</v>
      </c>
      <c r="AY10" s="64"/>
    </row>
    <row r="11" spans="1:51" ht="12.75">
      <c r="A11" s="18" t="s">
        <v>72</v>
      </c>
      <c r="B11" s="20">
        <v>10</v>
      </c>
      <c r="C11" s="20" t="s">
        <v>74</v>
      </c>
      <c r="E11" s="21">
        <v>24</v>
      </c>
      <c r="F11" s="2" t="s">
        <v>47</v>
      </c>
      <c r="G11" s="18" t="s">
        <v>21</v>
      </c>
      <c r="H11" s="19">
        <f>30-H9</f>
        <v>24</v>
      </c>
      <c r="J11" s="18" t="s">
        <v>2</v>
      </c>
      <c r="K11" s="1">
        <v>30</v>
      </c>
      <c r="L11" s="18" t="s">
        <v>68</v>
      </c>
      <c r="M11" s="18" t="s">
        <v>88</v>
      </c>
      <c r="N11" s="20">
        <v>60</v>
      </c>
      <c r="O11" s="20" t="s">
        <v>74</v>
      </c>
      <c r="P11" s="18" t="s">
        <v>88</v>
      </c>
      <c r="Q11" s="20">
        <v>60</v>
      </c>
      <c r="R11" s="20" t="s">
        <v>74</v>
      </c>
      <c r="S11" s="18" t="s">
        <v>88</v>
      </c>
      <c r="T11" s="20">
        <v>60</v>
      </c>
      <c r="U11" s="20" t="s">
        <v>74</v>
      </c>
      <c r="V11" s="59" t="s">
        <v>172</v>
      </c>
      <c r="W11" s="51">
        <v>40</v>
      </c>
      <c r="X11" s="59" t="s">
        <v>68</v>
      </c>
      <c r="Y11" t="s">
        <v>119</v>
      </c>
      <c r="Z11">
        <v>1</v>
      </c>
      <c r="AB11" t="s">
        <v>119</v>
      </c>
      <c r="AC11">
        <v>1</v>
      </c>
      <c r="AE11" t="s">
        <v>119</v>
      </c>
      <c r="AF11">
        <v>1</v>
      </c>
      <c r="AH11" t="s">
        <v>119</v>
      </c>
      <c r="AI11">
        <v>1</v>
      </c>
      <c r="AK11" t="s">
        <v>119</v>
      </c>
      <c r="AL11">
        <v>1</v>
      </c>
      <c r="AN11" t="s">
        <v>119</v>
      </c>
      <c r="AO11">
        <v>1</v>
      </c>
      <c r="AQ11" s="64" t="s">
        <v>119</v>
      </c>
      <c r="AR11" s="64">
        <v>1</v>
      </c>
      <c r="AS11" s="64"/>
      <c r="AT11" s="64" t="s">
        <v>119</v>
      </c>
      <c r="AU11" s="64">
        <v>1</v>
      </c>
      <c r="AV11" s="64"/>
      <c r="AW11" s="65" t="s">
        <v>133</v>
      </c>
      <c r="AX11" s="69">
        <v>20</v>
      </c>
      <c r="AY11" s="64"/>
    </row>
    <row r="12" spans="1:51" ht="12.75">
      <c r="A12" s="18" t="s">
        <v>73</v>
      </c>
      <c r="B12" s="20">
        <v>20</v>
      </c>
      <c r="C12" s="20" t="s">
        <v>74</v>
      </c>
      <c r="D12" t="s">
        <v>101</v>
      </c>
      <c r="E12" s="1">
        <v>60</v>
      </c>
      <c r="F12" s="2" t="s">
        <v>74</v>
      </c>
      <c r="G12" s="18" t="s">
        <v>22</v>
      </c>
      <c r="H12" s="19">
        <v>2</v>
      </c>
      <c r="J12" s="18" t="s">
        <v>4</v>
      </c>
      <c r="K12" s="19">
        <v>6</v>
      </c>
      <c r="M12" s="18" t="s">
        <v>78</v>
      </c>
      <c r="N12" s="20">
        <v>0.4</v>
      </c>
      <c r="O12" s="20"/>
      <c r="P12" s="18" t="s">
        <v>78</v>
      </c>
      <c r="Q12" s="20">
        <v>1</v>
      </c>
      <c r="R12" s="20"/>
      <c r="S12" s="18" t="s">
        <v>78</v>
      </c>
      <c r="T12" s="20">
        <v>1</v>
      </c>
      <c r="U12" s="20"/>
      <c r="V12" s="59" t="s">
        <v>173</v>
      </c>
      <c r="W12" s="51">
        <v>6</v>
      </c>
      <c r="X12" s="51"/>
      <c r="Y12" t="s">
        <v>77</v>
      </c>
      <c r="Z12">
        <v>0.965</v>
      </c>
      <c r="AB12" t="s">
        <v>77</v>
      </c>
      <c r="AC12">
        <f>Z12</f>
        <v>0.965</v>
      </c>
      <c r="AE12" t="s">
        <v>77</v>
      </c>
      <c r="AF12">
        <f>Z12</f>
        <v>0.965</v>
      </c>
      <c r="AH12" t="s">
        <v>77</v>
      </c>
      <c r="AI12">
        <f>AC12</f>
        <v>0.965</v>
      </c>
      <c r="AK12" t="s">
        <v>77</v>
      </c>
      <c r="AL12">
        <f>AF12</f>
        <v>0.965</v>
      </c>
      <c r="AN12" t="s">
        <v>77</v>
      </c>
      <c r="AO12">
        <f>AI12</f>
        <v>0.965</v>
      </c>
      <c r="AQ12" s="64" t="s">
        <v>77</v>
      </c>
      <c r="AR12" s="64">
        <v>0.965</v>
      </c>
      <c r="AS12" s="64"/>
      <c r="AT12" s="64" t="s">
        <v>77</v>
      </c>
      <c r="AU12" s="64">
        <v>0.965</v>
      </c>
      <c r="AV12" s="64"/>
      <c r="AW12" s="65" t="s">
        <v>129</v>
      </c>
      <c r="AX12" s="65">
        <v>8.2</v>
      </c>
      <c r="AY12" s="64"/>
    </row>
    <row r="13" spans="1:51" ht="12.75">
      <c r="A13" t="s">
        <v>50</v>
      </c>
      <c r="B13">
        <v>24</v>
      </c>
      <c r="C13" t="s">
        <v>47</v>
      </c>
      <c r="D13" s="17" t="s">
        <v>108</v>
      </c>
      <c r="E13" s="1">
        <v>5.84E-11</v>
      </c>
      <c r="F13" s="17" t="s">
        <v>109</v>
      </c>
      <c r="G13" s="18" t="s">
        <v>24</v>
      </c>
      <c r="H13" s="20">
        <v>0.5</v>
      </c>
      <c r="I13" t="s">
        <v>25</v>
      </c>
      <c r="J13" s="18" t="s">
        <v>27</v>
      </c>
      <c r="K13" s="19">
        <v>200</v>
      </c>
      <c r="M13" s="18" t="s">
        <v>77</v>
      </c>
      <c r="N13" s="20">
        <v>0.965</v>
      </c>
      <c r="O13" s="20"/>
      <c r="P13" s="18" t="s">
        <v>77</v>
      </c>
      <c r="Q13" s="20">
        <v>0.965</v>
      </c>
      <c r="R13" s="20"/>
      <c r="S13" s="18" t="s">
        <v>77</v>
      </c>
      <c r="T13" s="20">
        <v>0.965</v>
      </c>
      <c r="U13" s="20"/>
      <c r="V13" s="59" t="s">
        <v>174</v>
      </c>
      <c r="W13" s="51">
        <v>200</v>
      </c>
      <c r="X13" s="51"/>
      <c r="Y13" t="s">
        <v>120</v>
      </c>
      <c r="Z13">
        <v>0.073</v>
      </c>
      <c r="AA13" t="s">
        <v>127</v>
      </c>
      <c r="AB13" t="s">
        <v>120</v>
      </c>
      <c r="AC13">
        <v>0.073</v>
      </c>
      <c r="AD13" t="s">
        <v>127</v>
      </c>
      <c r="AE13" t="s">
        <v>120</v>
      </c>
      <c r="AF13">
        <v>0</v>
      </c>
      <c r="AG13" t="s">
        <v>127</v>
      </c>
      <c r="AH13" t="s">
        <v>120</v>
      </c>
      <c r="AI13">
        <v>0</v>
      </c>
      <c r="AJ13" t="s">
        <v>127</v>
      </c>
      <c r="AK13" t="s">
        <v>120</v>
      </c>
      <c r="AL13">
        <v>0.33</v>
      </c>
      <c r="AM13" t="s">
        <v>127</v>
      </c>
      <c r="AN13" t="s">
        <v>3</v>
      </c>
      <c r="AO13">
        <v>0.33</v>
      </c>
      <c r="AP13" t="s">
        <v>54</v>
      </c>
      <c r="AQ13" s="65" t="s">
        <v>166</v>
      </c>
      <c r="AR13" s="64">
        <v>8</v>
      </c>
      <c r="AS13" s="65" t="s">
        <v>254</v>
      </c>
      <c r="AT13" s="65" t="s">
        <v>166</v>
      </c>
      <c r="AU13" s="64">
        <v>8</v>
      </c>
      <c r="AV13" s="65" t="s">
        <v>254</v>
      </c>
      <c r="AY13" s="64"/>
    </row>
    <row r="14" spans="2:51" ht="12.75">
      <c r="B14">
        <v>24</v>
      </c>
      <c r="C14" t="s">
        <v>47</v>
      </c>
      <c r="D14" s="17" t="s">
        <v>78</v>
      </c>
      <c r="E14" s="17">
        <v>1</v>
      </c>
      <c r="G14" s="18" t="s">
        <v>64</v>
      </c>
      <c r="H14" s="10">
        <v>2.81E-08</v>
      </c>
      <c r="I14" s="2" t="s">
        <v>63</v>
      </c>
      <c r="J14" s="18" t="s">
        <v>20</v>
      </c>
      <c r="K14" s="21">
        <v>15</v>
      </c>
      <c r="L14" s="2"/>
      <c r="M14" s="18" t="s">
        <v>65</v>
      </c>
      <c r="N14" s="1">
        <v>2.76E-08</v>
      </c>
      <c r="O14" s="18" t="s">
        <v>66</v>
      </c>
      <c r="P14" s="18" t="s">
        <v>65</v>
      </c>
      <c r="Q14" s="1">
        <v>2.76E-08</v>
      </c>
      <c r="R14" s="18" t="s">
        <v>66</v>
      </c>
      <c r="S14" s="18" t="s">
        <v>65</v>
      </c>
      <c r="T14" s="1">
        <v>2.76E-08</v>
      </c>
      <c r="U14" s="18" t="s">
        <v>66</v>
      </c>
      <c r="V14" s="59" t="s">
        <v>20</v>
      </c>
      <c r="W14" s="51">
        <v>15</v>
      </c>
      <c r="X14" s="53"/>
      <c r="Y14" t="s">
        <v>65</v>
      </c>
      <c r="Z14" s="10">
        <v>2.76E-08</v>
      </c>
      <c r="AA14" s="2" t="s">
        <v>121</v>
      </c>
      <c r="AB14" t="s">
        <v>65</v>
      </c>
      <c r="AC14" s="10">
        <v>2.76E-08</v>
      </c>
      <c r="AD14" s="2" t="s">
        <v>121</v>
      </c>
      <c r="AE14" t="s">
        <v>65</v>
      </c>
      <c r="AF14" s="10">
        <f>Z14</f>
        <v>2.76E-08</v>
      </c>
      <c r="AG14" s="2" t="s">
        <v>121</v>
      </c>
      <c r="AH14" t="s">
        <v>65</v>
      </c>
      <c r="AI14" s="10">
        <f>AC14</f>
        <v>2.76E-08</v>
      </c>
      <c r="AJ14" s="2" t="s">
        <v>121</v>
      </c>
      <c r="AK14" t="s">
        <v>65</v>
      </c>
      <c r="AL14" s="10">
        <f>AF14</f>
        <v>2.76E-08</v>
      </c>
      <c r="AM14" s="2" t="s">
        <v>121</v>
      </c>
      <c r="AN14" t="s">
        <v>65</v>
      </c>
      <c r="AO14" s="10">
        <f>AI14</f>
        <v>2.76E-08</v>
      </c>
      <c r="AP14" s="2" t="s">
        <v>121</v>
      </c>
      <c r="AQ14" s="64" t="s">
        <v>181</v>
      </c>
      <c r="AR14" s="69">
        <f>AL14</f>
        <v>2.76E-08</v>
      </c>
      <c r="AS14" s="65" t="s">
        <v>255</v>
      </c>
      <c r="AT14" s="64" t="s">
        <v>181</v>
      </c>
      <c r="AU14" s="69">
        <f>AO14</f>
        <v>2.76E-08</v>
      </c>
      <c r="AV14" s="65" t="s">
        <v>255</v>
      </c>
      <c r="AW14" s="65"/>
      <c r="AX14" s="69"/>
      <c r="AY14" s="64"/>
    </row>
    <row r="15" spans="1:51" ht="12.75">
      <c r="A15" t="s">
        <v>94</v>
      </c>
      <c r="B15" s="1">
        <v>6</v>
      </c>
      <c r="C15" t="s">
        <v>5</v>
      </c>
      <c r="D15" t="s">
        <v>34</v>
      </c>
      <c r="E15" s="1">
        <f>(E5)/((E10/E11)*E7*E8*E9*E12)</f>
        <v>0.0003163305654408857</v>
      </c>
      <c r="F15" t="s">
        <v>110</v>
      </c>
      <c r="G15" s="18" t="s">
        <v>2</v>
      </c>
      <c r="H15" s="21">
        <v>30</v>
      </c>
      <c r="I15" s="2" t="s">
        <v>15</v>
      </c>
      <c r="J15" s="18" t="s">
        <v>21</v>
      </c>
      <c r="K15" s="19">
        <f>30-K12</f>
        <v>24</v>
      </c>
      <c r="M15" s="18" t="s">
        <v>30</v>
      </c>
      <c r="N15" s="1">
        <v>1360000000</v>
      </c>
      <c r="O15" s="18" t="s">
        <v>7</v>
      </c>
      <c r="P15" s="18" t="s">
        <v>30</v>
      </c>
      <c r="Q15" s="1">
        <v>1360000000</v>
      </c>
      <c r="R15" s="18" t="s">
        <v>7</v>
      </c>
      <c r="S15" s="18" t="s">
        <v>30</v>
      </c>
      <c r="T15" s="1">
        <v>1360000000</v>
      </c>
      <c r="U15" s="18" t="s">
        <v>7</v>
      </c>
      <c r="V15" s="59" t="s">
        <v>175</v>
      </c>
      <c r="W15" s="51">
        <v>34</v>
      </c>
      <c r="X15" s="51"/>
      <c r="Y15" t="s">
        <v>122</v>
      </c>
      <c r="Z15">
        <v>0.683</v>
      </c>
      <c r="AA15" t="s">
        <v>127</v>
      </c>
      <c r="AB15" t="s">
        <v>122</v>
      </c>
      <c r="AC15">
        <v>0.683</v>
      </c>
      <c r="AD15" t="s">
        <v>127</v>
      </c>
      <c r="AE15" s="2" t="s">
        <v>166</v>
      </c>
      <c r="AF15">
        <v>8</v>
      </c>
      <c r="AG15" s="2" t="s">
        <v>54</v>
      </c>
      <c r="AH15" s="2" t="s">
        <v>166</v>
      </c>
      <c r="AI15">
        <v>8</v>
      </c>
      <c r="AJ15" s="2" t="s">
        <v>54</v>
      </c>
      <c r="AK15" s="2" t="s">
        <v>166</v>
      </c>
      <c r="AL15">
        <v>8</v>
      </c>
      <c r="AM15" s="2" t="s">
        <v>54</v>
      </c>
      <c r="AN15" s="2" t="s">
        <v>166</v>
      </c>
      <c r="AO15">
        <v>8</v>
      </c>
      <c r="AP15" s="2" t="s">
        <v>54</v>
      </c>
      <c r="AQ15" s="2" t="s">
        <v>166</v>
      </c>
      <c r="AR15">
        <v>8</v>
      </c>
      <c r="AS15" s="2" t="s">
        <v>54</v>
      </c>
      <c r="AT15" s="2" t="s">
        <v>166</v>
      </c>
      <c r="AU15">
        <v>8</v>
      </c>
      <c r="AV15" s="2" t="s">
        <v>54</v>
      </c>
      <c r="AW15" s="65"/>
      <c r="AX15" s="64"/>
      <c r="AY15" s="64"/>
    </row>
    <row r="16" spans="1:51" s="17" customFormat="1" ht="12.75">
      <c r="A16" s="17" t="s">
        <v>95</v>
      </c>
      <c r="B16" s="17">
        <v>24</v>
      </c>
      <c r="C16" s="17" t="s">
        <v>5</v>
      </c>
      <c r="D16" t="s">
        <v>111</v>
      </c>
      <c r="E16" s="1">
        <f>(E5)/((E10/E11)*E7*E8*E13*(1/365))</f>
        <v>3333.333333333333</v>
      </c>
      <c r="F16" t="s">
        <v>110</v>
      </c>
      <c r="G16" s="18" t="s">
        <v>39</v>
      </c>
      <c r="H16">
        <v>1</v>
      </c>
      <c r="I16" t="s">
        <v>41</v>
      </c>
      <c r="J16" s="18" t="s">
        <v>28</v>
      </c>
      <c r="K16" s="19">
        <v>100</v>
      </c>
      <c r="L16"/>
      <c r="M16" s="18" t="s">
        <v>64</v>
      </c>
      <c r="N16" s="10">
        <v>2.81E-08</v>
      </c>
      <c r="O16" s="2" t="s">
        <v>63</v>
      </c>
      <c r="P16" s="18" t="s">
        <v>64</v>
      </c>
      <c r="Q16" s="10">
        <v>2.81E-08</v>
      </c>
      <c r="R16" s="2" t="s">
        <v>63</v>
      </c>
      <c r="S16" s="18" t="s">
        <v>64</v>
      </c>
      <c r="T16" s="10">
        <v>2.81E-08</v>
      </c>
      <c r="U16" s="2" t="s">
        <v>63</v>
      </c>
      <c r="V16" s="59" t="s">
        <v>176</v>
      </c>
      <c r="W16" s="51">
        <v>100</v>
      </c>
      <c r="X16" s="51"/>
      <c r="AQ16" s="70"/>
      <c r="AR16" s="70"/>
      <c r="AS16" s="70"/>
      <c r="AT16" s="70"/>
      <c r="AU16" s="70"/>
      <c r="AV16" s="70"/>
      <c r="AW16" s="70"/>
      <c r="AX16" s="70"/>
      <c r="AY16" s="70"/>
    </row>
    <row r="17" spans="1:51" ht="12.75">
      <c r="A17" s="17" t="s">
        <v>108</v>
      </c>
      <c r="B17" s="1">
        <v>5.84E-11</v>
      </c>
      <c r="C17" s="17" t="s">
        <v>109</v>
      </c>
      <c r="D17" t="s">
        <v>34</v>
      </c>
      <c r="E17" s="1">
        <f>(E5*E6*E8)/((E10/E11)*(1-EXP(-E6*E8))*E9*E12*E7*E8)</f>
        <v>0.00032269935303374056</v>
      </c>
      <c r="F17" t="s">
        <v>80</v>
      </c>
      <c r="G17" s="18" t="s">
        <v>40</v>
      </c>
      <c r="H17">
        <v>1</v>
      </c>
      <c r="I17" t="s">
        <v>41</v>
      </c>
      <c r="J17" s="18" t="s">
        <v>23</v>
      </c>
      <c r="K17" s="20">
        <v>70</v>
      </c>
      <c r="L17" s="17"/>
      <c r="M17" s="18" t="s">
        <v>166</v>
      </c>
      <c r="N17" s="10">
        <v>8</v>
      </c>
      <c r="O17" s="2"/>
      <c r="P17" s="18" t="s">
        <v>166</v>
      </c>
      <c r="Q17" s="10">
        <v>8</v>
      </c>
      <c r="R17" s="2"/>
      <c r="S17" s="18" t="s">
        <v>166</v>
      </c>
      <c r="T17" s="10">
        <v>8</v>
      </c>
      <c r="U17" s="17"/>
      <c r="V17" s="59" t="s">
        <v>23</v>
      </c>
      <c r="W17" s="51">
        <v>70</v>
      </c>
      <c r="X17" s="58"/>
      <c r="Y17" s="34" t="s">
        <v>112</v>
      </c>
      <c r="Z17" s="34" t="s">
        <v>123</v>
      </c>
      <c r="AA17" s="34" t="s">
        <v>81</v>
      </c>
      <c r="AB17" s="34" t="s">
        <v>112</v>
      </c>
      <c r="AC17" s="34" t="s">
        <v>124</v>
      </c>
      <c r="AD17" s="34" t="s">
        <v>81</v>
      </c>
      <c r="AE17" s="37" t="s">
        <v>112</v>
      </c>
      <c r="AF17" s="37" t="s">
        <v>123</v>
      </c>
      <c r="AG17" s="37" t="s">
        <v>81</v>
      </c>
      <c r="AH17" s="37" t="s">
        <v>112</v>
      </c>
      <c r="AI17" s="37" t="s">
        <v>124</v>
      </c>
      <c r="AJ17" s="37" t="s">
        <v>81</v>
      </c>
      <c r="AK17" s="38" t="s">
        <v>112</v>
      </c>
      <c r="AL17" s="38" t="s">
        <v>123</v>
      </c>
      <c r="AM17" s="38" t="s">
        <v>81</v>
      </c>
      <c r="AN17" s="38" t="s">
        <v>112</v>
      </c>
      <c r="AO17" s="38" t="s">
        <v>124</v>
      </c>
      <c r="AP17" s="38" t="s">
        <v>81</v>
      </c>
      <c r="AQ17" s="73" t="s">
        <v>112</v>
      </c>
      <c r="AR17" s="73" t="s">
        <v>123</v>
      </c>
      <c r="AS17" s="73" t="s">
        <v>81</v>
      </c>
      <c r="AT17" s="73" t="s">
        <v>112</v>
      </c>
      <c r="AU17" s="73" t="s">
        <v>124</v>
      </c>
      <c r="AV17" s="73" t="s">
        <v>81</v>
      </c>
      <c r="AW17" s="66" t="s">
        <v>32</v>
      </c>
      <c r="AX17" s="66" t="s">
        <v>81</v>
      </c>
      <c r="AY17" s="66" t="s">
        <v>138</v>
      </c>
    </row>
    <row r="18" spans="1:51" ht="14.25">
      <c r="A18" s="17" t="s">
        <v>78</v>
      </c>
      <c r="B18" s="17">
        <v>1</v>
      </c>
      <c r="D18" t="s">
        <v>111</v>
      </c>
      <c r="E18" s="1">
        <f>(E5*E6*E8)/((E10/E11)*(1-EXP(-E6*E8))*E13*E7*E8*(1/365))</f>
        <v>3400.4444325930417</v>
      </c>
      <c r="F18" t="s">
        <v>80</v>
      </c>
      <c r="H18">
        <f>1/1000</f>
        <v>0.001</v>
      </c>
      <c r="I18" t="s">
        <v>35</v>
      </c>
      <c r="J18" s="18" t="s">
        <v>71</v>
      </c>
      <c r="K18">
        <f>(K12*K19+K15*K20)/(K12+K15)</f>
        <v>18</v>
      </c>
      <c r="L18" t="s">
        <v>74</v>
      </c>
      <c r="M18" s="18" t="s">
        <v>163</v>
      </c>
      <c r="N18" s="21">
        <f>1/24</f>
        <v>0.041666666666666664</v>
      </c>
      <c r="P18" s="18" t="s">
        <v>163</v>
      </c>
      <c r="Q18" s="21">
        <f>1/24</f>
        <v>0.041666666666666664</v>
      </c>
      <c r="S18" s="18" t="s">
        <v>163</v>
      </c>
      <c r="T18" s="21">
        <f>1/24</f>
        <v>0.041666666666666664</v>
      </c>
      <c r="V18" s="59" t="s">
        <v>177</v>
      </c>
      <c r="W18" s="51">
        <f>(W12*W19+W15*W20)/(W11)</f>
        <v>18.5</v>
      </c>
      <c r="X18" s="51" t="s">
        <v>74</v>
      </c>
      <c r="Y18" s="36"/>
      <c r="Z18" s="34" t="s">
        <v>84</v>
      </c>
      <c r="AA18" s="35" t="s">
        <v>67</v>
      </c>
      <c r="AB18" s="36"/>
      <c r="AC18" s="34" t="s">
        <v>84</v>
      </c>
      <c r="AD18" s="35" t="s">
        <v>125</v>
      </c>
      <c r="AE18" s="37" t="s">
        <v>53</v>
      </c>
      <c r="AF18" s="37" t="s">
        <v>128</v>
      </c>
      <c r="AG18" s="39" t="s">
        <v>67</v>
      </c>
      <c r="AH18" s="37" t="s">
        <v>53</v>
      </c>
      <c r="AI18" s="37" t="s">
        <v>128</v>
      </c>
      <c r="AJ18" s="39" t="s">
        <v>125</v>
      </c>
      <c r="AK18" s="38" t="s">
        <v>52</v>
      </c>
      <c r="AL18" s="38" t="s">
        <v>128</v>
      </c>
      <c r="AM18" s="40" t="s">
        <v>67</v>
      </c>
      <c r="AN18" s="38" t="s">
        <v>52</v>
      </c>
      <c r="AO18" s="38" t="s">
        <v>128</v>
      </c>
      <c r="AP18" s="40" t="s">
        <v>125</v>
      </c>
      <c r="AQ18" s="74" t="s">
        <v>253</v>
      </c>
      <c r="AR18" s="73" t="s">
        <v>128</v>
      </c>
      <c r="AS18" s="75" t="s">
        <v>67</v>
      </c>
      <c r="AT18" s="74" t="s">
        <v>253</v>
      </c>
      <c r="AU18" s="73" t="s">
        <v>128</v>
      </c>
      <c r="AV18" s="75" t="s">
        <v>125</v>
      </c>
      <c r="AW18" s="66" t="s">
        <v>67</v>
      </c>
      <c r="AX18" s="66" t="s">
        <v>84</v>
      </c>
      <c r="AY18" s="66" t="s">
        <v>136</v>
      </c>
    </row>
    <row r="19" spans="1:51" ht="14.25">
      <c r="A19" t="s">
        <v>34</v>
      </c>
      <c r="B19" s="1">
        <f>(B5)/((B13/B14)*B7*B8*B9*B10)</f>
        <v>0.00018829200323862246</v>
      </c>
      <c r="C19" t="s">
        <v>110</v>
      </c>
      <c r="H19">
        <v>1000</v>
      </c>
      <c r="I19" t="s">
        <v>42</v>
      </c>
      <c r="J19" s="18" t="s">
        <v>72</v>
      </c>
      <c r="K19" s="20">
        <v>10</v>
      </c>
      <c r="L19" s="20" t="s">
        <v>74</v>
      </c>
      <c r="M19" s="21" t="s">
        <v>60</v>
      </c>
      <c r="N19" s="21">
        <v>25</v>
      </c>
      <c r="O19" s="21" t="s">
        <v>68</v>
      </c>
      <c r="P19" s="21" t="s">
        <v>60</v>
      </c>
      <c r="Q19" s="21">
        <v>25</v>
      </c>
      <c r="R19" s="21" t="s">
        <v>68</v>
      </c>
      <c r="S19" s="21" t="s">
        <v>60</v>
      </c>
      <c r="T19" s="21">
        <v>25</v>
      </c>
      <c r="U19" s="21" t="s">
        <v>68</v>
      </c>
      <c r="V19" s="59" t="s">
        <v>178</v>
      </c>
      <c r="W19" s="61">
        <v>10</v>
      </c>
      <c r="X19" s="61" t="s">
        <v>74</v>
      </c>
      <c r="Y19" s="34" t="s">
        <v>116</v>
      </c>
      <c r="Z19" s="36">
        <f>(Z21*Z22*Z23)/((1-EXP(-Z23*Z22))*Z25*Z30*(Z24/365)*Z28*((Z29)+(Z31*Z26)))</f>
        <v>12348.658171003854</v>
      </c>
      <c r="AA19" s="35" t="s">
        <v>8</v>
      </c>
      <c r="AB19" s="34" t="s">
        <v>116</v>
      </c>
      <c r="AC19" s="36">
        <f>(AC21*AC22*AC23)/((1-EXP(-AC23*AC22))*AC25*AC30*(AC24/365)*AC28*((AC29)+(AC31*AC26)))</f>
        <v>5.437189796722616</v>
      </c>
      <c r="AD19" s="35" t="s">
        <v>8</v>
      </c>
      <c r="AE19" s="37" t="s">
        <v>116</v>
      </c>
      <c r="AF19" s="41">
        <f>(AF21*AF22*AF23)/((1-EXP(-AF23*AF22))*AF25*AF30*(AF24/365)*AF28*(AF31/24)*AF26)</f>
        <v>53652.86756557444</v>
      </c>
      <c r="AG19" s="39" t="s">
        <v>8</v>
      </c>
      <c r="AH19" s="37" t="s">
        <v>116</v>
      </c>
      <c r="AI19" s="41">
        <f>(AI21*AI22*AI23)/((1-EXP(-AI23*AI22))*AI25*AI30*(AI24/365)*AI28*(AI31/24)*AI26)</f>
        <v>23.623686076066708</v>
      </c>
      <c r="AJ19" s="39" t="s">
        <v>8</v>
      </c>
      <c r="AK19" s="38" t="s">
        <v>116</v>
      </c>
      <c r="AL19" s="50">
        <f>(AL21*AL22*AL23)/((1-EXP(-AL23*AL22))*AL25*AL30*(AL24/365)*AL28*(AL31/24)*AL27)</f>
        <v>23845.71891803308</v>
      </c>
      <c r="AM19" s="40" t="s">
        <v>8</v>
      </c>
      <c r="AN19" s="38" t="s">
        <v>116</v>
      </c>
      <c r="AO19" s="50">
        <f>(AO21*AO22*AO23)/((1-EXP(-AO23*AO22))*AO25*AO30*(AO24/365)*AO28*(AO31/24)*AO27)</f>
        <v>10.499416033807423</v>
      </c>
      <c r="AP19" s="40" t="s">
        <v>8</v>
      </c>
      <c r="AQ19" s="73"/>
      <c r="AR19" s="86">
        <f>(AR21*AR22*AR23)/((1-EXP(-AR23*AR22))*AR25*AR30*(AR24/365)*AR28*(AR31/24)*AR27)</f>
        <v>21461.147026229777</v>
      </c>
      <c r="AS19" s="75" t="s">
        <v>8</v>
      </c>
      <c r="AT19" s="73"/>
      <c r="AU19" s="86">
        <f>(AU21*AU22*AU23)/((1-EXP(-AU23*AU22))*AU25*AU30*(AU24/365)*AU28*(AU31/24)*AU27)</f>
        <v>9.449474430426683</v>
      </c>
      <c r="AV19" s="75" t="s">
        <v>8</v>
      </c>
      <c r="AW19" s="87">
        <f>(AX21*AX28*AX33*AX27*10^-3*AX26*AX23)/(AX25*AX36*(1-EXP(-AX23*AX26)))</f>
        <v>1.245996569752307</v>
      </c>
      <c r="AX19" s="68" t="s">
        <v>8</v>
      </c>
      <c r="AY19" s="66" t="s">
        <v>134</v>
      </c>
    </row>
    <row r="20" spans="1:51" ht="12.75">
      <c r="A20" t="s">
        <v>111</v>
      </c>
      <c r="B20" s="1">
        <f>(B5)/((B13/B14)*B7*B8*B17*(1/365)*B18)</f>
        <v>595.2380952380952</v>
      </c>
      <c r="C20" t="s">
        <v>110</v>
      </c>
      <c r="D20" s="13" t="s">
        <v>11</v>
      </c>
      <c r="E20" s="4" t="s">
        <v>53</v>
      </c>
      <c r="F20" s="4" t="s">
        <v>81</v>
      </c>
      <c r="G20" t="s">
        <v>36</v>
      </c>
      <c r="H20">
        <v>1</v>
      </c>
      <c r="I20" t="s">
        <v>38</v>
      </c>
      <c r="J20" s="18" t="s">
        <v>73</v>
      </c>
      <c r="K20" s="20">
        <v>20</v>
      </c>
      <c r="L20" s="20" t="s">
        <v>74</v>
      </c>
      <c r="M20" s="21" t="s">
        <v>69</v>
      </c>
      <c r="N20" s="21">
        <v>0.0016</v>
      </c>
      <c r="P20" s="21" t="s">
        <v>69</v>
      </c>
      <c r="Q20" s="21">
        <v>0.0016</v>
      </c>
      <c r="S20" s="21" t="s">
        <v>69</v>
      </c>
      <c r="T20" s="21">
        <v>0.0016</v>
      </c>
      <c r="V20" s="59" t="s">
        <v>179</v>
      </c>
      <c r="W20" s="61">
        <v>20</v>
      </c>
      <c r="X20" s="61" t="s">
        <v>74</v>
      </c>
      <c r="Y20" s="34" t="s">
        <v>115</v>
      </c>
      <c r="Z20" s="36"/>
      <c r="AA20" s="35"/>
      <c r="AB20" s="34" t="s">
        <v>115</v>
      </c>
      <c r="AC20" s="36"/>
      <c r="AD20" s="35"/>
      <c r="AE20" s="37" t="s">
        <v>115</v>
      </c>
      <c r="AF20" s="41"/>
      <c r="AG20" s="39"/>
      <c r="AH20" s="37" t="s">
        <v>115</v>
      </c>
      <c r="AI20" s="41"/>
      <c r="AJ20" s="39"/>
      <c r="AK20" s="38" t="s">
        <v>115</v>
      </c>
      <c r="AL20" s="42"/>
      <c r="AM20" s="40"/>
      <c r="AN20" s="38" t="s">
        <v>115</v>
      </c>
      <c r="AO20" s="42"/>
      <c r="AP20" s="40"/>
      <c r="AQ20" s="73" t="s">
        <v>115</v>
      </c>
      <c r="AR20" s="76"/>
      <c r="AS20" s="75"/>
      <c r="AT20" s="73" t="s">
        <v>115</v>
      </c>
      <c r="AU20" s="76"/>
      <c r="AV20" s="75"/>
      <c r="AW20" s="87">
        <f>(AX22*AX28*AX33*AX27*10^-3*AX26*AX23)/(AX25*AX36*(1-EXP(-AX23*AX26)))</f>
        <v>0.04226009258419166</v>
      </c>
      <c r="AX20" s="68" t="s">
        <v>8</v>
      </c>
      <c r="AY20" s="66" t="s">
        <v>135</v>
      </c>
    </row>
    <row r="21" spans="1:51" ht="12.75">
      <c r="A21" t="s">
        <v>34</v>
      </c>
      <c r="B21" s="1">
        <f>(B5*B8*B6)/((B13/B14)*B7*B8*(1-EXP(-B6*B8))*B9*B10)</f>
        <v>0.00019284716199280803</v>
      </c>
      <c r="C21" t="s">
        <v>80</v>
      </c>
      <c r="D21" s="4" t="s">
        <v>10</v>
      </c>
      <c r="E21" s="4" t="s">
        <v>32</v>
      </c>
      <c r="F21" s="4" t="s">
        <v>93</v>
      </c>
      <c r="G21" t="s">
        <v>37</v>
      </c>
      <c r="H21">
        <v>0.58</v>
      </c>
      <c r="I21" t="s">
        <v>38</v>
      </c>
      <c r="J21" s="18" t="s">
        <v>78</v>
      </c>
      <c r="K21" s="20">
        <v>0.4</v>
      </c>
      <c r="L21" s="20"/>
      <c r="N21" s="21">
        <v>365</v>
      </c>
      <c r="O21" t="s">
        <v>79</v>
      </c>
      <c r="Q21" s="21">
        <v>365</v>
      </c>
      <c r="R21" t="s">
        <v>79</v>
      </c>
      <c r="T21" s="21">
        <v>365</v>
      </c>
      <c r="U21" t="s">
        <v>79</v>
      </c>
      <c r="V21" s="59" t="s">
        <v>180</v>
      </c>
      <c r="W21" s="61">
        <v>0.4</v>
      </c>
      <c r="X21" s="61"/>
      <c r="Y21" t="s">
        <v>0</v>
      </c>
      <c r="Z21" s="1">
        <v>1E-06</v>
      </c>
      <c r="AB21" t="s">
        <v>0</v>
      </c>
      <c r="AC21" s="1">
        <v>1E-06</v>
      </c>
      <c r="AE21" t="s">
        <v>0</v>
      </c>
      <c r="AF21" s="1">
        <v>1E-06</v>
      </c>
      <c r="AH21" t="s">
        <v>0</v>
      </c>
      <c r="AI21" s="1">
        <v>1E-06</v>
      </c>
      <c r="AK21" t="s">
        <v>0</v>
      </c>
      <c r="AL21" s="1">
        <v>1E-06</v>
      </c>
      <c r="AN21" t="s">
        <v>0</v>
      </c>
      <c r="AO21" s="1">
        <v>1E-06</v>
      </c>
      <c r="AQ21" t="s">
        <v>0</v>
      </c>
      <c r="AR21" s="1">
        <v>1E-06</v>
      </c>
      <c r="AT21" t="s">
        <v>0</v>
      </c>
      <c r="AU21" s="1">
        <v>1E-06</v>
      </c>
      <c r="AW21" s="71" t="s">
        <v>152</v>
      </c>
      <c r="AX21" s="69">
        <v>15</v>
      </c>
      <c r="AY21" s="70" t="s">
        <v>97</v>
      </c>
    </row>
    <row r="22" spans="1:51" ht="12.75">
      <c r="A22" t="s">
        <v>111</v>
      </c>
      <c r="B22" s="1">
        <f>(B5*B8*B6)/((B13/B14)*B7*B8*(1-EXP(-B6*B8))*B17*(1/365)*B18)</f>
        <v>609.6380908497645</v>
      </c>
      <c r="C22" t="s">
        <v>80</v>
      </c>
      <c r="D22" s="4" t="s">
        <v>80</v>
      </c>
      <c r="E22" s="6">
        <f>1/((1/E36)+(1/E37))</f>
        <v>0.00029042939016885863</v>
      </c>
      <c r="F22" s="5" t="s">
        <v>8</v>
      </c>
      <c r="G22" s="18" t="s">
        <v>49</v>
      </c>
      <c r="H22" s="21">
        <v>24</v>
      </c>
      <c r="I22" s="21" t="s">
        <v>47</v>
      </c>
      <c r="J22" s="18" t="s">
        <v>77</v>
      </c>
      <c r="K22" s="20">
        <v>0.965</v>
      </c>
      <c r="L22" s="20"/>
      <c r="M22" s="2" t="s">
        <v>80</v>
      </c>
      <c r="N22">
        <f>(N19*N20)/(1-EXP(-N20*N19))</f>
        <v>1.0201333297779125</v>
      </c>
      <c r="P22" s="2" t="s">
        <v>80</v>
      </c>
      <c r="Q22">
        <f>(Q19*Q20)/(1-EXP(-Q20*Q19))</f>
        <v>1.0201333297779125</v>
      </c>
      <c r="S22" s="2" t="s">
        <v>80</v>
      </c>
      <c r="T22">
        <f>(T19*T20)/(1-EXP(-T20*T19))</f>
        <v>1.0201333297779125</v>
      </c>
      <c r="V22" s="59" t="s">
        <v>77</v>
      </c>
      <c r="W22" s="61">
        <v>0.965</v>
      </c>
      <c r="X22" s="61"/>
      <c r="Y22" t="s">
        <v>117</v>
      </c>
      <c r="Z22">
        <v>30</v>
      </c>
      <c r="AA22" t="s">
        <v>5</v>
      </c>
      <c r="AB22" t="s">
        <v>117</v>
      </c>
      <c r="AC22">
        <v>30</v>
      </c>
      <c r="AD22" t="s">
        <v>5</v>
      </c>
      <c r="AE22" t="s">
        <v>117</v>
      </c>
      <c r="AF22">
        <v>25</v>
      </c>
      <c r="AG22" t="s">
        <v>5</v>
      </c>
      <c r="AH22" t="s">
        <v>117</v>
      </c>
      <c r="AI22">
        <v>25</v>
      </c>
      <c r="AJ22" t="s">
        <v>5</v>
      </c>
      <c r="AK22" t="s">
        <v>117</v>
      </c>
      <c r="AL22">
        <v>25</v>
      </c>
      <c r="AM22" t="s">
        <v>5</v>
      </c>
      <c r="AN22" t="s">
        <v>117</v>
      </c>
      <c r="AO22">
        <v>25</v>
      </c>
      <c r="AP22" t="s">
        <v>5</v>
      </c>
      <c r="AQ22" t="s">
        <v>117</v>
      </c>
      <c r="AR22">
        <v>25</v>
      </c>
      <c r="AS22" t="s">
        <v>5</v>
      </c>
      <c r="AT22" t="s">
        <v>117</v>
      </c>
      <c r="AU22">
        <v>25</v>
      </c>
      <c r="AV22" t="s">
        <v>5</v>
      </c>
      <c r="AW22" s="65" t="s">
        <v>32</v>
      </c>
      <c r="AX22" s="69">
        <f>H3</f>
        <v>0.5087505087505086</v>
      </c>
      <c r="AY22" s="70" t="s">
        <v>97</v>
      </c>
    </row>
    <row r="23" spans="4:51" ht="12.75">
      <c r="D23" s="4" t="s">
        <v>110</v>
      </c>
      <c r="E23" s="6">
        <f>1/((1/E34)+(1/E35))</f>
        <v>0.00028469748187924255</v>
      </c>
      <c r="F23" s="5" t="s">
        <v>8</v>
      </c>
      <c r="H23" s="21">
        <v>24</v>
      </c>
      <c r="I23" t="s">
        <v>47</v>
      </c>
      <c r="J23" s="18" t="s">
        <v>65</v>
      </c>
      <c r="K23" s="1">
        <v>2.76E-08</v>
      </c>
      <c r="L23" s="18" t="s">
        <v>66</v>
      </c>
      <c r="N23">
        <v>1000</v>
      </c>
      <c r="O23" t="s">
        <v>83</v>
      </c>
      <c r="Q23">
        <v>1000</v>
      </c>
      <c r="R23" t="s">
        <v>83</v>
      </c>
      <c r="T23">
        <v>1000</v>
      </c>
      <c r="U23" t="s">
        <v>83</v>
      </c>
      <c r="V23" s="59" t="s">
        <v>181</v>
      </c>
      <c r="W23" s="52">
        <f>T14</f>
        <v>2.76E-08</v>
      </c>
      <c r="X23" s="59" t="s">
        <v>182</v>
      </c>
      <c r="Y23" t="s">
        <v>69</v>
      </c>
      <c r="Z23" s="10">
        <f>Z7</f>
        <v>0.0016</v>
      </c>
      <c r="AB23" t="s">
        <v>69</v>
      </c>
      <c r="AC23" s="10">
        <f>Z7</f>
        <v>0.0016</v>
      </c>
      <c r="AE23" t="s">
        <v>69</v>
      </c>
      <c r="AF23" s="10">
        <f>AC23</f>
        <v>0.0016</v>
      </c>
      <c r="AH23" t="s">
        <v>69</v>
      </c>
      <c r="AI23" s="10">
        <f>AF23</f>
        <v>0.0016</v>
      </c>
      <c r="AK23" t="s">
        <v>69</v>
      </c>
      <c r="AL23" s="10">
        <f>AI23</f>
        <v>0.0016</v>
      </c>
      <c r="AN23" t="s">
        <v>69</v>
      </c>
      <c r="AO23" s="10">
        <v>0.0016</v>
      </c>
      <c r="AQ23" s="64" t="s">
        <v>69</v>
      </c>
      <c r="AR23" s="69">
        <v>0.0016</v>
      </c>
      <c r="AS23" s="64"/>
      <c r="AT23" s="64" t="s">
        <v>69</v>
      </c>
      <c r="AU23" s="69">
        <v>0.0016</v>
      </c>
      <c r="AV23" s="64"/>
      <c r="AW23" s="64" t="s">
        <v>69</v>
      </c>
      <c r="AX23" s="69">
        <v>0.0016</v>
      </c>
      <c r="AY23" s="64"/>
    </row>
    <row r="24" spans="1:51" ht="12.75">
      <c r="A24" s="7" t="s">
        <v>9</v>
      </c>
      <c r="B24" s="7"/>
      <c r="C24" s="7" t="s">
        <v>81</v>
      </c>
      <c r="D24" t="s">
        <v>0</v>
      </c>
      <c r="E24" s="1">
        <v>1E-06</v>
      </c>
      <c r="G24" s="18" t="s">
        <v>33</v>
      </c>
      <c r="H24" s="1">
        <f>H5/(H6*H15*H7*H8)</f>
        <v>0.5087505087505086</v>
      </c>
      <c r="I24" s="18" t="s">
        <v>8</v>
      </c>
      <c r="J24" s="18" t="s">
        <v>30</v>
      </c>
      <c r="K24" s="1">
        <v>1360000000</v>
      </c>
      <c r="L24" s="18" t="s">
        <v>7</v>
      </c>
      <c r="V24" s="59" t="s">
        <v>30</v>
      </c>
      <c r="W24" s="52">
        <v>1360000000</v>
      </c>
      <c r="X24" s="59" t="s">
        <v>7</v>
      </c>
      <c r="Y24" t="s">
        <v>1</v>
      </c>
      <c r="Z24">
        <v>350</v>
      </c>
      <c r="AA24" t="s">
        <v>6</v>
      </c>
      <c r="AB24" t="s">
        <v>1</v>
      </c>
      <c r="AC24">
        <v>350</v>
      </c>
      <c r="AD24" t="s">
        <v>6</v>
      </c>
      <c r="AE24" t="s">
        <v>1</v>
      </c>
      <c r="AF24">
        <v>250</v>
      </c>
      <c r="AG24" t="s">
        <v>6</v>
      </c>
      <c r="AH24" t="s">
        <v>1</v>
      </c>
      <c r="AI24">
        <v>250</v>
      </c>
      <c r="AJ24" t="s">
        <v>6</v>
      </c>
      <c r="AK24" t="s">
        <v>1</v>
      </c>
      <c r="AL24">
        <v>225</v>
      </c>
      <c r="AM24" t="s">
        <v>6</v>
      </c>
      <c r="AN24" t="s">
        <v>1</v>
      </c>
      <c r="AO24">
        <v>225</v>
      </c>
      <c r="AP24" t="s">
        <v>6</v>
      </c>
      <c r="AQ24" s="64" t="s">
        <v>1</v>
      </c>
      <c r="AR24" s="64">
        <v>250</v>
      </c>
      <c r="AS24" s="64" t="s">
        <v>6</v>
      </c>
      <c r="AT24" s="64" t="s">
        <v>1</v>
      </c>
      <c r="AU24" s="64">
        <v>250</v>
      </c>
      <c r="AV24" s="64" t="s">
        <v>6</v>
      </c>
      <c r="AW24" s="65" t="s">
        <v>148</v>
      </c>
      <c r="AX24" s="65">
        <v>0.3</v>
      </c>
      <c r="AY24" s="64"/>
    </row>
    <row r="25" spans="1:51" ht="12.75">
      <c r="A25" s="7" t="s">
        <v>44</v>
      </c>
      <c r="B25" s="7" t="s">
        <v>32</v>
      </c>
      <c r="C25" s="7" t="s">
        <v>67</v>
      </c>
      <c r="D25" s="18" t="s">
        <v>69</v>
      </c>
      <c r="E25" s="1">
        <v>0.0016</v>
      </c>
      <c r="G25" s="18" t="s">
        <v>34</v>
      </c>
      <c r="H25" s="1"/>
      <c r="I25" s="2"/>
      <c r="J25" s="18" t="s">
        <v>64</v>
      </c>
      <c r="K25" s="10">
        <v>2.81E-08</v>
      </c>
      <c r="L25" s="2" t="s">
        <v>63</v>
      </c>
      <c r="M25" s="18" t="s">
        <v>33</v>
      </c>
      <c r="N25" s="1">
        <f>(N5/(N8*N10*N7*N9*(1/N6)))*N22</f>
        <v>35.872820387794725</v>
      </c>
      <c r="O25" s="18" t="s">
        <v>8</v>
      </c>
      <c r="P25" s="18" t="s">
        <v>33</v>
      </c>
      <c r="Q25" s="1">
        <f>(Q5/(Q8*Q10*Q7*Q9*(1/Q6)))*Q22</f>
        <v>19.929344659885956</v>
      </c>
      <c r="R25" s="18" t="s">
        <v>8</v>
      </c>
      <c r="S25" s="18" t="s">
        <v>33</v>
      </c>
      <c r="T25" s="1">
        <f>(T5/(T8*T10*T7*T9*(1/T6)))*T22</f>
        <v>17.936410193897363</v>
      </c>
      <c r="U25" s="18" t="s">
        <v>8</v>
      </c>
      <c r="V25" s="59" t="s">
        <v>183</v>
      </c>
      <c r="W25" s="57">
        <f>T16</f>
        <v>2.81E-08</v>
      </c>
      <c r="X25" s="53" t="s">
        <v>170</v>
      </c>
      <c r="Y25" t="s">
        <v>2</v>
      </c>
      <c r="Z25">
        <v>30</v>
      </c>
      <c r="AA25" t="s">
        <v>5</v>
      </c>
      <c r="AB25" t="s">
        <v>2</v>
      </c>
      <c r="AC25">
        <v>30</v>
      </c>
      <c r="AD25" t="s">
        <v>5</v>
      </c>
      <c r="AE25" t="s">
        <v>2</v>
      </c>
      <c r="AF25">
        <v>25</v>
      </c>
      <c r="AG25" t="s">
        <v>5</v>
      </c>
      <c r="AH25" t="s">
        <v>2</v>
      </c>
      <c r="AI25">
        <v>25</v>
      </c>
      <c r="AJ25" t="s">
        <v>5</v>
      </c>
      <c r="AK25" t="s">
        <v>2</v>
      </c>
      <c r="AL25">
        <v>25</v>
      </c>
      <c r="AM25" t="s">
        <v>5</v>
      </c>
      <c r="AN25" t="s">
        <v>2</v>
      </c>
      <c r="AO25">
        <v>25</v>
      </c>
      <c r="AP25" t="s">
        <v>5</v>
      </c>
      <c r="AQ25" t="s">
        <v>2</v>
      </c>
      <c r="AR25">
        <v>25</v>
      </c>
      <c r="AS25" t="s">
        <v>5</v>
      </c>
      <c r="AT25" t="s">
        <v>2</v>
      </c>
      <c r="AU25">
        <v>25</v>
      </c>
      <c r="AV25" t="s">
        <v>5</v>
      </c>
      <c r="AW25" s="65" t="s">
        <v>149</v>
      </c>
      <c r="AX25" s="69">
        <v>1.5</v>
      </c>
      <c r="AY25" s="64"/>
    </row>
    <row r="26" spans="1:51" ht="12.75">
      <c r="A26" s="7" t="s">
        <v>44</v>
      </c>
      <c r="B26" s="8">
        <f>B33</f>
        <v>0.013161704703993261</v>
      </c>
      <c r="C26" s="9"/>
      <c r="D26" t="s">
        <v>1</v>
      </c>
      <c r="E26">
        <v>250</v>
      </c>
      <c r="F26" t="s">
        <v>6</v>
      </c>
      <c r="J26" s="18" t="s">
        <v>120</v>
      </c>
      <c r="K26" s="1">
        <v>0.073</v>
      </c>
      <c r="L26" s="2"/>
      <c r="M26" s="18" t="s">
        <v>34</v>
      </c>
      <c r="N26" s="1">
        <f>(N5/(N16*N11*N7*N9*(1/N15)*N17*N18*N23))*N22</f>
        <v>394.98400811329856</v>
      </c>
      <c r="O26" s="18" t="s">
        <v>8</v>
      </c>
      <c r="P26" s="18" t="s">
        <v>34</v>
      </c>
      <c r="Q26" s="1">
        <f>(Q5/(Q16*Q11*Q7*Q9*(1/Q15)*Q17*Q18*Q23))*Q22</f>
        <v>438.8711201258872</v>
      </c>
      <c r="R26" s="18" t="s">
        <v>8</v>
      </c>
      <c r="S26" s="18" t="s">
        <v>34</v>
      </c>
      <c r="T26" s="1">
        <f>(T5/(T16*T11*T7*T9*(1/T15)*T17*T18*T23))*T22</f>
        <v>394.98400811329856</v>
      </c>
      <c r="U26" s="18" t="s">
        <v>8</v>
      </c>
      <c r="V26" s="59"/>
      <c r="W26" s="52"/>
      <c r="X26" s="53"/>
      <c r="Y26" t="s">
        <v>118</v>
      </c>
      <c r="Z26">
        <v>0.4</v>
      </c>
      <c r="AB26" t="s">
        <v>118</v>
      </c>
      <c r="AC26">
        <v>0.4</v>
      </c>
      <c r="AE26" t="s">
        <v>118</v>
      </c>
      <c r="AF26">
        <v>0.4</v>
      </c>
      <c r="AH26" t="s">
        <v>118</v>
      </c>
      <c r="AI26">
        <v>0.4</v>
      </c>
      <c r="AK26" t="s">
        <v>118</v>
      </c>
      <c r="AL26">
        <v>0.4</v>
      </c>
      <c r="AN26" t="s">
        <v>118</v>
      </c>
      <c r="AO26">
        <v>0.4</v>
      </c>
      <c r="AQ26" s="64"/>
      <c r="AR26" s="64"/>
      <c r="AS26" s="64"/>
      <c r="AT26" s="64"/>
      <c r="AU26" s="64"/>
      <c r="AV26" s="64"/>
      <c r="AW26" s="65" t="s">
        <v>117</v>
      </c>
      <c r="AX26" s="65">
        <v>30</v>
      </c>
      <c r="AY26" s="64"/>
    </row>
    <row r="27" spans="1:51" ht="12.75">
      <c r="A27" s="7"/>
      <c r="B27" s="8" t="s">
        <v>84</v>
      </c>
      <c r="C27" s="9"/>
      <c r="D27" t="s">
        <v>2</v>
      </c>
      <c r="E27">
        <v>25</v>
      </c>
      <c r="F27" t="s">
        <v>5</v>
      </c>
      <c r="G27" s="18"/>
      <c r="J27" s="18" t="s">
        <v>122</v>
      </c>
      <c r="K27" s="10">
        <v>0.684</v>
      </c>
      <c r="L27" s="2"/>
      <c r="M27" s="18" t="s">
        <v>75</v>
      </c>
      <c r="N27" s="1">
        <f>(N5/(N14*N13*N17*N18*N12*N7*(1/N21)*N9))*N22</f>
        <v>16.776240836627085</v>
      </c>
      <c r="O27" s="18" t="s">
        <v>8</v>
      </c>
      <c r="P27" s="18" t="s">
        <v>75</v>
      </c>
      <c r="Q27" s="1">
        <f>(Q5/(Q14*Q13*Q17*Q18*Q12*Q7*(1/Q21)*Q9))*Q22</f>
        <v>7.456107038500926</v>
      </c>
      <c r="R27" s="18" t="s">
        <v>8</v>
      </c>
      <c r="S27" s="18" t="s">
        <v>75</v>
      </c>
      <c r="T27" s="1">
        <f>(T5/(T14*T13*T17*T18*T12*T7*(1/T21)*T9))*T22</f>
        <v>6.7104963346508315</v>
      </c>
      <c r="U27" s="18" t="s">
        <v>8</v>
      </c>
      <c r="V27" s="59"/>
      <c r="W27" s="57"/>
      <c r="X27" s="53"/>
      <c r="Y27" t="s">
        <v>119</v>
      </c>
      <c r="Z27">
        <v>1</v>
      </c>
      <c r="AB27" t="s">
        <v>119</v>
      </c>
      <c r="AC27">
        <v>1</v>
      </c>
      <c r="AE27" t="s">
        <v>119</v>
      </c>
      <c r="AF27">
        <v>1</v>
      </c>
      <c r="AH27" t="s">
        <v>119</v>
      </c>
      <c r="AI27">
        <v>1</v>
      </c>
      <c r="AK27" t="s">
        <v>119</v>
      </c>
      <c r="AL27">
        <v>1</v>
      </c>
      <c r="AN27" t="s">
        <v>119</v>
      </c>
      <c r="AO27">
        <v>1</v>
      </c>
      <c r="AQ27" s="64" t="s">
        <v>119</v>
      </c>
      <c r="AR27" s="64">
        <v>1</v>
      </c>
      <c r="AS27" s="64"/>
      <c r="AT27" s="64" t="s">
        <v>119</v>
      </c>
      <c r="AU27" s="64">
        <v>1</v>
      </c>
      <c r="AV27" s="64"/>
      <c r="AW27" s="65" t="s">
        <v>256</v>
      </c>
      <c r="AX27" s="69">
        <v>70</v>
      </c>
      <c r="AY27" s="64"/>
    </row>
    <row r="28" spans="1:51" ht="12.75">
      <c r="A28" s="18" t="s">
        <v>0</v>
      </c>
      <c r="B28" s="1">
        <v>1E-06</v>
      </c>
      <c r="D28" t="s">
        <v>64</v>
      </c>
      <c r="E28" s="10">
        <v>2.81E-08</v>
      </c>
      <c r="F28" s="2" t="s">
        <v>63</v>
      </c>
      <c r="J28" s="18" t="s">
        <v>2</v>
      </c>
      <c r="K28" s="21">
        <v>30</v>
      </c>
      <c r="L28" s="2" t="s">
        <v>15</v>
      </c>
      <c r="M28" s="18"/>
      <c r="N28" s="21"/>
      <c r="O28" s="2"/>
      <c r="P28" s="18"/>
      <c r="Q28" s="21"/>
      <c r="R28" s="2"/>
      <c r="S28" s="18"/>
      <c r="T28" s="21"/>
      <c r="U28" s="2"/>
      <c r="V28" s="59" t="s">
        <v>172</v>
      </c>
      <c r="W28" s="62">
        <v>40</v>
      </c>
      <c r="X28" s="53" t="s">
        <v>15</v>
      </c>
      <c r="Y28" t="s">
        <v>77</v>
      </c>
      <c r="Z28">
        <f>Z12</f>
        <v>0.965</v>
      </c>
      <c r="AB28" t="s">
        <v>77</v>
      </c>
      <c r="AC28">
        <f>Z12</f>
        <v>0.965</v>
      </c>
      <c r="AE28" t="s">
        <v>77</v>
      </c>
      <c r="AF28">
        <f>Z28</f>
        <v>0.965</v>
      </c>
      <c r="AH28" t="s">
        <v>77</v>
      </c>
      <c r="AI28">
        <f>AC28</f>
        <v>0.965</v>
      </c>
      <c r="AK28" t="s">
        <v>77</v>
      </c>
      <c r="AL28">
        <f>AF28</f>
        <v>0.965</v>
      </c>
      <c r="AN28" t="s">
        <v>77</v>
      </c>
      <c r="AO28">
        <f>AI28</f>
        <v>0.965</v>
      </c>
      <c r="AQ28" s="64" t="s">
        <v>77</v>
      </c>
      <c r="AR28" s="64">
        <v>0.965</v>
      </c>
      <c r="AS28" s="64"/>
      <c r="AT28" s="64" t="s">
        <v>77</v>
      </c>
      <c r="AU28" s="64">
        <v>0.965</v>
      </c>
      <c r="AV28" s="64"/>
      <c r="AW28" s="65" t="s">
        <v>150</v>
      </c>
      <c r="AX28" s="69">
        <f>1+(AX30*AX31*AX32/AX33*AX34)</f>
        <v>1.7379506112711414</v>
      </c>
      <c r="AY28" s="64"/>
    </row>
    <row r="29" spans="1:51" ht="12.75">
      <c r="A29" s="18" t="s">
        <v>1</v>
      </c>
      <c r="B29" s="21">
        <v>350</v>
      </c>
      <c r="C29" s="18" t="s">
        <v>14</v>
      </c>
      <c r="D29" t="s">
        <v>51</v>
      </c>
      <c r="E29" s="21">
        <v>8</v>
      </c>
      <c r="F29" s="2" t="s">
        <v>47</v>
      </c>
      <c r="J29" s="18" t="s">
        <v>3</v>
      </c>
      <c r="K29" s="10">
        <v>24</v>
      </c>
      <c r="L29" s="2" t="s">
        <v>54</v>
      </c>
      <c r="M29" s="18"/>
      <c r="N29" s="10"/>
      <c r="O29" s="2"/>
      <c r="P29" s="18"/>
      <c r="Q29" s="10"/>
      <c r="R29" s="2"/>
      <c r="S29" s="18"/>
      <c r="T29" s="10"/>
      <c r="U29" s="2"/>
      <c r="V29" s="59" t="s">
        <v>184</v>
      </c>
      <c r="W29" s="57">
        <v>0.507</v>
      </c>
      <c r="X29" s="53"/>
      <c r="Y29" t="s">
        <v>120</v>
      </c>
      <c r="Z29">
        <v>0.073</v>
      </c>
      <c r="AA29" t="s">
        <v>127</v>
      </c>
      <c r="AB29" t="s">
        <v>120</v>
      </c>
      <c r="AC29">
        <v>0.073</v>
      </c>
      <c r="AD29" t="s">
        <v>127</v>
      </c>
      <c r="AE29" t="s">
        <v>120</v>
      </c>
      <c r="AF29">
        <v>0</v>
      </c>
      <c r="AG29" t="s">
        <v>127</v>
      </c>
      <c r="AH29" t="s">
        <v>120</v>
      </c>
      <c r="AI29">
        <v>0</v>
      </c>
      <c r="AJ29" t="s">
        <v>127</v>
      </c>
      <c r="AK29" t="s">
        <v>120</v>
      </c>
      <c r="AL29">
        <v>0.33</v>
      </c>
      <c r="AM29" t="s">
        <v>127</v>
      </c>
      <c r="AN29" t="s">
        <v>3</v>
      </c>
      <c r="AO29">
        <v>0.33</v>
      </c>
      <c r="AP29" t="s">
        <v>54</v>
      </c>
      <c r="AQ29" s="65" t="s">
        <v>166</v>
      </c>
      <c r="AR29" s="64">
        <v>8</v>
      </c>
      <c r="AS29" s="65" t="s">
        <v>254</v>
      </c>
      <c r="AT29" s="65" t="s">
        <v>166</v>
      </c>
      <c r="AU29" s="64">
        <v>8</v>
      </c>
      <c r="AV29" s="65" t="s">
        <v>254</v>
      </c>
      <c r="AW29" s="65" t="s">
        <v>151</v>
      </c>
      <c r="AX29" s="65">
        <f>AX12</f>
        <v>8.2</v>
      </c>
      <c r="AY29" s="64"/>
    </row>
    <row r="30" spans="1:51" ht="12.75">
      <c r="A30" s="18" t="s">
        <v>16</v>
      </c>
      <c r="B30" s="1">
        <v>1.34E-10</v>
      </c>
      <c r="C30" s="18" t="s">
        <v>17</v>
      </c>
      <c r="E30" s="21">
        <v>24</v>
      </c>
      <c r="F30" s="2" t="s">
        <v>47</v>
      </c>
      <c r="J30" s="18" t="s">
        <v>163</v>
      </c>
      <c r="K30" s="10">
        <f>1/24</f>
        <v>0.041666666666666664</v>
      </c>
      <c r="L30" s="2" t="s">
        <v>164</v>
      </c>
      <c r="U30" s="2"/>
      <c r="V30" s="59" t="s">
        <v>185</v>
      </c>
      <c r="W30" s="57">
        <v>0.417</v>
      </c>
      <c r="X30" s="53"/>
      <c r="Y30" t="s">
        <v>65</v>
      </c>
      <c r="Z30" s="10">
        <v>8.63E-12</v>
      </c>
      <c r="AA30" s="2" t="s">
        <v>121</v>
      </c>
      <c r="AB30" t="s">
        <v>65</v>
      </c>
      <c r="AC30" s="10">
        <v>1.96E-08</v>
      </c>
      <c r="AD30" s="2" t="s">
        <v>121</v>
      </c>
      <c r="AE30" t="s">
        <v>65</v>
      </c>
      <c r="AF30" s="10">
        <f>Z30</f>
        <v>8.63E-12</v>
      </c>
      <c r="AG30" s="2" t="s">
        <v>121</v>
      </c>
      <c r="AH30" t="s">
        <v>65</v>
      </c>
      <c r="AI30" s="10">
        <f>AC30</f>
        <v>1.96E-08</v>
      </c>
      <c r="AJ30" s="2" t="s">
        <v>121</v>
      </c>
      <c r="AK30" t="s">
        <v>65</v>
      </c>
      <c r="AL30" s="10">
        <f>AF30</f>
        <v>8.63E-12</v>
      </c>
      <c r="AM30" s="2" t="s">
        <v>121</v>
      </c>
      <c r="AN30" t="s">
        <v>65</v>
      </c>
      <c r="AO30" s="10">
        <f>AI30</f>
        <v>1.96E-08</v>
      </c>
      <c r="AP30" s="2" t="s">
        <v>121</v>
      </c>
      <c r="AQ30" s="64" t="s">
        <v>181</v>
      </c>
      <c r="AR30" s="69">
        <f>AL30</f>
        <v>8.63E-12</v>
      </c>
      <c r="AS30" s="65" t="s">
        <v>255</v>
      </c>
      <c r="AT30" s="64" t="s">
        <v>181</v>
      </c>
      <c r="AU30" s="69">
        <f>AO30</f>
        <v>1.96E-08</v>
      </c>
      <c r="AV30" s="65" t="s">
        <v>255</v>
      </c>
      <c r="AW30" s="65" t="s">
        <v>24</v>
      </c>
      <c r="AX30" s="72">
        <v>1</v>
      </c>
      <c r="AY30" s="64" t="s">
        <v>147</v>
      </c>
    </row>
    <row r="31" spans="1:51" ht="12.75">
      <c r="A31" s="18" t="s">
        <v>2</v>
      </c>
      <c r="B31" s="19">
        <v>30</v>
      </c>
      <c r="D31" t="s">
        <v>101</v>
      </c>
      <c r="E31" s="1">
        <v>60</v>
      </c>
      <c r="F31" s="2" t="s">
        <v>74</v>
      </c>
      <c r="J31" s="18"/>
      <c r="K31" s="21"/>
      <c r="V31" s="59"/>
      <c r="W31" s="62"/>
      <c r="X31" s="51"/>
      <c r="Y31" t="s">
        <v>122</v>
      </c>
      <c r="Z31">
        <v>0.683</v>
      </c>
      <c r="AA31" t="s">
        <v>127</v>
      </c>
      <c r="AB31" t="s">
        <v>122</v>
      </c>
      <c r="AC31">
        <v>0.683</v>
      </c>
      <c r="AD31" t="s">
        <v>127</v>
      </c>
      <c r="AE31" s="2" t="s">
        <v>166</v>
      </c>
      <c r="AF31">
        <v>8</v>
      </c>
      <c r="AG31" s="2" t="s">
        <v>54</v>
      </c>
      <c r="AH31" s="2" t="s">
        <v>166</v>
      </c>
      <c r="AI31">
        <v>8</v>
      </c>
      <c r="AJ31" s="2" t="s">
        <v>54</v>
      </c>
      <c r="AK31" s="2" t="s">
        <v>166</v>
      </c>
      <c r="AL31">
        <v>8</v>
      </c>
      <c r="AM31" s="2" t="s">
        <v>54</v>
      </c>
      <c r="AN31" s="2" t="s">
        <v>166</v>
      </c>
      <c r="AO31">
        <v>8</v>
      </c>
      <c r="AP31" s="2" t="s">
        <v>54</v>
      </c>
      <c r="AQ31" s="2" t="s">
        <v>166</v>
      </c>
      <c r="AR31">
        <v>8</v>
      </c>
      <c r="AS31" s="2" t="s">
        <v>54</v>
      </c>
      <c r="AT31" s="2" t="s">
        <v>166</v>
      </c>
      <c r="AU31">
        <v>8</v>
      </c>
      <c r="AV31" s="2" t="s">
        <v>54</v>
      </c>
      <c r="AW31" s="64" t="s">
        <v>140</v>
      </c>
      <c r="AX31" s="72">
        <v>1</v>
      </c>
      <c r="AY31" s="64" t="s">
        <v>146</v>
      </c>
    </row>
    <row r="32" spans="1:51" ht="12.75">
      <c r="A32" s="18" t="s">
        <v>45</v>
      </c>
      <c r="B32" s="1">
        <v>54</v>
      </c>
      <c r="C32" t="s">
        <v>46</v>
      </c>
      <c r="D32" s="17" t="s">
        <v>108</v>
      </c>
      <c r="E32" s="1">
        <v>5.84E-11</v>
      </c>
      <c r="F32" s="17" t="s">
        <v>109</v>
      </c>
      <c r="J32" s="18" t="s">
        <v>48</v>
      </c>
      <c r="K32" s="21">
        <v>24</v>
      </c>
      <c r="L32" s="21" t="s">
        <v>47</v>
      </c>
      <c r="M32" s="18"/>
      <c r="N32" s="21"/>
      <c r="O32" s="21"/>
      <c r="P32" s="18"/>
      <c r="Q32" s="21"/>
      <c r="R32" s="21"/>
      <c r="S32" s="18"/>
      <c r="T32" s="21"/>
      <c r="U32" s="21"/>
      <c r="V32" s="59" t="s">
        <v>186</v>
      </c>
      <c r="W32" s="62">
        <v>24</v>
      </c>
      <c r="X32" s="62" t="s">
        <v>47</v>
      </c>
      <c r="AW32" s="64" t="s">
        <v>141</v>
      </c>
      <c r="AX32" s="72">
        <f>((0.0112*AX34*AX34)^0.5)+AX35*(1-EXP((-AX34*AX33)/(AX30*AX31*AX35)))</f>
        <v>0.7379506112711413</v>
      </c>
      <c r="AY32" s="64" t="s">
        <v>145</v>
      </c>
    </row>
    <row r="33" spans="1:51" ht="12.75">
      <c r="A33" s="18" t="s">
        <v>33</v>
      </c>
      <c r="B33" s="1">
        <f>B28/(B30*B29*B31*B32)</f>
        <v>0.013161704703993261</v>
      </c>
      <c r="C33" s="2"/>
      <c r="D33" s="17" t="s">
        <v>78</v>
      </c>
      <c r="E33" s="17">
        <v>1</v>
      </c>
      <c r="K33" s="21">
        <v>24</v>
      </c>
      <c r="L33" t="s">
        <v>47</v>
      </c>
      <c r="N33" s="21"/>
      <c r="Q33" s="21"/>
      <c r="T33" s="21"/>
      <c r="V33" s="51"/>
      <c r="W33" s="62">
        <f>1/24</f>
        <v>0.041666666666666664</v>
      </c>
      <c r="X33" s="51" t="s">
        <v>261</v>
      </c>
      <c r="Y33" s="34" t="s">
        <v>112</v>
      </c>
      <c r="Z33" s="34" t="s">
        <v>126</v>
      </c>
      <c r="AA33" s="34" t="s">
        <v>81</v>
      </c>
      <c r="AE33" s="37" t="s">
        <v>112</v>
      </c>
      <c r="AF33" s="37" t="s">
        <v>126</v>
      </c>
      <c r="AG33" s="37" t="s">
        <v>81</v>
      </c>
      <c r="AK33" s="38" t="s">
        <v>112</v>
      </c>
      <c r="AL33" s="38" t="s">
        <v>126</v>
      </c>
      <c r="AM33" s="38" t="s">
        <v>81</v>
      </c>
      <c r="AQ33" s="73" t="s">
        <v>112</v>
      </c>
      <c r="AR33" s="73" t="s">
        <v>126</v>
      </c>
      <c r="AS33" s="73" t="s">
        <v>81</v>
      </c>
      <c r="AW33" s="64" t="s">
        <v>139</v>
      </c>
      <c r="AX33" s="72">
        <v>1</v>
      </c>
      <c r="AY33" s="64" t="s">
        <v>147</v>
      </c>
    </row>
    <row r="34" spans="3:51" ht="12.75">
      <c r="C34" s="2"/>
      <c r="D34" t="s">
        <v>34</v>
      </c>
      <c r="E34" s="1">
        <f>(E24)/((E29/E30)*E26*E27*E28*E31)</f>
        <v>0.0002846975088967972</v>
      </c>
      <c r="F34" t="s">
        <v>110</v>
      </c>
      <c r="J34" s="21" t="s">
        <v>82</v>
      </c>
      <c r="K34" s="21">
        <v>30</v>
      </c>
      <c r="L34" s="21" t="s">
        <v>68</v>
      </c>
      <c r="V34" s="62" t="s">
        <v>187</v>
      </c>
      <c r="W34" s="62">
        <v>40</v>
      </c>
      <c r="X34" s="62" t="s">
        <v>68</v>
      </c>
      <c r="Y34" s="36"/>
      <c r="Z34" s="34" t="s">
        <v>84</v>
      </c>
      <c r="AA34" s="35" t="s">
        <v>67</v>
      </c>
      <c r="AE34" s="37" t="s">
        <v>53</v>
      </c>
      <c r="AF34" s="37" t="s">
        <v>128</v>
      </c>
      <c r="AG34" s="39" t="s">
        <v>67</v>
      </c>
      <c r="AK34" s="38" t="s">
        <v>52</v>
      </c>
      <c r="AL34" s="38" t="s">
        <v>128</v>
      </c>
      <c r="AM34" s="40" t="s">
        <v>67</v>
      </c>
      <c r="AQ34" s="74" t="s">
        <v>253</v>
      </c>
      <c r="AR34" s="73" t="s">
        <v>128</v>
      </c>
      <c r="AS34" s="75" t="s">
        <v>67</v>
      </c>
      <c r="AW34" s="64" t="s">
        <v>142</v>
      </c>
      <c r="AX34" s="72">
        <v>1</v>
      </c>
      <c r="AY34" s="64" t="s">
        <v>145</v>
      </c>
    </row>
    <row r="35" spans="1:51" ht="12.75">
      <c r="A35" s="7" t="s">
        <v>9</v>
      </c>
      <c r="B35" s="7"/>
      <c r="C35" s="7" t="s">
        <v>81</v>
      </c>
      <c r="D35" t="s">
        <v>111</v>
      </c>
      <c r="E35" s="1">
        <f>(E24)/((E29/E30)*E26*E27*E32*(1/365))</f>
        <v>3000</v>
      </c>
      <c r="F35" t="s">
        <v>110</v>
      </c>
      <c r="J35" s="21" t="s">
        <v>69</v>
      </c>
      <c r="K35" s="21">
        <v>0.0016</v>
      </c>
      <c r="V35" s="62" t="s">
        <v>69</v>
      </c>
      <c r="W35" s="62">
        <v>0.0016</v>
      </c>
      <c r="X35" s="51"/>
      <c r="Y35" s="34" t="s">
        <v>116</v>
      </c>
      <c r="Z35" s="36">
        <f>(Z37*Z38*Z39)/((1-EXP(-Z39*Z38))*Z41*Z46*(Z40/365)*Z44*((Z45)+(Z47*Z42)))</f>
        <v>4.130578295184623</v>
      </c>
      <c r="AA35" s="35" t="s">
        <v>8</v>
      </c>
      <c r="AE35" s="37" t="s">
        <v>116</v>
      </c>
      <c r="AF35" s="41">
        <f>(AF37*AF38*AF39)/((1-EXP(-AF39*AF38))*AF41*AF46*(AF40/365)*AF44*(AF47/24)*AF42)</f>
        <v>17.946676243833622</v>
      </c>
      <c r="AG35" s="39" t="s">
        <v>8</v>
      </c>
      <c r="AK35" s="38" t="s">
        <v>116</v>
      </c>
      <c r="AL35" s="50">
        <f>(AL37*AL38*AL39)/((1-EXP(-AL39*AL38))*AL41*AL46*(AL40/365)*AL44*(AL47/24)*AL43)</f>
        <v>7.976300552814944</v>
      </c>
      <c r="AM35" s="40" t="s">
        <v>8</v>
      </c>
      <c r="AQ35" s="73"/>
      <c r="AR35" s="86">
        <f>(AR37*AR38*AR39)/((1-EXP(-AR39*AR38))*AR41*AR46*(AR40/365)*AR44*(AR47/24)*AR43)</f>
        <v>7.1786704975334485</v>
      </c>
      <c r="AS35" s="75" t="s">
        <v>8</v>
      </c>
      <c r="AW35" s="64" t="s">
        <v>143</v>
      </c>
      <c r="AX35" s="72">
        <v>1</v>
      </c>
      <c r="AY35" s="64" t="s">
        <v>145</v>
      </c>
    </row>
    <row r="36" spans="1:51" ht="12.75">
      <c r="A36" s="7" t="s">
        <v>44</v>
      </c>
      <c r="B36" s="7" t="s">
        <v>32</v>
      </c>
      <c r="C36" s="7" t="s">
        <v>97</v>
      </c>
      <c r="D36" t="s">
        <v>34</v>
      </c>
      <c r="E36" s="1">
        <f>(E24*E25*E27)/((E29/E30)*(1-EXP(-E25*E27))*E28*E31*E26*E27)</f>
        <v>0.00029042941773036655</v>
      </c>
      <c r="F36" t="s">
        <v>80</v>
      </c>
      <c r="K36" s="21">
        <v>365</v>
      </c>
      <c r="L36" t="s">
        <v>79</v>
      </c>
      <c r="V36" s="51"/>
      <c r="W36" s="62">
        <v>365</v>
      </c>
      <c r="X36" s="51" t="s">
        <v>79</v>
      </c>
      <c r="Y36" s="34" t="s">
        <v>115</v>
      </c>
      <c r="Z36" s="36"/>
      <c r="AA36" s="35"/>
      <c r="AE36" s="37" t="s">
        <v>115</v>
      </c>
      <c r="AF36" s="41"/>
      <c r="AG36" s="39"/>
      <c r="AK36" s="38" t="s">
        <v>115</v>
      </c>
      <c r="AL36" s="42"/>
      <c r="AM36" s="40"/>
      <c r="AN36" s="17"/>
      <c r="AO36" s="17"/>
      <c r="AP36" s="17"/>
      <c r="AQ36" s="73" t="s">
        <v>115</v>
      </c>
      <c r="AR36" s="76"/>
      <c r="AS36" s="75"/>
      <c r="AT36" s="70"/>
      <c r="AU36" s="70"/>
      <c r="AV36" s="70"/>
      <c r="AW36" s="64" t="s">
        <v>144</v>
      </c>
      <c r="AX36" s="72">
        <v>1</v>
      </c>
      <c r="AY36" s="64" t="s">
        <v>145</v>
      </c>
    </row>
    <row r="37" spans="1:48" ht="12.75">
      <c r="A37" s="7" t="s">
        <v>96</v>
      </c>
      <c r="B37" s="8">
        <f>B47</f>
        <v>0.43872349013310874</v>
      </c>
      <c r="C37" s="9"/>
      <c r="D37" t="s">
        <v>111</v>
      </c>
      <c r="E37" s="1">
        <f>(E24*E25*E27)/((E29/E30)*(1-EXP(-E25*E27))*E32*E26*E27*(1/365))</f>
        <v>3060.3999893337373</v>
      </c>
      <c r="F37" t="s">
        <v>80</v>
      </c>
      <c r="J37" s="2" t="s">
        <v>80</v>
      </c>
      <c r="K37">
        <f>(K34*K35)/(1-EXP(-K35*K34))</f>
        <v>1.0241919926276042</v>
      </c>
      <c r="V37" s="53" t="s">
        <v>80</v>
      </c>
      <c r="W37" s="51">
        <f>(W34*W35)/(1-EXP(-W35*W34))</f>
        <v>1.0323413100339163</v>
      </c>
      <c r="X37" s="51"/>
      <c r="Y37" t="s">
        <v>0</v>
      </c>
      <c r="Z37" s="1">
        <v>1E-06</v>
      </c>
      <c r="AE37" t="s">
        <v>0</v>
      </c>
      <c r="AF37" s="1">
        <v>1E-06</v>
      </c>
      <c r="AK37" t="s">
        <v>0</v>
      </c>
      <c r="AL37" s="1">
        <v>1E-06</v>
      </c>
      <c r="AQ37" t="s">
        <v>0</v>
      </c>
      <c r="AR37" s="1">
        <v>1E-06</v>
      </c>
      <c r="AT37" s="64"/>
      <c r="AU37" s="64"/>
      <c r="AV37" s="64"/>
    </row>
    <row r="38" spans="1:45" ht="12.75">
      <c r="A38" s="7" t="s">
        <v>56</v>
      </c>
      <c r="B38" s="8" t="s">
        <v>84</v>
      </c>
      <c r="C38" s="9"/>
      <c r="G38" s="18"/>
      <c r="H38" s="1"/>
      <c r="I38" s="2"/>
      <c r="K38">
        <v>1000</v>
      </c>
      <c r="L38" t="s">
        <v>83</v>
      </c>
      <c r="V38" s="51"/>
      <c r="W38" s="51">
        <v>1000</v>
      </c>
      <c r="X38" s="51" t="s">
        <v>83</v>
      </c>
      <c r="Y38" t="s">
        <v>117</v>
      </c>
      <c r="Z38">
        <v>30</v>
      </c>
      <c r="AA38" t="s">
        <v>5</v>
      </c>
      <c r="AE38" t="s">
        <v>117</v>
      </c>
      <c r="AF38">
        <v>25</v>
      </c>
      <c r="AG38" t="s">
        <v>5</v>
      </c>
      <c r="AK38" t="s">
        <v>117</v>
      </c>
      <c r="AL38">
        <v>25</v>
      </c>
      <c r="AM38" t="s">
        <v>5</v>
      </c>
      <c r="AQ38" t="s">
        <v>117</v>
      </c>
      <c r="AR38">
        <v>25</v>
      </c>
      <c r="AS38" t="s">
        <v>5</v>
      </c>
    </row>
    <row r="39" spans="1:48" ht="12.75">
      <c r="A39" s="18" t="s">
        <v>0</v>
      </c>
      <c r="B39" s="1">
        <v>1E-06</v>
      </c>
      <c r="D39" s="82" t="s">
        <v>11</v>
      </c>
      <c r="E39" s="82" t="s">
        <v>253</v>
      </c>
      <c r="F39" s="80" t="s">
        <v>81</v>
      </c>
      <c r="G39" s="18"/>
      <c r="H39" s="1"/>
      <c r="I39" s="2"/>
      <c r="V39" s="51"/>
      <c r="W39" s="51"/>
      <c r="X39" s="51"/>
      <c r="Y39" t="s">
        <v>69</v>
      </c>
      <c r="Z39" s="10">
        <f>Z7</f>
        <v>0.0016</v>
      </c>
      <c r="AE39" t="s">
        <v>69</v>
      </c>
      <c r="AF39" s="10">
        <f>Z39</f>
        <v>0.0016</v>
      </c>
      <c r="AK39" t="s">
        <v>69</v>
      </c>
      <c r="AL39" s="10">
        <f>AF39</f>
        <v>0.0016</v>
      </c>
      <c r="AQ39" s="64" t="s">
        <v>69</v>
      </c>
      <c r="AR39" s="69">
        <v>0.0016</v>
      </c>
      <c r="AS39" s="64"/>
      <c r="AT39" s="64"/>
      <c r="AU39" s="64"/>
      <c r="AV39" s="64"/>
    </row>
    <row r="40" spans="1:48" ht="12.75">
      <c r="A40" s="18" t="s">
        <v>1</v>
      </c>
      <c r="B40" s="21">
        <v>350</v>
      </c>
      <c r="C40" s="18" t="s">
        <v>14</v>
      </c>
      <c r="D40" s="80" t="s">
        <v>10</v>
      </c>
      <c r="E40" s="80" t="s">
        <v>167</v>
      </c>
      <c r="F40" s="80" t="s">
        <v>93</v>
      </c>
      <c r="G40" s="18"/>
      <c r="H40" s="1"/>
      <c r="I40" s="2"/>
      <c r="J40" s="18" t="s">
        <v>33</v>
      </c>
      <c r="K40" s="1">
        <f>(K5/(K9*K10*K8*K11*(1/K6)))*K37</f>
        <v>3.745856164975511</v>
      </c>
      <c r="L40" s="2" t="s">
        <v>8</v>
      </c>
      <c r="V40" s="59" t="s">
        <v>188</v>
      </c>
      <c r="W40" s="57">
        <f>(W5/(W9*W10*W6*W8*W11))*W37</f>
        <v>2.954865357740837</v>
      </c>
      <c r="X40" s="59" t="s">
        <v>8</v>
      </c>
      <c r="Y40" t="s">
        <v>1</v>
      </c>
      <c r="Z40">
        <v>350</v>
      </c>
      <c r="AA40" t="s">
        <v>6</v>
      </c>
      <c r="AE40" t="s">
        <v>1</v>
      </c>
      <c r="AF40">
        <v>250</v>
      </c>
      <c r="AG40" t="s">
        <v>6</v>
      </c>
      <c r="AK40" t="s">
        <v>1</v>
      </c>
      <c r="AL40">
        <v>225</v>
      </c>
      <c r="AM40" t="s">
        <v>6</v>
      </c>
      <c r="AQ40" s="64" t="s">
        <v>1</v>
      </c>
      <c r="AR40" s="64">
        <v>250</v>
      </c>
      <c r="AS40" s="64" t="s">
        <v>6</v>
      </c>
      <c r="AT40" s="64"/>
      <c r="AU40" s="64"/>
      <c r="AV40" s="64"/>
    </row>
    <row r="41" spans="1:51" ht="12.75">
      <c r="A41" s="18" t="s">
        <v>16</v>
      </c>
      <c r="B41" s="1">
        <v>1.34E-10</v>
      </c>
      <c r="C41" s="18" t="s">
        <v>17</v>
      </c>
      <c r="D41" s="80" t="s">
        <v>80</v>
      </c>
      <c r="E41" s="6">
        <f>1/((1/E55)+(1/E56))</f>
        <v>0.00029042939016885863</v>
      </c>
      <c r="F41" s="81" t="s">
        <v>8</v>
      </c>
      <c r="G41" s="18"/>
      <c r="H41" s="1"/>
      <c r="I41" s="2"/>
      <c r="J41" s="18" t="s">
        <v>34</v>
      </c>
      <c r="K41" s="1">
        <f>(K5/(K25*K18*K8*K11*(1/K24)*K29*K30*K38))*K37</f>
        <v>262.27214031021896</v>
      </c>
      <c r="L41" s="2" t="s">
        <v>8</v>
      </c>
      <c r="V41" s="59" t="s">
        <v>189</v>
      </c>
      <c r="W41" s="52">
        <f>(W5/(W25*W18*W8*W11*(1/W24)*W32*W33*W38))*W37</f>
        <v>192.91061729978787</v>
      </c>
      <c r="X41" s="59" t="s">
        <v>8</v>
      </c>
      <c r="Y41" t="s">
        <v>2</v>
      </c>
      <c r="Z41">
        <v>30</v>
      </c>
      <c r="AA41" t="s">
        <v>5</v>
      </c>
      <c r="AE41" t="s">
        <v>2</v>
      </c>
      <c r="AF41">
        <v>25</v>
      </c>
      <c r="AG41" t="s">
        <v>5</v>
      </c>
      <c r="AK41" t="s">
        <v>2</v>
      </c>
      <c r="AL41">
        <v>25</v>
      </c>
      <c r="AM41" t="s">
        <v>5</v>
      </c>
      <c r="AQ41" t="s">
        <v>2</v>
      </c>
      <c r="AR41">
        <v>25</v>
      </c>
      <c r="AS41" t="s">
        <v>5</v>
      </c>
      <c r="AT41" s="64"/>
      <c r="AU41" s="64"/>
      <c r="AV41" s="64"/>
      <c r="AW41" s="64"/>
      <c r="AX41" s="64"/>
      <c r="AY41" s="64"/>
    </row>
    <row r="42" spans="1:51" ht="12.75">
      <c r="A42" s="18" t="s">
        <v>2</v>
      </c>
      <c r="B42" s="19">
        <v>30</v>
      </c>
      <c r="D42" s="80" t="s">
        <v>110</v>
      </c>
      <c r="E42" s="6">
        <f>1/((1/E53)+(1/E54))</f>
        <v>0.00028469748187924255</v>
      </c>
      <c r="F42" s="81" t="s">
        <v>8</v>
      </c>
      <c r="G42" s="18"/>
      <c r="I42" s="2"/>
      <c r="J42" s="18" t="s">
        <v>75</v>
      </c>
      <c r="K42" s="1">
        <f>(K5/(K23*K22*(K26+K27*K21)*K8*(1/K36)*K11))*K37</f>
        <v>3.856736674847299</v>
      </c>
      <c r="L42" s="2" t="s">
        <v>8</v>
      </c>
      <c r="V42" s="59" t="s">
        <v>190</v>
      </c>
      <c r="W42" s="52">
        <f>(W5/(W23*W22*(W29+W30*W21)*W8*(1/W36)*W11))*W37</f>
        <v>1.499756431698078</v>
      </c>
      <c r="X42" s="59" t="s">
        <v>8</v>
      </c>
      <c r="Y42" t="s">
        <v>118</v>
      </c>
      <c r="Z42">
        <v>0.4</v>
      </c>
      <c r="AE42" t="s">
        <v>118</v>
      </c>
      <c r="AF42">
        <v>0.4</v>
      </c>
      <c r="AQ42" s="64"/>
      <c r="AR42" s="64"/>
      <c r="AS42" s="64"/>
      <c r="AT42" s="64"/>
      <c r="AU42" s="64"/>
      <c r="AV42" s="64"/>
      <c r="AW42" s="64"/>
      <c r="AX42" s="64"/>
      <c r="AY42" s="64"/>
    </row>
    <row r="43" spans="1:51" ht="12.75">
      <c r="A43" s="18" t="s">
        <v>45</v>
      </c>
      <c r="B43" s="1">
        <v>54</v>
      </c>
      <c r="C43" t="s">
        <v>46</v>
      </c>
      <c r="D43" t="s">
        <v>0</v>
      </c>
      <c r="E43" s="1">
        <v>1E-06</v>
      </c>
      <c r="F43" s="77"/>
      <c r="G43" s="18"/>
      <c r="J43" s="46" t="s">
        <v>161</v>
      </c>
      <c r="K43" s="44">
        <f>(K5/(K7*K11*K8*(1/K36)*(K46+K47)*K38*K45*K52))*K37</f>
        <v>40.01400884016615</v>
      </c>
      <c r="L43" s="45" t="s">
        <v>8</v>
      </c>
      <c r="V43" s="59" t="s">
        <v>153</v>
      </c>
      <c r="W43" s="52">
        <f>(W5/(W11*W8*(1/W36)*(W55+W56)*W7*W38*W54*W61))*W37</f>
        <v>7.265520667385873</v>
      </c>
      <c r="X43" s="59" t="s">
        <v>8</v>
      </c>
      <c r="Y43" t="s">
        <v>119</v>
      </c>
      <c r="Z43">
        <v>1</v>
      </c>
      <c r="AE43" t="s">
        <v>119</v>
      </c>
      <c r="AF43">
        <v>1</v>
      </c>
      <c r="AK43" t="s">
        <v>118</v>
      </c>
      <c r="AL43">
        <v>1</v>
      </c>
      <c r="AQ43" s="64" t="s">
        <v>119</v>
      </c>
      <c r="AR43" s="64">
        <v>1</v>
      </c>
      <c r="AS43" s="64"/>
      <c r="AT43" s="64"/>
      <c r="AU43" s="64"/>
      <c r="AV43" s="64"/>
      <c r="AW43" s="64"/>
      <c r="AX43" s="64"/>
      <c r="AY43" s="64"/>
    </row>
    <row r="44" spans="1:51" ht="12.75">
      <c r="A44" s="18"/>
      <c r="B44" s="21">
        <v>1000</v>
      </c>
      <c r="C44" s="2" t="s">
        <v>83</v>
      </c>
      <c r="D44" s="84" t="s">
        <v>69</v>
      </c>
      <c r="E44" s="78">
        <v>0.0016</v>
      </c>
      <c r="F44" s="77"/>
      <c r="G44" s="17"/>
      <c r="J44" s="43"/>
      <c r="K44" s="43"/>
      <c r="L44" s="43"/>
      <c r="V44" s="59" t="s">
        <v>191</v>
      </c>
      <c r="W44" s="52">
        <f>((W5)/(W68*W38*W7*(W8/365)*W11*W69*(1/(W53+W65*(W66/W67)))*(W51/W52)))*W37</f>
        <v>0.013930802594251059</v>
      </c>
      <c r="X44" s="53" t="s">
        <v>8</v>
      </c>
      <c r="Y44" t="s">
        <v>77</v>
      </c>
      <c r="Z44">
        <f>Z12</f>
        <v>0.965</v>
      </c>
      <c r="AE44" t="s">
        <v>77</v>
      </c>
      <c r="AF44">
        <f>Z44</f>
        <v>0.965</v>
      </c>
      <c r="AK44" t="s">
        <v>77</v>
      </c>
      <c r="AL44">
        <f>AF44</f>
        <v>0.965</v>
      </c>
      <c r="AQ44" s="64" t="s">
        <v>77</v>
      </c>
      <c r="AR44" s="64">
        <v>0.965</v>
      </c>
      <c r="AS44" s="64"/>
      <c r="AT44" s="64"/>
      <c r="AU44" s="64"/>
      <c r="AV44" s="64"/>
      <c r="AW44" s="64"/>
      <c r="AX44" s="64"/>
      <c r="AY44" s="64"/>
    </row>
    <row r="45" spans="1:51" ht="12.75">
      <c r="A45" s="18" t="s">
        <v>98</v>
      </c>
      <c r="B45" s="10">
        <v>30</v>
      </c>
      <c r="C45" s="2" t="s">
        <v>57</v>
      </c>
      <c r="D45" s="79" t="s">
        <v>257</v>
      </c>
      <c r="E45" s="77">
        <v>250</v>
      </c>
      <c r="F45" s="77" t="s">
        <v>6</v>
      </c>
      <c r="G45" s="17"/>
      <c r="J45" s="43" t="s">
        <v>154</v>
      </c>
      <c r="K45" s="43">
        <v>0.25</v>
      </c>
      <c r="L45" s="43"/>
      <c r="V45" s="59" t="s">
        <v>192</v>
      </c>
      <c r="W45" s="52">
        <f>((W5)/(W7*W38*W77*W8*(1/W36)*W11*((W70*W93*W62)+(W70*W94)+(W70*W92*(1/(W53+W65*(W66/W67)))*(1/W50)))))*W37</f>
        <v>13.551081240078704</v>
      </c>
      <c r="X45" s="57" t="s">
        <v>8</v>
      </c>
      <c r="Y45" t="s">
        <v>120</v>
      </c>
      <c r="Z45">
        <v>0.073</v>
      </c>
      <c r="AA45" t="s">
        <v>127</v>
      </c>
      <c r="AE45" t="s">
        <v>120</v>
      </c>
      <c r="AF45">
        <v>0</v>
      </c>
      <c r="AG45" t="s">
        <v>127</v>
      </c>
      <c r="AK45" t="s">
        <v>120</v>
      </c>
      <c r="AL45">
        <v>0.33</v>
      </c>
      <c r="AM45" t="s">
        <v>127</v>
      </c>
      <c r="AQ45" s="65" t="s">
        <v>166</v>
      </c>
      <c r="AR45" s="64">
        <v>8</v>
      </c>
      <c r="AS45" s="65" t="s">
        <v>254</v>
      </c>
      <c r="AT45" s="64"/>
      <c r="AU45" s="64"/>
      <c r="AV45" s="64"/>
      <c r="AW45" s="64"/>
      <c r="AX45" s="64"/>
      <c r="AY45" s="64"/>
    </row>
    <row r="46" spans="1:51" ht="12.75">
      <c r="A46" s="18" t="s">
        <v>99</v>
      </c>
      <c r="B46">
        <v>1</v>
      </c>
      <c r="C46" s="2" t="s">
        <v>100</v>
      </c>
      <c r="D46" s="79" t="s">
        <v>31</v>
      </c>
      <c r="E46" s="77">
        <v>25</v>
      </c>
      <c r="F46" s="77" t="s">
        <v>5</v>
      </c>
      <c r="G46" s="17"/>
      <c r="J46" s="43" t="s">
        <v>155</v>
      </c>
      <c r="K46" s="43">
        <v>17.480000000000004</v>
      </c>
      <c r="L46" s="43"/>
      <c r="V46" s="59" t="s">
        <v>193</v>
      </c>
      <c r="W46" s="52">
        <f>((W5)/(W7*W38*W78*W8*(1/W36)*W11*((W71*W96*W62)+(W71*W97)+(W71*W95*(1/(W53+W65*(W66/W67)))*(1/W50)))))*W37</f>
        <v>42.252491880594874</v>
      </c>
      <c r="X46" s="52" t="s">
        <v>8</v>
      </c>
      <c r="Y46" t="s">
        <v>65</v>
      </c>
      <c r="Z46" s="10">
        <v>2.58E-08</v>
      </c>
      <c r="AA46" s="2" t="s">
        <v>121</v>
      </c>
      <c r="AE46" t="s">
        <v>65</v>
      </c>
      <c r="AF46" s="10">
        <f>Z46</f>
        <v>2.58E-08</v>
      </c>
      <c r="AG46" s="2" t="s">
        <v>121</v>
      </c>
      <c r="AK46" t="s">
        <v>65</v>
      </c>
      <c r="AL46" s="10">
        <f>AF46</f>
        <v>2.58E-08</v>
      </c>
      <c r="AM46" s="2" t="s">
        <v>121</v>
      </c>
      <c r="AQ46" s="64" t="s">
        <v>181</v>
      </c>
      <c r="AR46" s="69">
        <f>AL46</f>
        <v>2.58E-08</v>
      </c>
      <c r="AS46" s="65" t="s">
        <v>255</v>
      </c>
      <c r="AT46" s="64"/>
      <c r="AU46" s="64"/>
      <c r="AV46" s="64"/>
      <c r="AW46" s="64"/>
      <c r="AX46" s="64"/>
      <c r="AY46" s="64"/>
    </row>
    <row r="47" spans="1:51" ht="12.75">
      <c r="A47" s="18" t="s">
        <v>33</v>
      </c>
      <c r="B47" s="1">
        <f>B39/(B41*B40*B42*B43*B45*B46*(1/B44))</f>
        <v>0.43872349013310874</v>
      </c>
      <c r="D47" t="s">
        <v>64</v>
      </c>
      <c r="E47" s="10">
        <v>2.81E-08</v>
      </c>
      <c r="F47" s="2" t="s">
        <v>63</v>
      </c>
      <c r="G47" s="17"/>
      <c r="J47" s="43" t="s">
        <v>156</v>
      </c>
      <c r="K47" s="43">
        <v>9.08</v>
      </c>
      <c r="L47" s="43"/>
      <c r="V47" s="59" t="s">
        <v>194</v>
      </c>
      <c r="W47" s="52">
        <f>((W5)/(W7*W38*W79*W8*(1/W36)*W11*((W72*W99*W62)+(W72*W100)+(W72*W98*(1/(W53+W65*(W66/W67)))*(1/W50)))))*W37</f>
        <v>27.607380926776344</v>
      </c>
      <c r="X47" s="57" t="s">
        <v>8</v>
      </c>
      <c r="Y47" t="s">
        <v>122</v>
      </c>
      <c r="Z47">
        <v>0.683</v>
      </c>
      <c r="AA47" t="s">
        <v>127</v>
      </c>
      <c r="AE47" s="2" t="s">
        <v>166</v>
      </c>
      <c r="AF47">
        <v>8</v>
      </c>
      <c r="AG47" s="2" t="s">
        <v>54</v>
      </c>
      <c r="AK47" s="2" t="s">
        <v>166</v>
      </c>
      <c r="AL47">
        <v>8</v>
      </c>
      <c r="AM47" s="2" t="s">
        <v>54</v>
      </c>
      <c r="AQ47" s="2" t="s">
        <v>166</v>
      </c>
      <c r="AR47">
        <v>8</v>
      </c>
      <c r="AS47" s="2" t="s">
        <v>54</v>
      </c>
      <c r="AT47" s="64"/>
      <c r="AU47" s="64"/>
      <c r="AV47" s="64"/>
      <c r="AW47" s="64"/>
      <c r="AX47" s="64"/>
      <c r="AY47" s="64"/>
    </row>
    <row r="48" spans="4:51" ht="12.75">
      <c r="D48" s="79" t="s">
        <v>51</v>
      </c>
      <c r="E48" s="85">
        <v>8</v>
      </c>
      <c r="F48" s="79" t="s">
        <v>47</v>
      </c>
      <c r="G48" s="17"/>
      <c r="J48" s="43" t="s">
        <v>157</v>
      </c>
      <c r="K48" s="43">
        <v>5.4</v>
      </c>
      <c r="L48" s="43"/>
      <c r="V48" s="59" t="s">
        <v>195</v>
      </c>
      <c r="W48" s="52">
        <f>((W5)/(W7*W38*W76*W8*(1/W36)*W11*((W73*W90*W62)+(W73*W91))))*W37</f>
        <v>46.679708948016284</v>
      </c>
      <c r="X48" s="57" t="s">
        <v>8</v>
      </c>
      <c r="AT48" s="64"/>
      <c r="AU48" s="64"/>
      <c r="AV48" s="64"/>
      <c r="AW48" s="64"/>
      <c r="AX48" s="64"/>
      <c r="AY48" s="64"/>
    </row>
    <row r="49" spans="4:24" ht="12.75">
      <c r="D49" s="77"/>
      <c r="E49" s="85">
        <v>24</v>
      </c>
      <c r="F49" s="79" t="s">
        <v>47</v>
      </c>
      <c r="G49" s="17"/>
      <c r="J49" s="43" t="s">
        <v>158</v>
      </c>
      <c r="K49" s="43">
        <v>20.5</v>
      </c>
      <c r="L49" s="43"/>
      <c r="V49" s="59" t="s">
        <v>196</v>
      </c>
      <c r="W49" s="52">
        <f>((W5)/(W7*W38*W75*W8*(1/W36)*W11*((W74*W90*W62)+(W74*W91))))*W37</f>
        <v>167.81014508060892</v>
      </c>
      <c r="X49" s="57" t="s">
        <v>8</v>
      </c>
    </row>
    <row r="50" spans="4:24" ht="12.75">
      <c r="D50" s="79" t="s">
        <v>258</v>
      </c>
      <c r="E50" s="78">
        <v>60</v>
      </c>
      <c r="F50" s="79" t="s">
        <v>74</v>
      </c>
      <c r="G50" s="17"/>
      <c r="J50" s="43" t="s">
        <v>159</v>
      </c>
      <c r="K50" s="43">
        <v>3.8</v>
      </c>
      <c r="L50" s="43"/>
      <c r="V50" s="59" t="s">
        <v>197</v>
      </c>
      <c r="W50" s="51">
        <v>1</v>
      </c>
      <c r="X50" s="51"/>
    </row>
    <row r="51" spans="4:24" ht="12.75">
      <c r="D51" s="17" t="s">
        <v>108</v>
      </c>
      <c r="E51" s="1">
        <v>5.84E-11</v>
      </c>
      <c r="F51" s="17" t="s">
        <v>109</v>
      </c>
      <c r="G51" s="17"/>
      <c r="J51" s="43" t="s">
        <v>160</v>
      </c>
      <c r="K51" s="43">
        <v>10.4</v>
      </c>
      <c r="L51" s="43"/>
      <c r="V51" s="51" t="s">
        <v>198</v>
      </c>
      <c r="W51" s="51">
        <v>10000</v>
      </c>
      <c r="X51" s="51" t="s">
        <v>199</v>
      </c>
    </row>
    <row r="52" spans="4:24" ht="12.75">
      <c r="D52" s="83" t="s">
        <v>78</v>
      </c>
      <c r="E52" s="83">
        <v>1</v>
      </c>
      <c r="F52" s="77"/>
      <c r="G52" s="17"/>
      <c r="J52" s="43" t="s">
        <v>58</v>
      </c>
      <c r="K52" s="43">
        <v>0.001</v>
      </c>
      <c r="L52" s="43"/>
      <c r="V52" s="51" t="s">
        <v>200</v>
      </c>
      <c r="W52" s="51">
        <v>100000</v>
      </c>
      <c r="X52" s="51" t="s">
        <v>199</v>
      </c>
    </row>
    <row r="53" spans="4:24" ht="12.75">
      <c r="D53" s="77" t="s">
        <v>189</v>
      </c>
      <c r="E53" s="1">
        <f>(E43)/((E48/E49)*E45*E46*E47*E50)</f>
        <v>0.0002846975088967972</v>
      </c>
      <c r="F53" s="77" t="s">
        <v>110</v>
      </c>
      <c r="G53" s="17"/>
      <c r="V53" s="51" t="s">
        <v>151</v>
      </c>
      <c r="W53" s="51">
        <v>8.2</v>
      </c>
      <c r="X53" s="51" t="s">
        <v>57</v>
      </c>
    </row>
    <row r="54" spans="4:24" ht="12.75">
      <c r="D54" s="77" t="s">
        <v>259</v>
      </c>
      <c r="E54" s="1">
        <f>(E43)/((E48/E49)*E45*E46*E51*(1/365))</f>
        <v>3000</v>
      </c>
      <c r="F54" s="77" t="s">
        <v>110</v>
      </c>
      <c r="G54" s="17"/>
      <c r="V54" s="51" t="s">
        <v>201</v>
      </c>
      <c r="W54" s="51">
        <v>1</v>
      </c>
      <c r="X54" s="51"/>
    </row>
    <row r="55" spans="4:24" ht="12.75">
      <c r="D55" s="77" t="s">
        <v>189</v>
      </c>
      <c r="E55" s="1">
        <f>(E43*E44*E46)/((E48/E49)*(1-EXP(-E44*E46))*E47*E50*E45*E46)</f>
        <v>0.00029042941773036655</v>
      </c>
      <c r="F55" s="77" t="s">
        <v>80</v>
      </c>
      <c r="G55" s="17"/>
      <c r="V55" s="51" t="s">
        <v>202</v>
      </c>
      <c r="W55" s="51">
        <f>(W12*W57+W15*W58)/W11</f>
        <v>18.235</v>
      </c>
      <c r="X55" s="51"/>
    </row>
    <row r="56" spans="4:45" ht="12.75">
      <c r="D56" s="77" t="s">
        <v>259</v>
      </c>
      <c r="E56" s="1">
        <f>(E43*E44*E46)/((E48/E49)*(1-EXP(-E44*E46))*E51*E45*E46*(1/365))</f>
        <v>3060.3999893337373</v>
      </c>
      <c r="F56" s="77" t="s">
        <v>80</v>
      </c>
      <c r="G56" s="17"/>
      <c r="V56" s="51" t="s">
        <v>203</v>
      </c>
      <c r="W56" s="51">
        <f>(W12*W59+W15*W60)/W11</f>
        <v>9.41</v>
      </c>
      <c r="X56" s="51"/>
      <c r="Y56" s="17"/>
      <c r="Z56" s="17"/>
      <c r="AA56" s="17"/>
      <c r="AE56" s="17"/>
      <c r="AF56" s="17"/>
      <c r="AG56" s="17"/>
      <c r="AK56" s="17"/>
      <c r="AL56" s="17"/>
      <c r="AM56" s="17"/>
      <c r="AQ56" s="70"/>
      <c r="AR56" s="70"/>
      <c r="AS56" s="70"/>
    </row>
    <row r="57" spans="7:45" ht="12.75">
      <c r="G57" s="17"/>
      <c r="V57" s="51" t="s">
        <v>204</v>
      </c>
      <c r="W57" s="51">
        <v>5.4</v>
      </c>
      <c r="X57" s="51"/>
      <c r="AQ57" s="64"/>
      <c r="AR57" s="64"/>
      <c r="AS57" s="64"/>
    </row>
    <row r="58" spans="7:24" ht="12.75">
      <c r="G58" s="17"/>
      <c r="V58" s="51" t="s">
        <v>205</v>
      </c>
      <c r="W58" s="51">
        <v>20.5</v>
      </c>
      <c r="X58" s="51"/>
    </row>
    <row r="59" spans="7:45" ht="12.75">
      <c r="G59" s="17"/>
      <c r="V59" s="51" t="s">
        <v>206</v>
      </c>
      <c r="W59" s="51">
        <v>3.8</v>
      </c>
      <c r="X59" s="51"/>
      <c r="AQ59" s="64"/>
      <c r="AR59" s="64"/>
      <c r="AS59" s="64"/>
    </row>
    <row r="60" spans="7:45" ht="12.75">
      <c r="G60" s="17"/>
      <c r="V60" s="51" t="s">
        <v>207</v>
      </c>
      <c r="W60" s="51">
        <v>10.4</v>
      </c>
      <c r="X60" s="51"/>
      <c r="AQ60" s="64"/>
      <c r="AR60" s="64"/>
      <c r="AS60" s="64"/>
    </row>
    <row r="61" spans="7:45" ht="12.75">
      <c r="G61" s="17"/>
      <c r="V61" s="53" t="s">
        <v>208</v>
      </c>
      <c r="W61" s="51">
        <v>0.001</v>
      </c>
      <c r="X61" s="53" t="s">
        <v>59</v>
      </c>
      <c r="AQ61" s="64"/>
      <c r="AR61" s="64"/>
      <c r="AS61" s="64"/>
    </row>
    <row r="62" spans="7:45" ht="12.75">
      <c r="G62" s="17"/>
      <c r="V62" s="53" t="s">
        <v>209</v>
      </c>
      <c r="W62" s="51">
        <v>0.005</v>
      </c>
      <c r="X62" s="53" t="s">
        <v>59</v>
      </c>
      <c r="AQ62" s="64"/>
      <c r="AR62" s="64"/>
      <c r="AS62" s="64"/>
    </row>
    <row r="63" spans="7:45" ht="12.75">
      <c r="G63" s="17"/>
      <c r="V63" s="51" t="s">
        <v>210</v>
      </c>
      <c r="W63" s="51">
        <v>6.4</v>
      </c>
      <c r="X63" s="51" t="s">
        <v>211</v>
      </c>
      <c r="AQ63" s="64"/>
      <c r="AR63" s="64"/>
      <c r="AS63" s="64"/>
    </row>
    <row r="64" spans="7:45" ht="12.75">
      <c r="G64" s="17"/>
      <c r="V64" s="51" t="s">
        <v>212</v>
      </c>
      <c r="W64" s="51">
        <v>45.8</v>
      </c>
      <c r="X64" s="51" t="s">
        <v>211</v>
      </c>
      <c r="AQ64" s="64"/>
      <c r="AR64" s="64"/>
      <c r="AS64" s="64"/>
    </row>
    <row r="65" spans="7:24" ht="12.75">
      <c r="G65" s="17"/>
      <c r="V65" s="51" t="s">
        <v>213</v>
      </c>
      <c r="W65" s="51">
        <v>0.5</v>
      </c>
      <c r="X65" s="51"/>
    </row>
    <row r="66" spans="7:24" ht="12.75">
      <c r="G66" s="17"/>
      <c r="V66" s="51" t="s">
        <v>214</v>
      </c>
      <c r="W66" s="51">
        <v>0.3</v>
      </c>
      <c r="X66" s="51"/>
    </row>
    <row r="67" spans="7:24" ht="12.75">
      <c r="G67" s="17"/>
      <c r="V67" s="51" t="s">
        <v>215</v>
      </c>
      <c r="W67" s="51">
        <v>1.5</v>
      </c>
      <c r="X67" s="51" t="s">
        <v>216</v>
      </c>
    </row>
    <row r="68" spans="7:24" ht="12.75">
      <c r="G68" s="17"/>
      <c r="V68" s="51" t="s">
        <v>217</v>
      </c>
      <c r="W68" s="51">
        <f>(W12*W63+W15*W64)/W11</f>
        <v>39.89</v>
      </c>
      <c r="X68" s="51" t="s">
        <v>211</v>
      </c>
    </row>
    <row r="69" spans="7:24" ht="12.75">
      <c r="G69" s="17"/>
      <c r="V69" s="51" t="s">
        <v>218</v>
      </c>
      <c r="W69" s="51">
        <v>30</v>
      </c>
      <c r="X69" s="51" t="s">
        <v>219</v>
      </c>
    </row>
    <row r="70" spans="7:24" ht="12.75">
      <c r="G70" s="17"/>
      <c r="V70" s="53" t="s">
        <v>220</v>
      </c>
      <c r="W70" s="51">
        <v>5E-05</v>
      </c>
      <c r="X70" s="51"/>
    </row>
    <row r="71" spans="7:24" ht="12.75">
      <c r="G71" s="17"/>
      <c r="V71" s="53" t="s">
        <v>221</v>
      </c>
      <c r="W71" s="51">
        <v>2E-06</v>
      </c>
      <c r="X71" s="51"/>
    </row>
    <row r="72" spans="22:24" ht="12.75">
      <c r="V72" s="53" t="s">
        <v>222</v>
      </c>
      <c r="W72" s="51">
        <v>0.00017</v>
      </c>
      <c r="X72" s="51"/>
    </row>
    <row r="73" spans="22:24" ht="12.75">
      <c r="V73" s="53" t="s">
        <v>223</v>
      </c>
      <c r="W73" s="51">
        <v>0.006</v>
      </c>
      <c r="X73" s="51"/>
    </row>
    <row r="74" spans="22:24" ht="12.75">
      <c r="V74" s="53" t="s">
        <v>224</v>
      </c>
      <c r="W74" s="51">
        <v>0.004</v>
      </c>
      <c r="X74" s="53" t="s">
        <v>225</v>
      </c>
    </row>
    <row r="75" spans="22:24" ht="12.75">
      <c r="V75" s="53" t="s">
        <v>226</v>
      </c>
      <c r="W75" s="51">
        <f>(W12*W80+W15*W81)/W11</f>
        <v>13.01</v>
      </c>
      <c r="X75" s="51"/>
    </row>
    <row r="76" spans="22:24" ht="12.75">
      <c r="V76" s="53" t="s">
        <v>227</v>
      </c>
      <c r="W76" s="51">
        <f>(W12*W82+W15*W83)/W11</f>
        <v>31.179999999999996</v>
      </c>
      <c r="X76" s="51"/>
    </row>
    <row r="77" spans="22:24" ht="12.75">
      <c r="V77" s="53" t="s">
        <v>228</v>
      </c>
      <c r="W77" s="51">
        <f>(W12*W84+W15*W85)/W11</f>
        <v>43.37500000000001</v>
      </c>
      <c r="X77" s="51"/>
    </row>
    <row r="78" spans="22:24" ht="12.75">
      <c r="V78" s="53" t="s">
        <v>229</v>
      </c>
      <c r="W78" s="51">
        <f>(W12*W86+W15*W87)/W11</f>
        <v>205.275</v>
      </c>
      <c r="X78" s="51"/>
    </row>
    <row r="79" spans="22:24" ht="12.75">
      <c r="V79" s="53" t="s">
        <v>230</v>
      </c>
      <c r="W79" s="51">
        <f>(W12*W88+W15*W89)/W11</f>
        <v>24.22</v>
      </c>
      <c r="X79" s="51"/>
    </row>
    <row r="80" spans="22:24" ht="12.75">
      <c r="V80" s="53" t="s">
        <v>231</v>
      </c>
      <c r="W80" s="51">
        <v>2.3</v>
      </c>
      <c r="X80" s="51"/>
    </row>
    <row r="81" spans="22:24" ht="12.75">
      <c r="V81" s="53" t="s">
        <v>232</v>
      </c>
      <c r="W81" s="51">
        <v>14.9</v>
      </c>
      <c r="X81" s="51"/>
    </row>
    <row r="82" spans="22:24" ht="12.75">
      <c r="V82" s="53" t="s">
        <v>233</v>
      </c>
      <c r="W82" s="51">
        <v>5</v>
      </c>
      <c r="X82" s="51"/>
    </row>
    <row r="83" spans="22:24" ht="12.75">
      <c r="V83" s="53" t="s">
        <v>234</v>
      </c>
      <c r="W83" s="51">
        <v>35.8</v>
      </c>
      <c r="X83" s="51"/>
    </row>
    <row r="84" spans="22:24" ht="12.75">
      <c r="V84" s="53" t="s">
        <v>235</v>
      </c>
      <c r="W84" s="51">
        <v>4.7</v>
      </c>
      <c r="X84" s="51"/>
    </row>
    <row r="85" spans="22:24" ht="12.75">
      <c r="V85" s="53" t="s">
        <v>236</v>
      </c>
      <c r="W85" s="51">
        <v>50.2</v>
      </c>
      <c r="X85" s="51"/>
    </row>
    <row r="86" spans="22:24" ht="12.75">
      <c r="V86" s="53" t="s">
        <v>237</v>
      </c>
      <c r="W86" s="51">
        <v>96.9</v>
      </c>
      <c r="X86" s="51"/>
    </row>
    <row r="87" spans="22:24" ht="12.75">
      <c r="V87" s="53" t="s">
        <v>238</v>
      </c>
      <c r="W87" s="51">
        <v>224.4</v>
      </c>
      <c r="X87" s="51"/>
    </row>
    <row r="88" spans="22:24" ht="12.75">
      <c r="V88" s="53" t="s">
        <v>239</v>
      </c>
      <c r="W88" s="51">
        <v>4.5</v>
      </c>
      <c r="X88" s="51"/>
    </row>
    <row r="89" spans="22:24" ht="12.75">
      <c r="V89" s="53" t="s">
        <v>240</v>
      </c>
      <c r="W89" s="51">
        <v>27.7</v>
      </c>
      <c r="X89" s="51"/>
    </row>
    <row r="90" spans="22:24" ht="12.75">
      <c r="V90" s="53" t="s">
        <v>241</v>
      </c>
      <c r="W90" s="51">
        <v>0.2</v>
      </c>
      <c r="X90" s="53" t="s">
        <v>242</v>
      </c>
    </row>
    <row r="91" spans="22:24" ht="12.75">
      <c r="V91" s="53" t="s">
        <v>243</v>
      </c>
      <c r="W91" s="51">
        <v>0.022</v>
      </c>
      <c r="X91" s="53" t="s">
        <v>242</v>
      </c>
    </row>
    <row r="92" spans="22:24" ht="12.75">
      <c r="V92" s="53" t="s">
        <v>244</v>
      </c>
      <c r="W92" s="51">
        <v>53</v>
      </c>
      <c r="X92" s="53" t="s">
        <v>61</v>
      </c>
    </row>
    <row r="93" spans="22:24" ht="12.75">
      <c r="V93" s="53" t="s">
        <v>245</v>
      </c>
      <c r="W93" s="51">
        <v>11.77</v>
      </c>
      <c r="X93" s="53" t="s">
        <v>242</v>
      </c>
    </row>
    <row r="94" spans="22:24" ht="12.75">
      <c r="V94" s="53" t="s">
        <v>246</v>
      </c>
      <c r="W94" s="51">
        <v>0.39</v>
      </c>
      <c r="X94" s="53" t="s">
        <v>242</v>
      </c>
    </row>
    <row r="95" spans="22:24" ht="12.75">
      <c r="V95" s="53" t="s">
        <v>247</v>
      </c>
      <c r="W95" s="51">
        <v>92</v>
      </c>
      <c r="X95" s="53" t="s">
        <v>61</v>
      </c>
    </row>
    <row r="96" spans="22:24" ht="12.75">
      <c r="V96" s="53" t="s">
        <v>248</v>
      </c>
      <c r="W96" s="51">
        <v>16.9</v>
      </c>
      <c r="X96" s="53" t="s">
        <v>242</v>
      </c>
    </row>
    <row r="97" spans="22:24" ht="12.75">
      <c r="V97" s="53" t="s">
        <v>249</v>
      </c>
      <c r="W97" s="51">
        <v>0.41</v>
      </c>
      <c r="X97" s="53" t="s">
        <v>242</v>
      </c>
    </row>
    <row r="98" spans="22:24" ht="12.75">
      <c r="V98" s="53" t="s">
        <v>250</v>
      </c>
      <c r="W98" s="51">
        <v>11.4</v>
      </c>
      <c r="X98" s="53" t="s">
        <v>61</v>
      </c>
    </row>
    <row r="99" spans="22:24" ht="12.75">
      <c r="V99" s="53" t="s">
        <v>251</v>
      </c>
      <c r="W99" s="51">
        <v>4.7</v>
      </c>
      <c r="X99" s="53" t="s">
        <v>242</v>
      </c>
    </row>
    <row r="100" spans="22:24" ht="12.75">
      <c r="V100" s="53" t="s">
        <v>252</v>
      </c>
      <c r="W100" s="51">
        <v>0.37</v>
      </c>
      <c r="X100" s="53" t="s">
        <v>242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bestFit="1" customWidth="1"/>
    <col min="2" max="2" width="9.00390625" style="0" bestFit="1" customWidth="1"/>
    <col min="3" max="3" width="19.00390625" style="0" bestFit="1" customWidth="1"/>
    <col min="4" max="4" width="8.57421875" style="0" bestFit="1" customWidth="1"/>
    <col min="5" max="5" width="9.57421875" style="0" bestFit="1" customWidth="1"/>
    <col min="6" max="6" width="16.8515625" style="0" bestFit="1" customWidth="1"/>
    <col min="7" max="7" width="8.28125" style="0" bestFit="1" customWidth="1"/>
    <col min="8" max="8" width="9.00390625" style="0" bestFit="1" customWidth="1"/>
    <col min="9" max="9" width="10.421875" style="0" bestFit="1" customWidth="1"/>
    <col min="10" max="10" width="9.28125" style="0" bestFit="1" customWidth="1"/>
    <col min="11" max="11" width="12.00390625" style="0" bestFit="1" customWidth="1"/>
    <col min="12" max="12" width="14.28125" style="0" bestFit="1" customWidth="1"/>
    <col min="13" max="13" width="9.28125" style="0" bestFit="1" customWidth="1"/>
    <col min="14" max="14" width="13.8515625" style="0" bestFit="1" customWidth="1"/>
    <col min="15" max="15" width="14.28125" style="0" bestFit="1" customWidth="1"/>
    <col min="16" max="16" width="9.28125" style="0" bestFit="1" customWidth="1"/>
    <col min="17" max="17" width="15.00390625" style="0" bestFit="1" customWidth="1"/>
    <col min="18" max="18" width="14.28125" style="0" bestFit="1" customWidth="1"/>
    <col min="19" max="19" width="9.28125" style="0" bestFit="1" customWidth="1"/>
    <col min="20" max="20" width="17.421875" style="0" bestFit="1" customWidth="1"/>
    <col min="21" max="21" width="14.28125" style="0" bestFit="1" customWidth="1"/>
    <col min="22" max="22" width="11.00390625" style="0" bestFit="1" customWidth="1"/>
    <col min="23" max="23" width="12.00390625" style="0" bestFit="1" customWidth="1"/>
    <col min="24" max="24" width="16.00390625" style="0" bestFit="1" customWidth="1"/>
    <col min="25" max="25" width="10.421875" style="0" bestFit="1" customWidth="1"/>
    <col min="26" max="26" width="10.140625" style="0" bestFit="1" customWidth="1"/>
    <col min="27" max="27" width="15.421875" style="0" bestFit="1" customWidth="1"/>
    <col min="28" max="28" width="10.421875" style="0" bestFit="1" customWidth="1"/>
    <col min="29" max="29" width="11.57421875" style="0" bestFit="1" customWidth="1"/>
    <col min="30" max="30" width="15.421875" style="0" bestFit="1" customWidth="1"/>
    <col min="31" max="31" width="10.421875" style="0" bestFit="1" customWidth="1"/>
    <col min="32" max="32" width="10.140625" style="0" bestFit="1" customWidth="1"/>
    <col min="33" max="33" width="15.421875" style="0" bestFit="1" customWidth="1"/>
    <col min="34" max="34" width="10.421875" style="0" bestFit="1" customWidth="1"/>
    <col min="35" max="35" width="11.57421875" style="0" bestFit="1" customWidth="1"/>
    <col min="36" max="36" width="15.421875" style="0" bestFit="1" customWidth="1"/>
    <col min="37" max="37" width="10.421875" style="0" bestFit="1" customWidth="1"/>
    <col min="38" max="38" width="10.140625" style="0" bestFit="1" customWidth="1"/>
    <col min="39" max="39" width="15.421875" style="0" bestFit="1" customWidth="1"/>
    <col min="40" max="40" width="10.421875" style="0" bestFit="1" customWidth="1"/>
    <col min="41" max="41" width="11.57421875" style="0" bestFit="1" customWidth="1"/>
    <col min="42" max="42" width="15.421875" style="0" bestFit="1" customWidth="1"/>
    <col min="43" max="43" width="9.57421875" style="0" bestFit="1" customWidth="1"/>
    <col min="44" max="44" width="10.140625" style="0" bestFit="1" customWidth="1"/>
    <col min="45" max="45" width="17.28125" style="0" bestFit="1" customWidth="1"/>
    <col min="46" max="46" width="9.57421875" style="0" bestFit="1" customWidth="1"/>
    <col min="47" max="47" width="11.57421875" style="0" bestFit="1" customWidth="1"/>
    <col min="48" max="48" width="17.28125" style="0" bestFit="1" customWidth="1"/>
    <col min="49" max="49" width="10.28125" style="0" bestFit="1" customWidth="1"/>
    <col min="50" max="50" width="9.28125" style="0" bestFit="1" customWidth="1"/>
    <col min="51" max="51" width="12.57421875" style="0" bestFit="1" customWidth="1"/>
  </cols>
  <sheetData>
    <row r="1" spans="1:51" ht="12.75">
      <c r="A1" s="12" t="s">
        <v>9</v>
      </c>
      <c r="B1" s="12"/>
      <c r="C1" s="12" t="s">
        <v>105</v>
      </c>
      <c r="D1" s="13" t="s">
        <v>11</v>
      </c>
      <c r="E1" s="4" t="s">
        <v>52</v>
      </c>
      <c r="F1" s="4" t="s">
        <v>105</v>
      </c>
      <c r="G1" s="15" t="s">
        <v>9</v>
      </c>
      <c r="H1" s="15"/>
      <c r="I1" s="15" t="s">
        <v>105</v>
      </c>
      <c r="J1" s="7" t="s">
        <v>9</v>
      </c>
      <c r="K1" s="7"/>
      <c r="L1" s="48" t="s">
        <v>105</v>
      </c>
      <c r="M1" s="22" t="s">
        <v>11</v>
      </c>
      <c r="N1" s="23" t="s">
        <v>53</v>
      </c>
      <c r="O1" s="24" t="s">
        <v>105</v>
      </c>
      <c r="P1" s="22" t="s">
        <v>11</v>
      </c>
      <c r="Q1" s="23" t="s">
        <v>102</v>
      </c>
      <c r="R1" s="24" t="s">
        <v>105</v>
      </c>
      <c r="S1" s="22" t="s">
        <v>11</v>
      </c>
      <c r="T1" s="49" t="s">
        <v>165</v>
      </c>
      <c r="U1" s="24" t="s">
        <v>105</v>
      </c>
      <c r="V1" s="63" t="s">
        <v>55</v>
      </c>
      <c r="W1" s="54"/>
      <c r="X1" s="54" t="s">
        <v>105</v>
      </c>
      <c r="Y1" s="34" t="s">
        <v>112</v>
      </c>
      <c r="Z1" s="34" t="s">
        <v>113</v>
      </c>
      <c r="AA1" s="34" t="s">
        <v>105</v>
      </c>
      <c r="AB1" s="34" t="s">
        <v>112</v>
      </c>
      <c r="AC1" s="34" t="s">
        <v>114</v>
      </c>
      <c r="AD1" s="34" t="s">
        <v>105</v>
      </c>
      <c r="AE1" s="37" t="s">
        <v>112</v>
      </c>
      <c r="AF1" s="37" t="s">
        <v>113</v>
      </c>
      <c r="AG1" s="37" t="s">
        <v>105</v>
      </c>
      <c r="AH1" s="37" t="s">
        <v>112</v>
      </c>
      <c r="AI1" s="37" t="s">
        <v>114</v>
      </c>
      <c r="AJ1" s="37" t="s">
        <v>105</v>
      </c>
      <c r="AK1" s="38" t="s">
        <v>112</v>
      </c>
      <c r="AL1" s="38" t="s">
        <v>113</v>
      </c>
      <c r="AM1" s="38" t="s">
        <v>105</v>
      </c>
      <c r="AN1" s="38" t="s">
        <v>112</v>
      </c>
      <c r="AO1" s="38" t="s">
        <v>114</v>
      </c>
      <c r="AP1" s="38" t="s">
        <v>105</v>
      </c>
      <c r="AQ1" s="73" t="s">
        <v>112</v>
      </c>
      <c r="AR1" s="73" t="s">
        <v>113</v>
      </c>
      <c r="AS1" s="73" t="s">
        <v>105</v>
      </c>
      <c r="AT1" s="73" t="s">
        <v>112</v>
      </c>
      <c r="AU1" s="73" t="s">
        <v>114</v>
      </c>
      <c r="AV1" s="73" t="s">
        <v>105</v>
      </c>
      <c r="AW1" s="66" t="s">
        <v>32</v>
      </c>
      <c r="AX1" s="66" t="s">
        <v>105</v>
      </c>
      <c r="AY1" s="66" t="s">
        <v>137</v>
      </c>
    </row>
    <row r="2" spans="1:51" ht="12.75">
      <c r="A2" s="12" t="s">
        <v>10</v>
      </c>
      <c r="B2" s="12" t="s">
        <v>32</v>
      </c>
      <c r="C2" s="12" t="s">
        <v>93</v>
      </c>
      <c r="D2" s="4" t="s">
        <v>10</v>
      </c>
      <c r="E2" s="4" t="s">
        <v>32</v>
      </c>
      <c r="F2" s="4" t="s">
        <v>93</v>
      </c>
      <c r="G2" s="15" t="s">
        <v>12</v>
      </c>
      <c r="H2" s="15" t="s">
        <v>32</v>
      </c>
      <c r="I2" s="15" t="s">
        <v>43</v>
      </c>
      <c r="J2" s="7" t="s">
        <v>13</v>
      </c>
      <c r="K2" s="7" t="s">
        <v>32</v>
      </c>
      <c r="L2" s="7" t="s">
        <v>67</v>
      </c>
      <c r="M2" s="25" t="s">
        <v>13</v>
      </c>
      <c r="N2" s="26" t="s">
        <v>32</v>
      </c>
      <c r="O2" s="27" t="s">
        <v>67</v>
      </c>
      <c r="P2" s="25" t="s">
        <v>13</v>
      </c>
      <c r="Q2" s="26" t="s">
        <v>32</v>
      </c>
      <c r="R2" s="27" t="s">
        <v>67</v>
      </c>
      <c r="S2" s="25" t="s">
        <v>13</v>
      </c>
      <c r="T2" s="26" t="s">
        <v>32</v>
      </c>
      <c r="U2" s="27" t="s">
        <v>67</v>
      </c>
      <c r="V2" s="54" t="s">
        <v>13</v>
      </c>
      <c r="W2" s="54" t="s">
        <v>167</v>
      </c>
      <c r="X2" s="54" t="s">
        <v>67</v>
      </c>
      <c r="Y2" s="36"/>
      <c r="Z2" s="34" t="s">
        <v>84</v>
      </c>
      <c r="AA2" s="35" t="s">
        <v>67</v>
      </c>
      <c r="AB2" s="36"/>
      <c r="AC2" s="34" t="s">
        <v>84</v>
      </c>
      <c r="AD2" s="35" t="s">
        <v>67</v>
      </c>
      <c r="AE2" s="37" t="s">
        <v>53</v>
      </c>
      <c r="AF2" s="37" t="s">
        <v>128</v>
      </c>
      <c r="AG2" s="39" t="s">
        <v>67</v>
      </c>
      <c r="AH2" s="37" t="s">
        <v>53</v>
      </c>
      <c r="AI2" s="37" t="s">
        <v>128</v>
      </c>
      <c r="AJ2" s="39" t="s">
        <v>67</v>
      </c>
      <c r="AK2" s="38" t="s">
        <v>52</v>
      </c>
      <c r="AL2" s="38" t="s">
        <v>128</v>
      </c>
      <c r="AM2" s="40" t="s">
        <v>67</v>
      </c>
      <c r="AN2" s="38" t="s">
        <v>52</v>
      </c>
      <c r="AO2" s="38" t="s">
        <v>128</v>
      </c>
      <c r="AP2" s="40" t="s">
        <v>67</v>
      </c>
      <c r="AQ2" s="74" t="s">
        <v>253</v>
      </c>
      <c r="AR2" s="73" t="s">
        <v>128</v>
      </c>
      <c r="AS2" s="75" t="s">
        <v>67</v>
      </c>
      <c r="AT2" s="74" t="s">
        <v>253</v>
      </c>
      <c r="AU2" s="73" t="s">
        <v>128</v>
      </c>
      <c r="AV2" s="75" t="s">
        <v>67</v>
      </c>
      <c r="AW2" s="66" t="s">
        <v>67</v>
      </c>
      <c r="AX2" s="66" t="s">
        <v>84</v>
      </c>
      <c r="AY2" s="66" t="s">
        <v>136</v>
      </c>
    </row>
    <row r="3" spans="1:51" ht="12.75">
      <c r="A3" s="12" t="s">
        <v>80</v>
      </c>
      <c r="B3" s="11">
        <f>1/((1/B19)+(1/B20))</f>
        <v>0.43143366589185905</v>
      </c>
      <c r="C3" s="3" t="s">
        <v>8</v>
      </c>
      <c r="D3" s="4" t="s">
        <v>80</v>
      </c>
      <c r="E3" s="6">
        <f>1/((1/E17)+(1/E18))</f>
        <v>0.9743613827275908</v>
      </c>
      <c r="F3" s="5" t="s">
        <v>8</v>
      </c>
      <c r="G3" s="15"/>
      <c r="H3" s="16">
        <f>1/(1/H24)</f>
        <v>1.740462266778056</v>
      </c>
      <c r="I3" s="14" t="s">
        <v>8</v>
      </c>
      <c r="J3" s="7"/>
      <c r="K3" s="8">
        <f>1/((1/K40)+(1/K41)+(1/K42)+(1/K43))</f>
        <v>0.06147024259914254</v>
      </c>
      <c r="L3" s="9"/>
      <c r="M3" s="25"/>
      <c r="N3" s="28">
        <f>1/((1/N25)+(1/N26)+(1/N27))</f>
        <v>0.2583329594923599</v>
      </c>
      <c r="O3" s="29" t="s">
        <v>8</v>
      </c>
      <c r="P3" s="25"/>
      <c r="Q3" s="28">
        <f>1/((1/Q25)+(1/Q26)+(1/Q27))</f>
        <v>0.11485932164640818</v>
      </c>
      <c r="R3" s="29" t="s">
        <v>8</v>
      </c>
      <c r="S3" s="25"/>
      <c r="T3" s="28">
        <f>1/((1/T25)+(1/T26)+(1/T27))</f>
        <v>0.10337338948176737</v>
      </c>
      <c r="U3" s="29" t="s">
        <v>8</v>
      </c>
      <c r="V3" s="54"/>
      <c r="W3" s="55">
        <f>1/((1/W40)+(1/W41)+(1/W42)+(1/W43)+(1/W44)+(1/W45)+(1/W46)+(1/W47)+(1/W48)+(1/W49))</f>
        <v>0.0011898393268094812</v>
      </c>
      <c r="X3" s="56" t="s">
        <v>8</v>
      </c>
      <c r="Y3" s="34" t="s">
        <v>116</v>
      </c>
      <c r="Z3" s="36">
        <f>(Z5*Z6*Z7)/((1-EXP(-Z7*Z6))*Z9*Z14*(Z8/365)*Z12*((Z13)+(Z15*Z10)))</f>
        <v>0.06248421977303225</v>
      </c>
      <c r="AA3" s="35" t="s">
        <v>8</v>
      </c>
      <c r="AB3" s="34" t="s">
        <v>116</v>
      </c>
      <c r="AC3" s="36">
        <f>(AC5*AC6*AC7)/((1-EXP(-AC7*AC6))*AC9*AC14*(AC8/365)*AC12*((AC13)+(AC15*AC10)))</f>
        <v>0.06991626353458233</v>
      </c>
      <c r="AD3" s="35" t="s">
        <v>8</v>
      </c>
      <c r="AE3" s="37" t="s">
        <v>116</v>
      </c>
      <c r="AF3" s="41">
        <f>(AF5*AF6*AF7)/((1-EXP(-AF7*AF6))*AF9*AF14*(AF8/365)*AF12*(AF15/24)*AF10)</f>
        <v>0.25883620261856</v>
      </c>
      <c r="AG3" s="39" t="s">
        <v>8</v>
      </c>
      <c r="AH3" s="37" t="s">
        <v>116</v>
      </c>
      <c r="AI3" s="41">
        <f>(AI5*AI6*AI7)/((1-EXP(-AI7*AI6))*AI9*AI14*(AI8/365)*AI12*(AI15/24)*AI10)</f>
        <v>0.2896228875115164</v>
      </c>
      <c r="AJ3" s="39" t="s">
        <v>8</v>
      </c>
      <c r="AK3" s="38" t="s">
        <v>116</v>
      </c>
      <c r="AL3" s="50">
        <f>(AL5*AL6*AL7)/((1-EXP(-AL7*AL6))*AL9*AL14*(AL8/365)*AL12*(AL15/24)*AL11)</f>
        <v>0.11503831227491554</v>
      </c>
      <c r="AM3" s="40" t="s">
        <v>8</v>
      </c>
      <c r="AN3" s="38" t="s">
        <v>116</v>
      </c>
      <c r="AO3" s="50">
        <f>(AO5*AO6*AO7)/((1-EXP(-AO7*AO6))*AO9*AO14*(AO8/365)*AO12*(AO15/24)*AO11)</f>
        <v>0.12872128333845176</v>
      </c>
      <c r="AP3" s="40" t="s">
        <v>8</v>
      </c>
      <c r="AQ3" s="73"/>
      <c r="AR3" s="86">
        <f>(AR5*AR6*AR7)/((1-EXP(-AR7*AR6))*AR9*AR14*(AR8/365)*AR12*(AR15/24)*AR11)</f>
        <v>0.103534481047424</v>
      </c>
      <c r="AS3" s="75" t="s">
        <v>8</v>
      </c>
      <c r="AT3" s="73"/>
      <c r="AU3" s="86">
        <f>(AU5*AU6*AU7)/((1-EXP(-AU7*AU6))*AU9*AU14*(AU8/365)*AU12*(AU15/24)*AU11)</f>
        <v>0.11584915500460657</v>
      </c>
      <c r="AV3" s="75" t="s">
        <v>8</v>
      </c>
      <c r="AW3" s="67">
        <f>(AX5*AX11*0.001*(AX12+(AX8/AX9)))*((AX10*AX7)/(1-EXP(-AX7*AX10)))</f>
        <v>56.55712472188905</v>
      </c>
      <c r="AX3" s="68" t="s">
        <v>8</v>
      </c>
      <c r="AY3" s="66" t="s">
        <v>134</v>
      </c>
    </row>
    <row r="4" spans="1:51" ht="12.75">
      <c r="A4" s="12" t="s">
        <v>110</v>
      </c>
      <c r="B4" s="11">
        <f>1/((1/B21)+(1/B22))</f>
        <v>0.598055089486953</v>
      </c>
      <c r="C4" s="3" t="s">
        <v>8</v>
      </c>
      <c r="D4" s="4" t="s">
        <v>110</v>
      </c>
      <c r="E4" s="6">
        <f>1/((1/E15)+(1/E16))</f>
        <v>0.7401774397972116</v>
      </c>
      <c r="F4" s="5" t="s">
        <v>8</v>
      </c>
      <c r="G4" s="15"/>
      <c r="H4" s="16"/>
      <c r="I4" s="14"/>
      <c r="J4" s="7" t="s">
        <v>105</v>
      </c>
      <c r="K4" s="8" t="s">
        <v>84</v>
      </c>
      <c r="L4" s="9"/>
      <c r="M4" s="25" t="s">
        <v>105</v>
      </c>
      <c r="N4" s="28" t="s">
        <v>85</v>
      </c>
      <c r="O4" s="29"/>
      <c r="P4" s="25" t="s">
        <v>105</v>
      </c>
      <c r="Q4" s="28" t="s">
        <v>86</v>
      </c>
      <c r="R4" s="29"/>
      <c r="S4" s="25" t="s">
        <v>105</v>
      </c>
      <c r="T4" s="28" t="s">
        <v>165</v>
      </c>
      <c r="U4" s="29"/>
      <c r="V4" s="54" t="s">
        <v>105</v>
      </c>
      <c r="W4" s="55" t="s">
        <v>168</v>
      </c>
      <c r="X4" s="56"/>
      <c r="Y4" s="34" t="s">
        <v>115</v>
      </c>
      <c r="Z4" s="36"/>
      <c r="AA4" s="35"/>
      <c r="AB4" s="34" t="s">
        <v>115</v>
      </c>
      <c r="AC4" s="36"/>
      <c r="AD4" s="35"/>
      <c r="AE4" s="37" t="s">
        <v>115</v>
      </c>
      <c r="AF4" s="41"/>
      <c r="AG4" s="39"/>
      <c r="AH4" s="37" t="s">
        <v>115</v>
      </c>
      <c r="AI4" s="41"/>
      <c r="AJ4" s="39"/>
      <c r="AK4" s="38" t="s">
        <v>115</v>
      </c>
      <c r="AL4" s="42"/>
      <c r="AM4" s="40"/>
      <c r="AN4" s="38" t="s">
        <v>115</v>
      </c>
      <c r="AO4" s="42"/>
      <c r="AP4" s="40"/>
      <c r="AQ4" s="73" t="s">
        <v>115</v>
      </c>
      <c r="AR4" s="76"/>
      <c r="AS4" s="75"/>
      <c r="AT4" s="73" t="s">
        <v>115</v>
      </c>
      <c r="AU4" s="76"/>
      <c r="AV4" s="75"/>
      <c r="AW4" s="67">
        <f>(AX6*AX11*10^-3*(AX12+(AX8/AX9)))*((AX10*AX7)/(1-EXP(-AX7*AX10)))</f>
        <v>0.4921777074795413</v>
      </c>
      <c r="AX4" s="68" t="s">
        <v>8</v>
      </c>
      <c r="AY4" s="66" t="s">
        <v>135</v>
      </c>
    </row>
    <row r="5" spans="1:51" ht="12.75">
      <c r="A5" t="s">
        <v>0</v>
      </c>
      <c r="B5" s="1">
        <v>1E-06</v>
      </c>
      <c r="D5" t="s">
        <v>0</v>
      </c>
      <c r="E5" s="1">
        <v>1E-06</v>
      </c>
      <c r="G5" s="18" t="s">
        <v>0</v>
      </c>
      <c r="H5" s="1">
        <v>1E-06</v>
      </c>
      <c r="J5" s="18" t="s">
        <v>0</v>
      </c>
      <c r="K5" s="1">
        <v>1E-06</v>
      </c>
      <c r="M5" s="18" t="s">
        <v>0</v>
      </c>
      <c r="N5" s="1">
        <v>1E-06</v>
      </c>
      <c r="P5" s="18" t="s">
        <v>0</v>
      </c>
      <c r="Q5" s="1">
        <v>1E-06</v>
      </c>
      <c r="S5" s="18" t="s">
        <v>0</v>
      </c>
      <c r="T5" s="1">
        <v>1E-06</v>
      </c>
      <c r="V5" s="18" t="s">
        <v>0</v>
      </c>
      <c r="W5" s="1">
        <v>1E-06</v>
      </c>
      <c r="X5" s="51"/>
      <c r="Y5" t="s">
        <v>0</v>
      </c>
      <c r="Z5" s="1">
        <v>1E-06</v>
      </c>
      <c r="AB5" t="s">
        <v>0</v>
      </c>
      <c r="AC5" s="1">
        <v>1E-06</v>
      </c>
      <c r="AE5" t="s">
        <v>0</v>
      </c>
      <c r="AF5" s="1">
        <v>1E-06</v>
      </c>
      <c r="AH5" t="s">
        <v>0</v>
      </c>
      <c r="AI5" s="1">
        <v>1E-06</v>
      </c>
      <c r="AK5" t="s">
        <v>0</v>
      </c>
      <c r="AL5" s="1">
        <v>1E-06</v>
      </c>
      <c r="AN5" t="s">
        <v>0</v>
      </c>
      <c r="AO5" s="1">
        <v>1E-06</v>
      </c>
      <c r="AQ5" t="s">
        <v>0</v>
      </c>
      <c r="AR5" s="1">
        <v>1E-06</v>
      </c>
      <c r="AT5" t="s">
        <v>0</v>
      </c>
      <c r="AU5" s="1">
        <v>1E-06</v>
      </c>
      <c r="AW5" s="71" t="s">
        <v>152</v>
      </c>
      <c r="AX5" s="65">
        <v>200</v>
      </c>
      <c r="AY5" s="70" t="s">
        <v>97</v>
      </c>
    </row>
    <row r="6" spans="1:51" ht="12.75">
      <c r="A6" s="18" t="s">
        <v>69</v>
      </c>
      <c r="B6" s="1">
        <v>0.0231</v>
      </c>
      <c r="D6" s="18" t="s">
        <v>69</v>
      </c>
      <c r="E6" s="1">
        <v>0.0231</v>
      </c>
      <c r="G6" s="18" t="s">
        <v>1</v>
      </c>
      <c r="H6" s="21">
        <v>350</v>
      </c>
      <c r="I6" s="18" t="s">
        <v>14</v>
      </c>
      <c r="J6" s="17"/>
      <c r="K6" s="19">
        <v>1000</v>
      </c>
      <c r="L6" t="s">
        <v>70</v>
      </c>
      <c r="M6" s="17"/>
      <c r="N6" s="19">
        <v>1000</v>
      </c>
      <c r="O6" t="s">
        <v>70</v>
      </c>
      <c r="P6" s="17"/>
      <c r="Q6" s="19">
        <v>1000</v>
      </c>
      <c r="R6" t="s">
        <v>70</v>
      </c>
      <c r="S6" s="17"/>
      <c r="T6" s="19">
        <v>1000</v>
      </c>
      <c r="U6" t="s">
        <v>70</v>
      </c>
      <c r="V6" s="58"/>
      <c r="W6" s="60">
        <f>1/1000</f>
        <v>0.001</v>
      </c>
      <c r="X6" s="51" t="s">
        <v>70</v>
      </c>
      <c r="Y6" t="s">
        <v>117</v>
      </c>
      <c r="Z6">
        <v>30</v>
      </c>
      <c r="AA6" t="s">
        <v>5</v>
      </c>
      <c r="AB6" t="s">
        <v>117</v>
      </c>
      <c r="AC6">
        <v>30</v>
      </c>
      <c r="AD6" t="s">
        <v>5</v>
      </c>
      <c r="AE6" t="s">
        <v>117</v>
      </c>
      <c r="AF6">
        <v>25</v>
      </c>
      <c r="AG6" t="s">
        <v>5</v>
      </c>
      <c r="AH6" t="s">
        <v>117</v>
      </c>
      <c r="AI6">
        <v>25</v>
      </c>
      <c r="AJ6" t="s">
        <v>5</v>
      </c>
      <c r="AK6" t="s">
        <v>117</v>
      </c>
      <c r="AL6">
        <v>25</v>
      </c>
      <c r="AM6" t="s">
        <v>5</v>
      </c>
      <c r="AN6" t="s">
        <v>117</v>
      </c>
      <c r="AO6">
        <v>25</v>
      </c>
      <c r="AP6" t="s">
        <v>5</v>
      </c>
      <c r="AQ6" t="s">
        <v>117</v>
      </c>
      <c r="AR6">
        <v>25</v>
      </c>
      <c r="AS6" t="s">
        <v>5</v>
      </c>
      <c r="AT6" t="s">
        <v>117</v>
      </c>
      <c r="AU6">
        <v>25</v>
      </c>
      <c r="AV6" t="s">
        <v>5</v>
      </c>
      <c r="AW6" s="65" t="s">
        <v>32</v>
      </c>
      <c r="AX6" s="69">
        <f>H3</f>
        <v>1.740462266778056</v>
      </c>
      <c r="AY6" s="70" t="s">
        <v>97</v>
      </c>
    </row>
    <row r="7" spans="1:51" ht="12.75">
      <c r="A7" t="s">
        <v>1</v>
      </c>
      <c r="B7">
        <v>350</v>
      </c>
      <c r="C7" t="s">
        <v>6</v>
      </c>
      <c r="D7" t="s">
        <v>1</v>
      </c>
      <c r="E7">
        <v>225</v>
      </c>
      <c r="F7" t="s">
        <v>6</v>
      </c>
      <c r="G7" s="18" t="s">
        <v>16</v>
      </c>
      <c r="H7" s="1">
        <v>3.04E-11</v>
      </c>
      <c r="I7" s="18" t="s">
        <v>63</v>
      </c>
      <c r="J7" s="47" t="s">
        <v>162</v>
      </c>
      <c r="K7" s="10">
        <v>3.74E-11</v>
      </c>
      <c r="L7" s="18" t="s">
        <v>63</v>
      </c>
      <c r="M7" s="18" t="s">
        <v>92</v>
      </c>
      <c r="N7" s="21">
        <v>250</v>
      </c>
      <c r="O7" s="18" t="s">
        <v>14</v>
      </c>
      <c r="P7" s="18" t="s">
        <v>91</v>
      </c>
      <c r="Q7" s="21">
        <v>225</v>
      </c>
      <c r="R7" s="18" t="s">
        <v>14</v>
      </c>
      <c r="S7" s="18" t="s">
        <v>90</v>
      </c>
      <c r="T7" s="21">
        <v>250</v>
      </c>
      <c r="U7" s="18" t="s">
        <v>14</v>
      </c>
      <c r="V7" s="18" t="s">
        <v>162</v>
      </c>
      <c r="W7" s="52">
        <v>3.74E-11</v>
      </c>
      <c r="X7" s="18" t="s">
        <v>63</v>
      </c>
      <c r="Y7" t="s">
        <v>69</v>
      </c>
      <c r="Z7" s="10">
        <v>0.0231</v>
      </c>
      <c r="AB7" t="s">
        <v>69</v>
      </c>
      <c r="AC7" s="10">
        <f>Z7</f>
        <v>0.0231</v>
      </c>
      <c r="AE7" t="s">
        <v>69</v>
      </c>
      <c r="AF7" s="10">
        <v>0.0231</v>
      </c>
      <c r="AH7" t="s">
        <v>69</v>
      </c>
      <c r="AI7" s="10">
        <v>0.0231</v>
      </c>
      <c r="AK7" t="s">
        <v>69</v>
      </c>
      <c r="AL7" s="10">
        <v>0.0231</v>
      </c>
      <c r="AN7" t="s">
        <v>69</v>
      </c>
      <c r="AO7" s="10">
        <v>0.0231</v>
      </c>
      <c r="AQ7" s="64" t="s">
        <v>69</v>
      </c>
      <c r="AR7" s="69">
        <f>AO7</f>
        <v>0.0231</v>
      </c>
      <c r="AS7" s="64"/>
      <c r="AT7" s="64" t="s">
        <v>69</v>
      </c>
      <c r="AU7" s="69">
        <f>AR7</f>
        <v>0.0231</v>
      </c>
      <c r="AV7" s="64"/>
      <c r="AW7" s="64" t="s">
        <v>69</v>
      </c>
      <c r="AX7" s="69">
        <f>AU7</f>
        <v>0.0231</v>
      </c>
      <c r="AY7" s="64"/>
    </row>
    <row r="8" spans="1:51" ht="12.75">
      <c r="A8" t="s">
        <v>2</v>
      </c>
      <c r="B8">
        <v>30</v>
      </c>
      <c r="C8" t="s">
        <v>5</v>
      </c>
      <c r="D8" t="s">
        <v>2</v>
      </c>
      <c r="E8">
        <v>25</v>
      </c>
      <c r="F8" t="s">
        <v>5</v>
      </c>
      <c r="G8" s="18" t="s">
        <v>18</v>
      </c>
      <c r="H8" s="19">
        <f>(H9*H10+H11*H12)/(H9+H11)</f>
        <v>1.8</v>
      </c>
      <c r="I8" s="18" t="s">
        <v>61</v>
      </c>
      <c r="J8" s="18" t="s">
        <v>1</v>
      </c>
      <c r="K8" s="21">
        <v>350</v>
      </c>
      <c r="L8" s="18" t="s">
        <v>14</v>
      </c>
      <c r="M8" s="18" t="s">
        <v>62</v>
      </c>
      <c r="N8" s="1">
        <v>3.17E-11</v>
      </c>
      <c r="O8" s="18" t="s">
        <v>63</v>
      </c>
      <c r="P8" s="18" t="s">
        <v>62</v>
      </c>
      <c r="Q8" s="1">
        <f>N8</f>
        <v>3.17E-11</v>
      </c>
      <c r="R8" s="18" t="s">
        <v>63</v>
      </c>
      <c r="S8" s="18" t="s">
        <v>62</v>
      </c>
      <c r="T8" s="1">
        <f>Q8</f>
        <v>3.17E-11</v>
      </c>
      <c r="U8" s="18" t="s">
        <v>63</v>
      </c>
      <c r="V8" s="59" t="s">
        <v>169</v>
      </c>
      <c r="W8" s="62">
        <v>350</v>
      </c>
      <c r="X8" s="59" t="s">
        <v>14</v>
      </c>
      <c r="Y8" t="s">
        <v>1</v>
      </c>
      <c r="Z8">
        <v>350</v>
      </c>
      <c r="AA8" t="s">
        <v>6</v>
      </c>
      <c r="AB8" t="s">
        <v>1</v>
      </c>
      <c r="AC8">
        <v>350</v>
      </c>
      <c r="AD8" t="s">
        <v>6</v>
      </c>
      <c r="AE8" t="s">
        <v>1</v>
      </c>
      <c r="AF8">
        <v>250</v>
      </c>
      <c r="AG8" t="s">
        <v>6</v>
      </c>
      <c r="AH8" t="s">
        <v>1</v>
      </c>
      <c r="AI8">
        <v>250</v>
      </c>
      <c r="AJ8" t="s">
        <v>6</v>
      </c>
      <c r="AK8" t="s">
        <v>1</v>
      </c>
      <c r="AL8">
        <v>225</v>
      </c>
      <c r="AM8" t="s">
        <v>6</v>
      </c>
      <c r="AN8" t="s">
        <v>1</v>
      </c>
      <c r="AO8">
        <v>225</v>
      </c>
      <c r="AP8" t="s">
        <v>6</v>
      </c>
      <c r="AQ8" s="64" t="s">
        <v>1</v>
      </c>
      <c r="AR8" s="64">
        <v>250</v>
      </c>
      <c r="AS8" s="64" t="s">
        <v>6</v>
      </c>
      <c r="AT8" s="64" t="s">
        <v>1</v>
      </c>
      <c r="AU8" s="64">
        <v>250</v>
      </c>
      <c r="AV8" s="64" t="s">
        <v>6</v>
      </c>
      <c r="AW8" s="65" t="s">
        <v>130</v>
      </c>
      <c r="AX8" s="65">
        <v>0.3</v>
      </c>
      <c r="AY8" s="64"/>
    </row>
    <row r="9" spans="1:51" ht="12.75">
      <c r="A9" t="s">
        <v>64</v>
      </c>
      <c r="B9" s="10">
        <v>1.19E-11</v>
      </c>
      <c r="C9" s="2" t="s">
        <v>63</v>
      </c>
      <c r="D9" t="s">
        <v>64</v>
      </c>
      <c r="E9" s="10">
        <v>1.19E-11</v>
      </c>
      <c r="F9" s="2" t="s">
        <v>63</v>
      </c>
      <c r="G9" s="18" t="s">
        <v>4</v>
      </c>
      <c r="H9" s="19">
        <v>6</v>
      </c>
      <c r="J9" s="18" t="s">
        <v>62</v>
      </c>
      <c r="K9" s="1">
        <v>4.33E-11</v>
      </c>
      <c r="L9" s="18" t="s">
        <v>63</v>
      </c>
      <c r="M9" s="18" t="s">
        <v>2</v>
      </c>
      <c r="N9" s="1">
        <v>25</v>
      </c>
      <c r="O9" s="18" t="s">
        <v>68</v>
      </c>
      <c r="P9" s="18" t="s">
        <v>2</v>
      </c>
      <c r="Q9" s="1">
        <v>25</v>
      </c>
      <c r="R9" s="18" t="s">
        <v>68</v>
      </c>
      <c r="S9" s="18" t="s">
        <v>2</v>
      </c>
      <c r="T9" s="1">
        <v>25</v>
      </c>
      <c r="U9" s="18" t="s">
        <v>68</v>
      </c>
      <c r="V9" s="18" t="s">
        <v>62</v>
      </c>
      <c r="W9" s="52">
        <f>K9</f>
        <v>4.33E-11</v>
      </c>
      <c r="X9" s="18" t="s">
        <v>63</v>
      </c>
      <c r="Y9" t="s">
        <v>2</v>
      </c>
      <c r="Z9">
        <v>30</v>
      </c>
      <c r="AA9" t="s">
        <v>5</v>
      </c>
      <c r="AB9" t="s">
        <v>2</v>
      </c>
      <c r="AC9">
        <v>30</v>
      </c>
      <c r="AD9" t="s">
        <v>5</v>
      </c>
      <c r="AE9" t="s">
        <v>2</v>
      </c>
      <c r="AF9">
        <v>25</v>
      </c>
      <c r="AG9" t="s">
        <v>5</v>
      </c>
      <c r="AH9" t="s">
        <v>2</v>
      </c>
      <c r="AI9">
        <v>25</v>
      </c>
      <c r="AJ9" t="s">
        <v>5</v>
      </c>
      <c r="AK9" t="s">
        <v>2</v>
      </c>
      <c r="AL9">
        <v>25</v>
      </c>
      <c r="AM9" t="s">
        <v>5</v>
      </c>
      <c r="AN9" t="s">
        <v>2</v>
      </c>
      <c r="AO9">
        <v>25</v>
      </c>
      <c r="AP9" t="s">
        <v>5</v>
      </c>
      <c r="AQ9" t="s">
        <v>2</v>
      </c>
      <c r="AR9">
        <v>25</v>
      </c>
      <c r="AS9" t="s">
        <v>5</v>
      </c>
      <c r="AT9" t="s">
        <v>2</v>
      </c>
      <c r="AU9">
        <v>25</v>
      </c>
      <c r="AV9" t="s">
        <v>5</v>
      </c>
      <c r="AW9" s="65" t="s">
        <v>131</v>
      </c>
      <c r="AX9" s="69">
        <v>1.5</v>
      </c>
      <c r="AY9" s="64"/>
    </row>
    <row r="10" spans="1:51" ht="12.75">
      <c r="A10" s="18" t="s">
        <v>71</v>
      </c>
      <c r="B10" s="1">
        <f>(B11*B15+B12*B16)/(B15+B16)</f>
        <v>18</v>
      </c>
      <c r="C10" t="s">
        <v>74</v>
      </c>
      <c r="D10" t="s">
        <v>51</v>
      </c>
      <c r="E10" s="21">
        <v>8</v>
      </c>
      <c r="F10" s="2" t="s">
        <v>47</v>
      </c>
      <c r="G10" s="18" t="s">
        <v>19</v>
      </c>
      <c r="H10" s="19">
        <v>1</v>
      </c>
      <c r="J10" s="18" t="s">
        <v>26</v>
      </c>
      <c r="K10" s="19">
        <f>(K13*K12+K16*K15)/(K12+K15)</f>
        <v>120</v>
      </c>
      <c r="L10" s="18" t="s">
        <v>46</v>
      </c>
      <c r="M10" s="18" t="s">
        <v>87</v>
      </c>
      <c r="N10" s="19">
        <v>50</v>
      </c>
      <c r="P10" s="18" t="s">
        <v>89</v>
      </c>
      <c r="Q10" s="19">
        <v>100</v>
      </c>
      <c r="S10" s="18" t="s">
        <v>260</v>
      </c>
      <c r="T10" s="19">
        <v>100</v>
      </c>
      <c r="V10" s="59" t="s">
        <v>171</v>
      </c>
      <c r="W10" s="51">
        <f>(W13*W12+W16*W15)/(W11)</f>
        <v>115</v>
      </c>
      <c r="X10" s="59" t="s">
        <v>46</v>
      </c>
      <c r="Y10" t="s">
        <v>118</v>
      </c>
      <c r="Z10">
        <v>0.4</v>
      </c>
      <c r="AB10" t="s">
        <v>118</v>
      </c>
      <c r="AC10">
        <v>0.4</v>
      </c>
      <c r="AE10" t="s">
        <v>118</v>
      </c>
      <c r="AF10">
        <v>0.4</v>
      </c>
      <c r="AH10" t="s">
        <v>118</v>
      </c>
      <c r="AI10">
        <v>0.4</v>
      </c>
      <c r="AK10" t="s">
        <v>118</v>
      </c>
      <c r="AL10">
        <v>0.4</v>
      </c>
      <c r="AN10" t="s">
        <v>118</v>
      </c>
      <c r="AO10">
        <v>0.4</v>
      </c>
      <c r="AQ10" s="64"/>
      <c r="AR10" s="64"/>
      <c r="AS10" s="64"/>
      <c r="AT10" s="64"/>
      <c r="AU10" s="64"/>
      <c r="AV10" s="64"/>
      <c r="AW10" s="65" t="s">
        <v>132</v>
      </c>
      <c r="AX10" s="65">
        <v>30</v>
      </c>
      <c r="AY10" s="64"/>
    </row>
    <row r="11" spans="1:51" ht="12.75">
      <c r="A11" s="18" t="s">
        <v>72</v>
      </c>
      <c r="B11" s="20">
        <v>10</v>
      </c>
      <c r="C11" s="20" t="s">
        <v>74</v>
      </c>
      <c r="E11" s="21">
        <v>24</v>
      </c>
      <c r="F11" s="2" t="s">
        <v>47</v>
      </c>
      <c r="G11" s="18" t="s">
        <v>21</v>
      </c>
      <c r="H11" s="19">
        <f>30-H9</f>
        <v>24</v>
      </c>
      <c r="J11" s="18" t="s">
        <v>2</v>
      </c>
      <c r="K11" s="1">
        <v>30</v>
      </c>
      <c r="L11" s="18" t="s">
        <v>68</v>
      </c>
      <c r="M11" s="18" t="s">
        <v>88</v>
      </c>
      <c r="N11" s="20">
        <v>60</v>
      </c>
      <c r="O11" s="20" t="s">
        <v>74</v>
      </c>
      <c r="P11" s="18" t="s">
        <v>88</v>
      </c>
      <c r="Q11" s="20">
        <v>60</v>
      </c>
      <c r="R11" s="20" t="s">
        <v>74</v>
      </c>
      <c r="S11" s="18" t="s">
        <v>88</v>
      </c>
      <c r="T11" s="20">
        <v>60</v>
      </c>
      <c r="U11" s="20" t="s">
        <v>74</v>
      </c>
      <c r="V11" s="59" t="s">
        <v>172</v>
      </c>
      <c r="W11" s="51">
        <v>40</v>
      </c>
      <c r="X11" s="59" t="s">
        <v>68</v>
      </c>
      <c r="Y11" t="s">
        <v>119</v>
      </c>
      <c r="Z11">
        <v>1</v>
      </c>
      <c r="AB11" t="s">
        <v>119</v>
      </c>
      <c r="AC11">
        <v>1</v>
      </c>
      <c r="AE11" t="s">
        <v>119</v>
      </c>
      <c r="AF11">
        <v>1</v>
      </c>
      <c r="AH11" t="s">
        <v>119</v>
      </c>
      <c r="AI11">
        <v>1</v>
      </c>
      <c r="AK11" t="s">
        <v>119</v>
      </c>
      <c r="AL11">
        <v>1</v>
      </c>
      <c r="AN11" t="s">
        <v>119</v>
      </c>
      <c r="AO11">
        <v>1</v>
      </c>
      <c r="AQ11" s="64" t="s">
        <v>119</v>
      </c>
      <c r="AR11" s="64">
        <v>1</v>
      </c>
      <c r="AS11" s="64"/>
      <c r="AT11" s="64" t="s">
        <v>119</v>
      </c>
      <c r="AU11" s="64">
        <v>1</v>
      </c>
      <c r="AV11" s="64"/>
      <c r="AW11" s="65" t="s">
        <v>133</v>
      </c>
      <c r="AX11" s="69">
        <v>20</v>
      </c>
      <c r="AY11" s="64"/>
    </row>
    <row r="12" spans="1:51" ht="12.75">
      <c r="A12" s="18" t="s">
        <v>73</v>
      </c>
      <c r="B12" s="20">
        <v>20</v>
      </c>
      <c r="C12" s="20" t="s">
        <v>74</v>
      </c>
      <c r="D12" t="s">
        <v>101</v>
      </c>
      <c r="E12" s="1">
        <v>60</v>
      </c>
      <c r="F12" s="2" t="s">
        <v>74</v>
      </c>
      <c r="G12" s="18" t="s">
        <v>22</v>
      </c>
      <c r="H12" s="19">
        <v>2</v>
      </c>
      <c r="J12" s="18" t="s">
        <v>4</v>
      </c>
      <c r="K12" s="19">
        <v>6</v>
      </c>
      <c r="M12" s="18" t="s">
        <v>78</v>
      </c>
      <c r="N12" s="20">
        <v>0.4</v>
      </c>
      <c r="O12" s="20"/>
      <c r="P12" s="18" t="s">
        <v>78</v>
      </c>
      <c r="Q12" s="20">
        <v>1</v>
      </c>
      <c r="R12" s="20"/>
      <c r="S12" s="18" t="s">
        <v>78</v>
      </c>
      <c r="T12" s="20">
        <v>1</v>
      </c>
      <c r="U12" s="20"/>
      <c r="V12" s="59" t="s">
        <v>173</v>
      </c>
      <c r="W12" s="51">
        <v>6</v>
      </c>
      <c r="X12" s="51"/>
      <c r="Y12" t="s">
        <v>77</v>
      </c>
      <c r="Z12">
        <v>0.877</v>
      </c>
      <c r="AB12" t="s">
        <v>77</v>
      </c>
      <c r="AC12">
        <f>Z12</f>
        <v>0.877</v>
      </c>
      <c r="AE12" t="s">
        <v>77</v>
      </c>
      <c r="AF12">
        <f>Z12</f>
        <v>0.877</v>
      </c>
      <c r="AH12" t="s">
        <v>77</v>
      </c>
      <c r="AI12">
        <f>AC12</f>
        <v>0.877</v>
      </c>
      <c r="AK12" t="s">
        <v>77</v>
      </c>
      <c r="AL12">
        <f>AF12</f>
        <v>0.877</v>
      </c>
      <c r="AN12" t="s">
        <v>77</v>
      </c>
      <c r="AO12">
        <f>AI12</f>
        <v>0.877</v>
      </c>
      <c r="AQ12" s="64" t="s">
        <v>77</v>
      </c>
      <c r="AR12" s="64">
        <v>0.877</v>
      </c>
      <c r="AS12" s="64"/>
      <c r="AT12" s="64" t="s">
        <v>77</v>
      </c>
      <c r="AU12" s="64">
        <f>AR12</f>
        <v>0.877</v>
      </c>
      <c r="AV12" s="64"/>
      <c r="AW12" s="65" t="s">
        <v>129</v>
      </c>
      <c r="AX12" s="65">
        <v>10</v>
      </c>
      <c r="AY12" s="64"/>
    </row>
    <row r="13" spans="1:51" ht="12.75">
      <c r="A13" t="s">
        <v>50</v>
      </c>
      <c r="B13">
        <v>24</v>
      </c>
      <c r="C13" t="s">
        <v>47</v>
      </c>
      <c r="D13" s="17" t="s">
        <v>108</v>
      </c>
      <c r="E13" s="1">
        <v>2.39E-09</v>
      </c>
      <c r="F13" s="17" t="s">
        <v>109</v>
      </c>
      <c r="G13" s="18" t="s">
        <v>24</v>
      </c>
      <c r="H13" s="20">
        <v>0.5</v>
      </c>
      <c r="I13" t="s">
        <v>25</v>
      </c>
      <c r="J13" s="18" t="s">
        <v>27</v>
      </c>
      <c r="K13" s="19">
        <v>200</v>
      </c>
      <c r="M13" s="18" t="s">
        <v>77</v>
      </c>
      <c r="N13" s="20">
        <v>0.877</v>
      </c>
      <c r="O13" s="20"/>
      <c r="P13" s="18" t="s">
        <v>77</v>
      </c>
      <c r="Q13" s="20">
        <v>0.877</v>
      </c>
      <c r="R13" s="20"/>
      <c r="S13" s="18" t="s">
        <v>77</v>
      </c>
      <c r="T13" s="20">
        <v>0.877</v>
      </c>
      <c r="U13" s="20"/>
      <c r="V13" s="59" t="s">
        <v>174</v>
      </c>
      <c r="W13" s="51">
        <v>200</v>
      </c>
      <c r="X13" s="51"/>
      <c r="Y13" t="s">
        <v>120</v>
      </c>
      <c r="Z13">
        <v>0.073</v>
      </c>
      <c r="AA13" t="s">
        <v>127</v>
      </c>
      <c r="AB13" t="s">
        <v>120</v>
      </c>
      <c r="AC13">
        <v>0.073</v>
      </c>
      <c r="AD13" t="s">
        <v>127</v>
      </c>
      <c r="AE13" t="s">
        <v>120</v>
      </c>
      <c r="AF13">
        <v>0</v>
      </c>
      <c r="AG13" t="s">
        <v>127</v>
      </c>
      <c r="AH13" t="s">
        <v>120</v>
      </c>
      <c r="AI13">
        <v>0</v>
      </c>
      <c r="AJ13" t="s">
        <v>127</v>
      </c>
      <c r="AK13" t="s">
        <v>120</v>
      </c>
      <c r="AL13">
        <v>0.33</v>
      </c>
      <c r="AM13" t="s">
        <v>127</v>
      </c>
      <c r="AN13" t="s">
        <v>3</v>
      </c>
      <c r="AO13">
        <v>0.33</v>
      </c>
      <c r="AP13" t="s">
        <v>54</v>
      </c>
      <c r="AQ13" s="65" t="s">
        <v>166</v>
      </c>
      <c r="AR13" s="64">
        <v>8</v>
      </c>
      <c r="AS13" s="65" t="s">
        <v>254</v>
      </c>
      <c r="AT13" s="65" t="s">
        <v>166</v>
      </c>
      <c r="AU13" s="64">
        <v>8</v>
      </c>
      <c r="AV13" s="65" t="s">
        <v>254</v>
      </c>
      <c r="AY13" s="64"/>
    </row>
    <row r="14" spans="2:48" ht="12.75">
      <c r="B14">
        <v>24</v>
      </c>
      <c r="C14" t="s">
        <v>47</v>
      </c>
      <c r="D14" s="17" t="s">
        <v>78</v>
      </c>
      <c r="E14" s="17">
        <v>1</v>
      </c>
      <c r="G14" s="18" t="s">
        <v>64</v>
      </c>
      <c r="H14" s="10">
        <v>1.19E-11</v>
      </c>
      <c r="I14" s="2" t="s">
        <v>63</v>
      </c>
      <c r="J14" s="18" t="s">
        <v>20</v>
      </c>
      <c r="K14" s="21">
        <v>15</v>
      </c>
      <c r="L14" s="2"/>
      <c r="M14" s="18" t="s">
        <v>65</v>
      </c>
      <c r="N14" s="1">
        <v>2.54E-06</v>
      </c>
      <c r="O14" s="18" t="s">
        <v>66</v>
      </c>
      <c r="P14" s="18" t="s">
        <v>65</v>
      </c>
      <c r="Q14" s="1">
        <v>2.54E-06</v>
      </c>
      <c r="R14" s="18" t="s">
        <v>66</v>
      </c>
      <c r="S14" s="18" t="s">
        <v>65</v>
      </c>
      <c r="T14" s="1">
        <f>Q14</f>
        <v>2.54E-06</v>
      </c>
      <c r="U14" s="18" t="s">
        <v>66</v>
      </c>
      <c r="V14" s="59" t="s">
        <v>20</v>
      </c>
      <c r="W14" s="51">
        <v>15</v>
      </c>
      <c r="X14" s="53"/>
      <c r="Y14" t="s">
        <v>65</v>
      </c>
      <c r="Z14" s="10">
        <v>2.54E-06</v>
      </c>
      <c r="AA14" s="2" t="s">
        <v>121</v>
      </c>
      <c r="AB14" t="s">
        <v>65</v>
      </c>
      <c r="AC14" s="10">
        <v>2.27E-06</v>
      </c>
      <c r="AD14" s="2" t="s">
        <v>121</v>
      </c>
      <c r="AE14" t="s">
        <v>65</v>
      </c>
      <c r="AF14" s="10">
        <f>Z14</f>
        <v>2.54E-06</v>
      </c>
      <c r="AG14" s="2" t="s">
        <v>121</v>
      </c>
      <c r="AH14" t="s">
        <v>65</v>
      </c>
      <c r="AI14" s="10">
        <f>AC14</f>
        <v>2.27E-06</v>
      </c>
      <c r="AJ14" s="2" t="s">
        <v>121</v>
      </c>
      <c r="AK14" t="s">
        <v>65</v>
      </c>
      <c r="AL14" s="10">
        <f>AF14</f>
        <v>2.54E-06</v>
      </c>
      <c r="AM14" s="2" t="s">
        <v>121</v>
      </c>
      <c r="AN14" t="s">
        <v>65</v>
      </c>
      <c r="AO14" s="10">
        <f>AI14</f>
        <v>2.27E-06</v>
      </c>
      <c r="AP14" s="2" t="s">
        <v>121</v>
      </c>
      <c r="AQ14" s="64" t="s">
        <v>181</v>
      </c>
      <c r="AR14" s="69">
        <f>AL14</f>
        <v>2.54E-06</v>
      </c>
      <c r="AS14" s="65" t="s">
        <v>255</v>
      </c>
      <c r="AT14" s="64" t="s">
        <v>181</v>
      </c>
      <c r="AU14" s="69">
        <f>AO14</f>
        <v>2.27E-06</v>
      </c>
      <c r="AV14" s="65" t="s">
        <v>255</v>
      </c>
    </row>
    <row r="15" spans="1:48" ht="12.75">
      <c r="A15" t="s">
        <v>94</v>
      </c>
      <c r="B15" s="1">
        <v>6</v>
      </c>
      <c r="C15" t="s">
        <v>5</v>
      </c>
      <c r="D15" t="s">
        <v>34</v>
      </c>
      <c r="E15" s="1">
        <f>(E5)/((E10/E11)*E7*E8*E9*E12)</f>
        <v>0.7469654528478057</v>
      </c>
      <c r="F15" t="s">
        <v>110</v>
      </c>
      <c r="G15" s="18" t="s">
        <v>2</v>
      </c>
      <c r="H15" s="21">
        <v>30</v>
      </c>
      <c r="I15" s="2" t="s">
        <v>15</v>
      </c>
      <c r="J15" s="18" t="s">
        <v>21</v>
      </c>
      <c r="K15" s="19">
        <f>30-K12</f>
        <v>24</v>
      </c>
      <c r="M15" s="18" t="s">
        <v>30</v>
      </c>
      <c r="N15" s="1">
        <v>1360000000</v>
      </c>
      <c r="O15" s="18" t="s">
        <v>7</v>
      </c>
      <c r="P15" s="18" t="s">
        <v>30</v>
      </c>
      <c r="Q15" s="1">
        <v>1360000000</v>
      </c>
      <c r="R15" s="18" t="s">
        <v>7</v>
      </c>
      <c r="S15" s="18" t="s">
        <v>30</v>
      </c>
      <c r="T15" s="1">
        <v>1360000000</v>
      </c>
      <c r="U15" s="18" t="s">
        <v>7</v>
      </c>
      <c r="V15" s="59" t="s">
        <v>175</v>
      </c>
      <c r="W15" s="51">
        <v>34</v>
      </c>
      <c r="X15" s="51"/>
      <c r="Y15" t="s">
        <v>122</v>
      </c>
      <c r="Z15">
        <v>0.683</v>
      </c>
      <c r="AA15" t="s">
        <v>127</v>
      </c>
      <c r="AB15" t="s">
        <v>122</v>
      </c>
      <c r="AC15">
        <v>0.683</v>
      </c>
      <c r="AD15" t="s">
        <v>127</v>
      </c>
      <c r="AE15" s="2" t="s">
        <v>166</v>
      </c>
      <c r="AF15">
        <v>8</v>
      </c>
      <c r="AG15" s="2" t="s">
        <v>54</v>
      </c>
      <c r="AH15" s="2" t="s">
        <v>166</v>
      </c>
      <c r="AI15">
        <v>8</v>
      </c>
      <c r="AJ15" s="2" t="s">
        <v>54</v>
      </c>
      <c r="AK15" s="2" t="s">
        <v>166</v>
      </c>
      <c r="AL15">
        <v>8</v>
      </c>
      <c r="AM15" s="2" t="s">
        <v>54</v>
      </c>
      <c r="AN15" s="2" t="s">
        <v>166</v>
      </c>
      <c r="AO15">
        <v>8</v>
      </c>
      <c r="AP15" s="2" t="s">
        <v>54</v>
      </c>
      <c r="AQ15" s="2" t="s">
        <v>166</v>
      </c>
      <c r="AR15">
        <v>8</v>
      </c>
      <c r="AS15" s="2" t="s">
        <v>54</v>
      </c>
      <c r="AT15" s="2" t="s">
        <v>166</v>
      </c>
      <c r="AU15">
        <v>8</v>
      </c>
      <c r="AV15" s="2" t="s">
        <v>54</v>
      </c>
    </row>
    <row r="16" spans="1:48" ht="12.75">
      <c r="A16" s="17" t="s">
        <v>95</v>
      </c>
      <c r="B16" s="17">
        <v>24</v>
      </c>
      <c r="C16" s="17" t="s">
        <v>5</v>
      </c>
      <c r="D16" t="s">
        <v>111</v>
      </c>
      <c r="E16" s="1">
        <f>(E5)/((E10/E11)*E7*E8*E13*(1/365))</f>
        <v>81.45048814504882</v>
      </c>
      <c r="F16" t="s">
        <v>110</v>
      </c>
      <c r="G16" s="18" t="s">
        <v>39</v>
      </c>
      <c r="H16">
        <v>1</v>
      </c>
      <c r="I16" t="s">
        <v>41</v>
      </c>
      <c r="J16" s="18" t="s">
        <v>28</v>
      </c>
      <c r="K16" s="19">
        <v>100</v>
      </c>
      <c r="M16" s="18" t="s">
        <v>64</v>
      </c>
      <c r="N16" s="10">
        <v>1.19E-11</v>
      </c>
      <c r="O16" s="2" t="s">
        <v>63</v>
      </c>
      <c r="P16" s="18" t="s">
        <v>64</v>
      </c>
      <c r="Q16" s="10">
        <v>1.19E-11</v>
      </c>
      <c r="R16" s="2" t="s">
        <v>63</v>
      </c>
      <c r="S16" s="18" t="s">
        <v>64</v>
      </c>
      <c r="T16" s="10">
        <f>Q16</f>
        <v>1.19E-11</v>
      </c>
      <c r="U16" s="2" t="s">
        <v>63</v>
      </c>
      <c r="V16" s="59" t="s">
        <v>176</v>
      </c>
      <c r="W16" s="51">
        <v>100</v>
      </c>
      <c r="X16" s="51"/>
      <c r="AO16" s="17"/>
      <c r="AP16" s="17"/>
      <c r="AQ16" s="70"/>
      <c r="AR16" s="70"/>
      <c r="AS16" s="70"/>
      <c r="AT16" s="70"/>
      <c r="AU16" s="70"/>
      <c r="AV16" s="70"/>
    </row>
    <row r="17" spans="1:51" ht="12.75">
      <c r="A17" s="17" t="s">
        <v>108</v>
      </c>
      <c r="B17" s="1">
        <v>2.39E-09</v>
      </c>
      <c r="C17" s="17" t="s">
        <v>109</v>
      </c>
      <c r="D17" t="s">
        <v>34</v>
      </c>
      <c r="E17" s="1">
        <f>(E5*E6*E8)/((E10/E11)*(1-EXP(-E6*E8))*E9*E12*E7*E8)</f>
        <v>0.9832970479158756</v>
      </c>
      <c r="F17" t="s">
        <v>80</v>
      </c>
      <c r="G17" s="18" t="s">
        <v>40</v>
      </c>
      <c r="H17">
        <v>1</v>
      </c>
      <c r="I17" t="s">
        <v>41</v>
      </c>
      <c r="J17" s="18" t="s">
        <v>23</v>
      </c>
      <c r="K17" s="20">
        <v>70</v>
      </c>
      <c r="L17" s="17"/>
      <c r="M17" s="18" t="s">
        <v>166</v>
      </c>
      <c r="N17" s="10">
        <v>8</v>
      </c>
      <c r="O17" s="2"/>
      <c r="P17" s="18" t="s">
        <v>166</v>
      </c>
      <c r="Q17" s="10">
        <v>8</v>
      </c>
      <c r="R17" s="2"/>
      <c r="S17" s="18" t="s">
        <v>166</v>
      </c>
      <c r="T17" s="10">
        <v>8</v>
      </c>
      <c r="U17" s="2"/>
      <c r="V17" s="59" t="s">
        <v>23</v>
      </c>
      <c r="W17" s="51">
        <v>70</v>
      </c>
      <c r="X17" s="58"/>
      <c r="Y17" s="34" t="s">
        <v>112</v>
      </c>
      <c r="Z17" s="34" t="s">
        <v>123</v>
      </c>
      <c r="AA17" s="34" t="s">
        <v>105</v>
      </c>
      <c r="AB17" s="34" t="s">
        <v>112</v>
      </c>
      <c r="AC17" s="34" t="s">
        <v>124</v>
      </c>
      <c r="AD17" s="34" t="s">
        <v>105</v>
      </c>
      <c r="AE17" s="37" t="s">
        <v>112</v>
      </c>
      <c r="AF17" s="37" t="s">
        <v>123</v>
      </c>
      <c r="AG17" s="37" t="s">
        <v>105</v>
      </c>
      <c r="AH17" s="37" t="s">
        <v>112</v>
      </c>
      <c r="AI17" s="37" t="s">
        <v>124</v>
      </c>
      <c r="AJ17" s="37" t="s">
        <v>105</v>
      </c>
      <c r="AK17" s="38" t="s">
        <v>112</v>
      </c>
      <c r="AL17" s="38" t="s">
        <v>123</v>
      </c>
      <c r="AM17" s="38" t="s">
        <v>105</v>
      </c>
      <c r="AN17" s="38" t="s">
        <v>112</v>
      </c>
      <c r="AO17" s="38" t="s">
        <v>124</v>
      </c>
      <c r="AP17" s="38" t="s">
        <v>105</v>
      </c>
      <c r="AQ17" s="73" t="s">
        <v>112</v>
      </c>
      <c r="AR17" s="73" t="s">
        <v>123</v>
      </c>
      <c r="AS17" s="73" t="s">
        <v>105</v>
      </c>
      <c r="AT17" s="73" t="s">
        <v>112</v>
      </c>
      <c r="AU17" s="73" t="s">
        <v>124</v>
      </c>
      <c r="AV17" s="73" t="s">
        <v>105</v>
      </c>
      <c r="AW17" s="66" t="s">
        <v>32</v>
      </c>
      <c r="AX17" s="66" t="s">
        <v>105</v>
      </c>
      <c r="AY17" s="66" t="s">
        <v>138</v>
      </c>
    </row>
    <row r="18" spans="1:51" ht="14.25">
      <c r="A18" s="17" t="s">
        <v>78</v>
      </c>
      <c r="B18" s="17">
        <v>1</v>
      </c>
      <c r="D18" t="s">
        <v>111</v>
      </c>
      <c r="E18" s="1">
        <f>(E5*E6*E8)/((E10/E11)*(1-EXP(-E6*E8))*E13*E7*E8*(1/365))</f>
        <v>107.22052035872653</v>
      </c>
      <c r="F18" t="s">
        <v>80</v>
      </c>
      <c r="H18">
        <f>1/1000</f>
        <v>0.001</v>
      </c>
      <c r="I18" t="s">
        <v>35</v>
      </c>
      <c r="J18" s="18" t="s">
        <v>71</v>
      </c>
      <c r="K18">
        <f>(K12*K19+K15*K20)/(K12+K15)</f>
        <v>18</v>
      </c>
      <c r="L18" t="s">
        <v>74</v>
      </c>
      <c r="M18" s="18" t="s">
        <v>163</v>
      </c>
      <c r="N18" s="21">
        <f>1/24</f>
        <v>0.041666666666666664</v>
      </c>
      <c r="P18" s="18" t="s">
        <v>163</v>
      </c>
      <c r="Q18" s="21">
        <f>1/24</f>
        <v>0.041666666666666664</v>
      </c>
      <c r="S18" s="18" t="s">
        <v>163</v>
      </c>
      <c r="T18" s="21">
        <f>1/24</f>
        <v>0.041666666666666664</v>
      </c>
      <c r="U18" s="2"/>
      <c r="V18" s="59" t="s">
        <v>177</v>
      </c>
      <c r="W18" s="51">
        <f>(W12*W19+W15*W20)/(W11)</f>
        <v>18.5</v>
      </c>
      <c r="X18" s="51" t="s">
        <v>74</v>
      </c>
      <c r="Y18" s="36"/>
      <c r="Z18" s="34" t="s">
        <v>84</v>
      </c>
      <c r="AA18" s="35" t="s">
        <v>67</v>
      </c>
      <c r="AB18" s="36"/>
      <c r="AC18" s="34" t="s">
        <v>84</v>
      </c>
      <c r="AD18" s="35" t="s">
        <v>125</v>
      </c>
      <c r="AE18" s="37" t="s">
        <v>53</v>
      </c>
      <c r="AF18" s="37" t="s">
        <v>128</v>
      </c>
      <c r="AG18" s="39" t="s">
        <v>67</v>
      </c>
      <c r="AH18" s="37" t="s">
        <v>53</v>
      </c>
      <c r="AI18" s="37" t="s">
        <v>128</v>
      </c>
      <c r="AJ18" s="39" t="s">
        <v>125</v>
      </c>
      <c r="AK18" s="38" t="s">
        <v>52</v>
      </c>
      <c r="AL18" s="38" t="s">
        <v>128</v>
      </c>
      <c r="AM18" s="40" t="s">
        <v>67</v>
      </c>
      <c r="AN18" s="38" t="s">
        <v>52</v>
      </c>
      <c r="AO18" s="38" t="s">
        <v>128</v>
      </c>
      <c r="AP18" s="40" t="s">
        <v>125</v>
      </c>
      <c r="AQ18" s="74" t="s">
        <v>253</v>
      </c>
      <c r="AR18" s="73" t="s">
        <v>128</v>
      </c>
      <c r="AS18" s="75" t="s">
        <v>67</v>
      </c>
      <c r="AT18" s="74" t="s">
        <v>253</v>
      </c>
      <c r="AU18" s="73" t="s">
        <v>128</v>
      </c>
      <c r="AV18" s="75" t="s">
        <v>125</v>
      </c>
      <c r="AW18" s="66" t="s">
        <v>67</v>
      </c>
      <c r="AX18" s="66" t="s">
        <v>84</v>
      </c>
      <c r="AY18" s="66" t="s">
        <v>136</v>
      </c>
    </row>
    <row r="19" spans="1:51" ht="14.25">
      <c r="A19" t="s">
        <v>34</v>
      </c>
      <c r="B19" s="1">
        <f>(B5)/((B13/B14)*B7*B8*B9*B10)</f>
        <v>0.4446222933617891</v>
      </c>
      <c r="C19" t="s">
        <v>110</v>
      </c>
      <c r="H19">
        <v>1000</v>
      </c>
      <c r="I19" t="s">
        <v>42</v>
      </c>
      <c r="J19" s="18" t="s">
        <v>72</v>
      </c>
      <c r="K19" s="20">
        <v>10</v>
      </c>
      <c r="L19" s="20" t="s">
        <v>74</v>
      </c>
      <c r="M19" s="21" t="s">
        <v>60</v>
      </c>
      <c r="N19" s="21">
        <v>25</v>
      </c>
      <c r="O19" s="21" t="s">
        <v>68</v>
      </c>
      <c r="P19" s="21" t="s">
        <v>60</v>
      </c>
      <c r="Q19" s="21">
        <v>25</v>
      </c>
      <c r="R19" s="21" t="s">
        <v>68</v>
      </c>
      <c r="S19" s="21" t="s">
        <v>60</v>
      </c>
      <c r="T19" s="21">
        <v>25</v>
      </c>
      <c r="U19" s="21" t="s">
        <v>68</v>
      </c>
      <c r="V19" s="59" t="s">
        <v>178</v>
      </c>
      <c r="W19" s="61">
        <v>10</v>
      </c>
      <c r="X19" s="61" t="s">
        <v>74</v>
      </c>
      <c r="Y19" s="34" t="s">
        <v>116</v>
      </c>
      <c r="Z19" s="36">
        <f>(Z21*Z22*Z23)/((1-EXP(-Z23*Z22))*Z25*Z30*(Z24/365)*Z28*((Z29)+(Z31*Z26)))</f>
        <v>489.8454266157464</v>
      </c>
      <c r="AA19" s="35" t="s">
        <v>8</v>
      </c>
      <c r="AB19" s="34" t="s">
        <v>116</v>
      </c>
      <c r="AC19" s="36">
        <f>(AC21*AC22*AC23)/((1-EXP(-AC23*AC22))*AC25*AC30*(AC24/365)*AC28*((AC29)+(AC31*AC26)))</f>
        <v>0.31180730495776393</v>
      </c>
      <c r="AD19" s="35" t="s">
        <v>8</v>
      </c>
      <c r="AE19" s="37" t="s">
        <v>116</v>
      </c>
      <c r="AF19" s="41">
        <f>(AF21*AF22*AF23)/((1-EXP(-AF23*AF22))*AF25*AF30*(AF24/365)*AF28*(AF31/24)*AF26)</f>
        <v>2029.1480081825375</v>
      </c>
      <c r="AG19" s="39" t="s">
        <v>8</v>
      </c>
      <c r="AH19" s="37" t="s">
        <v>116</v>
      </c>
      <c r="AI19" s="41">
        <f>(AI21*AI22*AI23)/((1-EXP(-AI23*AI22))*AI25*AI30*(AI24/365)*AI28*(AI31/24)*AI26)</f>
        <v>1.291638417782205</v>
      </c>
      <c r="AJ19" s="39" t="s">
        <v>8</v>
      </c>
      <c r="AK19" s="38" t="s">
        <v>116</v>
      </c>
      <c r="AL19" s="50">
        <f>(AL21*AL22*AL23)/((1-EXP(-AL23*AL22))*AL25*AL30*(AL24/365)*AL28*(AL31/24)*AL27)</f>
        <v>901.8435591922391</v>
      </c>
      <c r="AM19" s="40" t="s">
        <v>8</v>
      </c>
      <c r="AN19" s="38" t="s">
        <v>116</v>
      </c>
      <c r="AO19" s="50">
        <f>(AO21*AO22*AO23)/((1-EXP(-AO23*AO22))*AO25*AO30*(AO24/365)*AO28*(AO31/24)*AO27)</f>
        <v>0.5740615190143132</v>
      </c>
      <c r="AP19" s="40" t="s">
        <v>8</v>
      </c>
      <c r="AQ19" s="73"/>
      <c r="AR19" s="86">
        <f>(AR21*AR22*AR23)/((1-EXP(-AR23*AR22))*AR25*AR30*(AR24/365)*AR28*(AR31/24)*AR27)</f>
        <v>811.6592032730151</v>
      </c>
      <c r="AS19" s="75" t="s">
        <v>8</v>
      </c>
      <c r="AT19" s="73"/>
      <c r="AU19" s="86">
        <f>(AU21*AU22*AU23)/((1-EXP(-AU23*AU22))*AU25*AU30*(AU24/365)*AU28*(AU31/24)*AU27)</f>
        <v>0.516655367112882</v>
      </c>
      <c r="AV19" s="75" t="s">
        <v>8</v>
      </c>
      <c r="AW19" s="87">
        <f>(AX21*AX28*AX33*AX27*10^-3*AX26*AX23)/(AX25*AX36*(1-EXP(-AX23*AX26)))</f>
        <v>22.485438770425386</v>
      </c>
      <c r="AX19" s="68" t="s">
        <v>8</v>
      </c>
      <c r="AY19" s="66" t="s">
        <v>134</v>
      </c>
    </row>
    <row r="20" spans="1:51" ht="12.75">
      <c r="A20" t="s">
        <v>111</v>
      </c>
      <c r="B20" s="1">
        <f>(B5)/((B13/B14)*B7*B8*B17*(1/365)*B18)</f>
        <v>14.544730025901574</v>
      </c>
      <c r="C20" t="s">
        <v>110</v>
      </c>
      <c r="D20" s="13" t="s">
        <v>11</v>
      </c>
      <c r="E20" s="4" t="s">
        <v>53</v>
      </c>
      <c r="F20" s="4" t="s">
        <v>105</v>
      </c>
      <c r="G20" t="s">
        <v>36</v>
      </c>
      <c r="H20">
        <v>1</v>
      </c>
      <c r="I20" t="s">
        <v>38</v>
      </c>
      <c r="J20" s="18" t="s">
        <v>73</v>
      </c>
      <c r="K20" s="20">
        <v>20</v>
      </c>
      <c r="L20" s="20" t="s">
        <v>74</v>
      </c>
      <c r="M20" s="21" t="s">
        <v>69</v>
      </c>
      <c r="N20" s="21">
        <v>0.0231</v>
      </c>
      <c r="P20" s="21" t="s">
        <v>69</v>
      </c>
      <c r="Q20" s="21">
        <v>0.0231</v>
      </c>
      <c r="S20" s="21" t="s">
        <v>69</v>
      </c>
      <c r="T20" s="21">
        <f>Q20</f>
        <v>0.0231</v>
      </c>
      <c r="V20" s="59" t="s">
        <v>179</v>
      </c>
      <c r="W20" s="61">
        <v>20</v>
      </c>
      <c r="X20" s="61" t="s">
        <v>74</v>
      </c>
      <c r="Y20" s="34" t="s">
        <v>115</v>
      </c>
      <c r="Z20" s="36"/>
      <c r="AA20" s="35"/>
      <c r="AB20" s="34" t="s">
        <v>115</v>
      </c>
      <c r="AC20" s="36"/>
      <c r="AD20" s="35"/>
      <c r="AE20" s="37" t="s">
        <v>115</v>
      </c>
      <c r="AF20" s="41"/>
      <c r="AG20" s="39"/>
      <c r="AH20" s="37" t="s">
        <v>115</v>
      </c>
      <c r="AI20" s="41"/>
      <c r="AJ20" s="39"/>
      <c r="AK20" s="38" t="s">
        <v>115</v>
      </c>
      <c r="AL20" s="42"/>
      <c r="AM20" s="40"/>
      <c r="AN20" s="38" t="s">
        <v>115</v>
      </c>
      <c r="AO20" s="42"/>
      <c r="AP20" s="40"/>
      <c r="AQ20" s="73" t="s">
        <v>115</v>
      </c>
      <c r="AR20" s="76"/>
      <c r="AS20" s="75"/>
      <c r="AT20" s="73" t="s">
        <v>115</v>
      </c>
      <c r="AU20" s="76"/>
      <c r="AV20" s="75"/>
      <c r="AW20" s="87">
        <f>(AX22*AX28*AX33*AX27*10^-3*AX26*AX23)/(AX25*AX36*(1-EXP(-AX23*AX26)))</f>
        <v>0.19567528865936876</v>
      </c>
      <c r="AX20" s="68" t="s">
        <v>8</v>
      </c>
      <c r="AY20" s="66" t="s">
        <v>135</v>
      </c>
    </row>
    <row r="21" spans="1:51" ht="12.75">
      <c r="A21" t="s">
        <v>34</v>
      </c>
      <c r="B21" s="1">
        <f>(B5*B8*B6)/((B13/B14)*B7*B8*(1-EXP(-B6*B8))*B9*B10)</f>
        <v>0.6163372181322316</v>
      </c>
      <c r="C21" t="s">
        <v>80</v>
      </c>
      <c r="D21" s="4" t="s">
        <v>10</v>
      </c>
      <c r="E21" s="4" t="s">
        <v>32</v>
      </c>
      <c r="F21" s="4" t="s">
        <v>93</v>
      </c>
      <c r="G21" t="s">
        <v>37</v>
      </c>
      <c r="H21">
        <v>0.58</v>
      </c>
      <c r="I21" t="s">
        <v>38</v>
      </c>
      <c r="J21" s="18" t="s">
        <v>78</v>
      </c>
      <c r="K21" s="20">
        <v>0.4</v>
      </c>
      <c r="L21" s="20"/>
      <c r="N21" s="21">
        <v>365</v>
      </c>
      <c r="O21" t="s">
        <v>79</v>
      </c>
      <c r="Q21" s="21">
        <v>365</v>
      </c>
      <c r="R21" t="s">
        <v>79</v>
      </c>
      <c r="T21" s="21">
        <v>365</v>
      </c>
      <c r="U21" t="s">
        <v>79</v>
      </c>
      <c r="V21" s="59" t="s">
        <v>180</v>
      </c>
      <c r="W21" s="61">
        <v>0.4</v>
      </c>
      <c r="X21" s="61"/>
      <c r="Y21" t="s">
        <v>0</v>
      </c>
      <c r="Z21" s="1">
        <v>1E-06</v>
      </c>
      <c r="AB21" t="s">
        <v>0</v>
      </c>
      <c r="AC21" s="1">
        <v>1E-06</v>
      </c>
      <c r="AE21" t="s">
        <v>0</v>
      </c>
      <c r="AF21" s="1">
        <v>1E-06</v>
      </c>
      <c r="AH21" t="s">
        <v>0</v>
      </c>
      <c r="AI21" s="1">
        <v>1E-06</v>
      </c>
      <c r="AK21" t="s">
        <v>0</v>
      </c>
      <c r="AL21" s="1">
        <v>1E-06</v>
      </c>
      <c r="AN21" t="s">
        <v>0</v>
      </c>
      <c r="AO21" s="1">
        <v>1E-06</v>
      </c>
      <c r="AQ21" t="s">
        <v>0</v>
      </c>
      <c r="AR21" s="1">
        <v>1E-06</v>
      </c>
      <c r="AT21" t="s">
        <v>0</v>
      </c>
      <c r="AU21" s="1">
        <v>1E-06</v>
      </c>
      <c r="AW21" s="71" t="s">
        <v>152</v>
      </c>
      <c r="AX21" s="69">
        <f>AX5</f>
        <v>200</v>
      </c>
      <c r="AY21" s="70" t="s">
        <v>97</v>
      </c>
    </row>
    <row r="22" spans="1:51" ht="12.75">
      <c r="A22" t="s">
        <v>111</v>
      </c>
      <c r="B22" s="1">
        <f>(B5*B8*B6)/((B13/B14)*B7*B8*(1-EXP(-B6*B8))*B17*(1/365)*B18)</f>
        <v>20.16196348336078</v>
      </c>
      <c r="C22" t="s">
        <v>80</v>
      </c>
      <c r="D22" s="4" t="s">
        <v>80</v>
      </c>
      <c r="E22" s="6">
        <f>1/((1/E36)+(1/E37))</f>
        <v>0.8769252444548314</v>
      </c>
      <c r="F22" s="5" t="s">
        <v>8</v>
      </c>
      <c r="G22" s="18" t="s">
        <v>49</v>
      </c>
      <c r="H22" s="21">
        <v>24</v>
      </c>
      <c r="I22" s="21" t="s">
        <v>47</v>
      </c>
      <c r="J22" s="18" t="s">
        <v>77</v>
      </c>
      <c r="K22" s="20">
        <v>0.877</v>
      </c>
      <c r="L22" s="20"/>
      <c r="M22" s="2" t="s">
        <v>80</v>
      </c>
      <c r="N22">
        <f>(N19*N20)/(1-EXP(-N20*N19))</f>
        <v>1.3163889228973786</v>
      </c>
      <c r="P22" s="2" t="s">
        <v>80</v>
      </c>
      <c r="Q22">
        <f>(Q19*Q20)/(1-EXP(-Q20*Q19))</f>
        <v>1.3163889228973786</v>
      </c>
      <c r="S22" s="2" t="s">
        <v>80</v>
      </c>
      <c r="T22">
        <f>(T19*T20)/(1-EXP(-T20*T19))</f>
        <v>1.3163889228973786</v>
      </c>
      <c r="V22" s="59" t="s">
        <v>77</v>
      </c>
      <c r="W22" s="61">
        <v>0.9</v>
      </c>
      <c r="X22" s="61"/>
      <c r="Y22" t="s">
        <v>117</v>
      </c>
      <c r="Z22">
        <v>30</v>
      </c>
      <c r="AA22" t="s">
        <v>5</v>
      </c>
      <c r="AB22" t="s">
        <v>117</v>
      </c>
      <c r="AC22">
        <v>30</v>
      </c>
      <c r="AD22" t="s">
        <v>5</v>
      </c>
      <c r="AE22" t="s">
        <v>117</v>
      </c>
      <c r="AF22">
        <v>25</v>
      </c>
      <c r="AG22" t="s">
        <v>5</v>
      </c>
      <c r="AH22" t="s">
        <v>117</v>
      </c>
      <c r="AI22">
        <v>25</v>
      </c>
      <c r="AJ22" t="s">
        <v>5</v>
      </c>
      <c r="AK22" t="s">
        <v>117</v>
      </c>
      <c r="AL22">
        <v>25</v>
      </c>
      <c r="AM22" t="s">
        <v>5</v>
      </c>
      <c r="AN22" t="s">
        <v>117</v>
      </c>
      <c r="AO22">
        <v>25</v>
      </c>
      <c r="AP22" t="s">
        <v>5</v>
      </c>
      <c r="AQ22" t="s">
        <v>117</v>
      </c>
      <c r="AR22">
        <v>25</v>
      </c>
      <c r="AS22" t="s">
        <v>5</v>
      </c>
      <c r="AT22" t="s">
        <v>117</v>
      </c>
      <c r="AU22">
        <v>25</v>
      </c>
      <c r="AV22" t="s">
        <v>5</v>
      </c>
      <c r="AW22" s="65" t="s">
        <v>32</v>
      </c>
      <c r="AX22" s="69">
        <f>H3</f>
        <v>1.740462266778056</v>
      </c>
      <c r="AY22" s="70" t="s">
        <v>97</v>
      </c>
    </row>
    <row r="23" spans="4:51" ht="12.75">
      <c r="D23" s="4" t="s">
        <v>110</v>
      </c>
      <c r="E23" s="6">
        <f>1/((1/E34)+(1/E35))</f>
        <v>0.6661596958174905</v>
      </c>
      <c r="F23" s="5" t="s">
        <v>8</v>
      </c>
      <c r="H23" s="21">
        <v>24</v>
      </c>
      <c r="I23" t="s">
        <v>47</v>
      </c>
      <c r="J23" s="18" t="s">
        <v>65</v>
      </c>
      <c r="K23" s="1">
        <f>N14</f>
        <v>2.54E-06</v>
      </c>
      <c r="L23" s="18" t="s">
        <v>66</v>
      </c>
      <c r="N23">
        <v>1000</v>
      </c>
      <c r="O23" t="s">
        <v>83</v>
      </c>
      <c r="Q23">
        <v>1000</v>
      </c>
      <c r="R23" t="s">
        <v>83</v>
      </c>
      <c r="T23">
        <v>1000</v>
      </c>
      <c r="U23" t="s">
        <v>83</v>
      </c>
      <c r="V23" s="59" t="s">
        <v>181</v>
      </c>
      <c r="W23" s="52">
        <f>T14</f>
        <v>2.54E-06</v>
      </c>
      <c r="X23" s="59" t="s">
        <v>182</v>
      </c>
      <c r="Y23" t="s">
        <v>69</v>
      </c>
      <c r="Z23" s="10">
        <f>Z7</f>
        <v>0.0231</v>
      </c>
      <c r="AB23" t="s">
        <v>69</v>
      </c>
      <c r="AC23" s="10">
        <f>Z7</f>
        <v>0.0231</v>
      </c>
      <c r="AE23" t="s">
        <v>69</v>
      </c>
      <c r="AF23" s="10">
        <f>AC23</f>
        <v>0.0231</v>
      </c>
      <c r="AH23" t="s">
        <v>69</v>
      </c>
      <c r="AI23" s="10">
        <f>AF23</f>
        <v>0.0231</v>
      </c>
      <c r="AK23" t="s">
        <v>69</v>
      </c>
      <c r="AL23" s="10">
        <f>AI23</f>
        <v>0.0231</v>
      </c>
      <c r="AN23" t="s">
        <v>69</v>
      </c>
      <c r="AO23" s="10">
        <v>0.0231</v>
      </c>
      <c r="AQ23" s="64" t="s">
        <v>69</v>
      </c>
      <c r="AR23" s="69">
        <f>AR7</f>
        <v>0.0231</v>
      </c>
      <c r="AS23" s="64"/>
      <c r="AT23" s="64" t="s">
        <v>69</v>
      </c>
      <c r="AU23" s="69">
        <f>AR7</f>
        <v>0.0231</v>
      </c>
      <c r="AV23" s="64"/>
      <c r="AW23" s="64" t="s">
        <v>69</v>
      </c>
      <c r="AX23" s="69">
        <f>AX7</f>
        <v>0.0231</v>
      </c>
      <c r="AY23" s="64"/>
    </row>
    <row r="24" spans="1:51" ht="12.75">
      <c r="A24" s="7" t="s">
        <v>9</v>
      </c>
      <c r="B24" s="7"/>
      <c r="C24" s="7" t="s">
        <v>105</v>
      </c>
      <c r="D24" t="s">
        <v>0</v>
      </c>
      <c r="E24" s="1">
        <v>1E-06</v>
      </c>
      <c r="G24" s="18" t="s">
        <v>33</v>
      </c>
      <c r="H24" s="1">
        <f>H5/(H6*H15*H7*H8)</f>
        <v>1.740462266778056</v>
      </c>
      <c r="I24" s="18" t="s">
        <v>8</v>
      </c>
      <c r="J24" s="18" t="s">
        <v>30</v>
      </c>
      <c r="K24" s="1">
        <v>1360000000</v>
      </c>
      <c r="L24" s="18" t="s">
        <v>7</v>
      </c>
      <c r="V24" s="59" t="s">
        <v>30</v>
      </c>
      <c r="W24" s="52">
        <v>1360000000</v>
      </c>
      <c r="X24" s="59" t="s">
        <v>7</v>
      </c>
      <c r="Y24" t="s">
        <v>1</v>
      </c>
      <c r="Z24">
        <v>350</v>
      </c>
      <c r="AA24" t="s">
        <v>6</v>
      </c>
      <c r="AB24" t="s">
        <v>1</v>
      </c>
      <c r="AC24">
        <v>350</v>
      </c>
      <c r="AD24" t="s">
        <v>6</v>
      </c>
      <c r="AE24" t="s">
        <v>1</v>
      </c>
      <c r="AF24">
        <v>250</v>
      </c>
      <c r="AG24" t="s">
        <v>6</v>
      </c>
      <c r="AH24" t="s">
        <v>1</v>
      </c>
      <c r="AI24">
        <v>250</v>
      </c>
      <c r="AJ24" t="s">
        <v>6</v>
      </c>
      <c r="AK24" t="s">
        <v>1</v>
      </c>
      <c r="AL24">
        <v>225</v>
      </c>
      <c r="AM24" t="s">
        <v>6</v>
      </c>
      <c r="AN24" t="s">
        <v>1</v>
      </c>
      <c r="AO24">
        <v>225</v>
      </c>
      <c r="AP24" t="s">
        <v>6</v>
      </c>
      <c r="AQ24" s="64" t="s">
        <v>1</v>
      </c>
      <c r="AR24" s="64">
        <v>250</v>
      </c>
      <c r="AS24" s="64" t="s">
        <v>6</v>
      </c>
      <c r="AT24" s="64" t="s">
        <v>1</v>
      </c>
      <c r="AU24" s="64">
        <v>250</v>
      </c>
      <c r="AV24" s="64" t="s">
        <v>6</v>
      </c>
      <c r="AW24" s="65" t="s">
        <v>148</v>
      </c>
      <c r="AX24" s="65">
        <v>0.3</v>
      </c>
      <c r="AY24" s="64"/>
    </row>
    <row r="25" spans="1:51" ht="12.75">
      <c r="A25" s="7" t="s">
        <v>44</v>
      </c>
      <c r="B25" s="7" t="s">
        <v>32</v>
      </c>
      <c r="C25" s="7" t="s">
        <v>67</v>
      </c>
      <c r="D25" s="18" t="s">
        <v>69</v>
      </c>
      <c r="E25" s="1">
        <v>0.0231</v>
      </c>
      <c r="G25" s="18" t="s">
        <v>34</v>
      </c>
      <c r="H25" s="1"/>
      <c r="I25" s="2"/>
      <c r="J25" s="18" t="s">
        <v>64</v>
      </c>
      <c r="K25" s="10">
        <f>N16</f>
        <v>1.19E-11</v>
      </c>
      <c r="L25" s="2" t="s">
        <v>63</v>
      </c>
      <c r="M25" s="18" t="s">
        <v>33</v>
      </c>
      <c r="N25" s="1">
        <f>(N5/(N8*N10*N7*N9*(1/N6)))*N22</f>
        <v>132.88468622307926</v>
      </c>
      <c r="O25" s="18" t="s">
        <v>8</v>
      </c>
      <c r="P25" s="18" t="s">
        <v>33</v>
      </c>
      <c r="Q25" s="1">
        <f>(Q5/(Q8*Q10*Q7*Q9*(1/Q6)))*Q22</f>
        <v>73.82482567948847</v>
      </c>
      <c r="R25" s="18" t="s">
        <v>8</v>
      </c>
      <c r="S25" s="18" t="s">
        <v>33</v>
      </c>
      <c r="T25" s="1">
        <f>(T5/(T8*T10*T7*T9*(1/T6)))*T22</f>
        <v>66.44234311153963</v>
      </c>
      <c r="U25" s="18" t="s">
        <v>8</v>
      </c>
      <c r="V25" s="59" t="s">
        <v>183</v>
      </c>
      <c r="W25" s="57">
        <f>T16</f>
        <v>1.19E-11</v>
      </c>
      <c r="X25" s="53" t="s">
        <v>170</v>
      </c>
      <c r="Y25" t="s">
        <v>2</v>
      </c>
      <c r="Z25">
        <v>30</v>
      </c>
      <c r="AA25" t="s">
        <v>5</v>
      </c>
      <c r="AB25" t="s">
        <v>2</v>
      </c>
      <c r="AC25">
        <v>30</v>
      </c>
      <c r="AD25" t="s">
        <v>5</v>
      </c>
      <c r="AE25" t="s">
        <v>2</v>
      </c>
      <c r="AF25">
        <v>25</v>
      </c>
      <c r="AG25" t="s">
        <v>5</v>
      </c>
      <c r="AH25" t="s">
        <v>2</v>
      </c>
      <c r="AI25">
        <v>25</v>
      </c>
      <c r="AJ25" t="s">
        <v>5</v>
      </c>
      <c r="AK25" t="s">
        <v>2</v>
      </c>
      <c r="AL25">
        <v>25</v>
      </c>
      <c r="AM25" t="s">
        <v>5</v>
      </c>
      <c r="AN25" t="s">
        <v>2</v>
      </c>
      <c r="AO25">
        <v>25</v>
      </c>
      <c r="AP25" t="s">
        <v>5</v>
      </c>
      <c r="AQ25" t="s">
        <v>2</v>
      </c>
      <c r="AR25">
        <v>25</v>
      </c>
      <c r="AS25" t="s">
        <v>5</v>
      </c>
      <c r="AT25" t="s">
        <v>2</v>
      </c>
      <c r="AU25">
        <v>25</v>
      </c>
      <c r="AV25" t="s">
        <v>5</v>
      </c>
      <c r="AW25" s="65" t="s">
        <v>149</v>
      </c>
      <c r="AX25" s="69">
        <v>1.5</v>
      </c>
      <c r="AY25" s="64"/>
    </row>
    <row r="26" spans="1:51" ht="12.75">
      <c r="A26" s="7" t="s">
        <v>44</v>
      </c>
      <c r="B26" s="8">
        <f>B33</f>
        <v>0.04715690990200794</v>
      </c>
      <c r="C26" s="9"/>
      <c r="D26" t="s">
        <v>1</v>
      </c>
      <c r="E26">
        <v>250</v>
      </c>
      <c r="F26" t="s">
        <v>6</v>
      </c>
      <c r="J26" s="18" t="s">
        <v>120</v>
      </c>
      <c r="K26" s="1">
        <v>0.073</v>
      </c>
      <c r="L26" s="2"/>
      <c r="M26" s="18" t="s">
        <v>34</v>
      </c>
      <c r="N26" s="1">
        <f>(N5/(N16*N11*N7*N9*(1/N15)*N17*N18*N23))*N22</f>
        <v>1203555.5866490318</v>
      </c>
      <c r="O26" s="18" t="s">
        <v>8</v>
      </c>
      <c r="P26" s="18" t="s">
        <v>34</v>
      </c>
      <c r="Q26" s="1">
        <f>(Q5/(Q16*Q11*Q7*Q9*(1/Q15)*Q17*Q18*Q23))*Q22</f>
        <v>1337283.9851655911</v>
      </c>
      <c r="R26" s="18" t="s">
        <v>8</v>
      </c>
      <c r="S26" s="18" t="s">
        <v>34</v>
      </c>
      <c r="T26" s="1">
        <f>(T5/(T16*T11*T7*T9*(1/T15)*T17*T18*T23))*T22</f>
        <v>1203555.5866490318</v>
      </c>
      <c r="U26" s="18" t="s">
        <v>8</v>
      </c>
      <c r="V26" s="59"/>
      <c r="W26" s="52"/>
      <c r="X26" s="53"/>
      <c r="Y26" t="s">
        <v>118</v>
      </c>
      <c r="Z26">
        <v>0.4</v>
      </c>
      <c r="AB26" t="s">
        <v>118</v>
      </c>
      <c r="AC26">
        <v>0.4</v>
      </c>
      <c r="AE26" t="s">
        <v>118</v>
      </c>
      <c r="AF26">
        <v>0.4</v>
      </c>
      <c r="AH26" t="s">
        <v>118</v>
      </c>
      <c r="AI26">
        <v>0.4</v>
      </c>
      <c r="AK26" t="s">
        <v>118</v>
      </c>
      <c r="AL26">
        <v>0.4</v>
      </c>
      <c r="AN26" t="s">
        <v>118</v>
      </c>
      <c r="AO26">
        <v>0.4</v>
      </c>
      <c r="AQ26" s="64"/>
      <c r="AR26" s="64"/>
      <c r="AS26" s="64"/>
      <c r="AT26" s="64"/>
      <c r="AU26" s="64"/>
      <c r="AV26" s="64"/>
      <c r="AW26" s="65" t="s">
        <v>117</v>
      </c>
      <c r="AX26" s="65">
        <v>30</v>
      </c>
      <c r="AY26" s="64"/>
    </row>
    <row r="27" spans="1:51" ht="12.75">
      <c r="A27" s="7"/>
      <c r="B27" s="8" t="s">
        <v>84</v>
      </c>
      <c r="C27" s="9"/>
      <c r="D27" t="s">
        <v>2</v>
      </c>
      <c r="E27">
        <v>25</v>
      </c>
      <c r="F27" t="s">
        <v>5</v>
      </c>
      <c r="G27" s="18"/>
      <c r="J27" s="18" t="s">
        <v>122</v>
      </c>
      <c r="K27" s="10">
        <v>0.684</v>
      </c>
      <c r="L27" s="2"/>
      <c r="M27" s="18" t="s">
        <v>75</v>
      </c>
      <c r="N27" s="1">
        <f>(N5/(N14*N13*N17*N18*N12*N7*(1/N21)*N9))*N22</f>
        <v>0.25883620261856</v>
      </c>
      <c r="O27" s="18" t="s">
        <v>8</v>
      </c>
      <c r="P27" s="18" t="s">
        <v>75</v>
      </c>
      <c r="Q27" s="1">
        <f>(Q5/(Q14*Q13*Q17*Q18*Q12*Q7*(1/Q21)*Q9))*Q22</f>
        <v>0.11503831227491554</v>
      </c>
      <c r="R27" s="18" t="s">
        <v>8</v>
      </c>
      <c r="S27" s="18" t="s">
        <v>75</v>
      </c>
      <c r="T27" s="1">
        <f>(T5/(T14*T13*T17*T18*T12*T7*(1/T21)*T9))*T22</f>
        <v>0.10353448104742399</v>
      </c>
      <c r="U27" s="18" t="s">
        <v>8</v>
      </c>
      <c r="V27" s="59"/>
      <c r="W27" s="57"/>
      <c r="X27" s="53"/>
      <c r="Y27" t="s">
        <v>119</v>
      </c>
      <c r="Z27">
        <v>1</v>
      </c>
      <c r="AB27" t="s">
        <v>119</v>
      </c>
      <c r="AC27">
        <v>1</v>
      </c>
      <c r="AE27" t="s">
        <v>119</v>
      </c>
      <c r="AF27">
        <v>1</v>
      </c>
      <c r="AH27" t="s">
        <v>119</v>
      </c>
      <c r="AI27">
        <v>1</v>
      </c>
      <c r="AK27" t="s">
        <v>119</v>
      </c>
      <c r="AL27">
        <v>1</v>
      </c>
      <c r="AN27" t="s">
        <v>119</v>
      </c>
      <c r="AO27">
        <v>1</v>
      </c>
      <c r="AQ27" s="64" t="s">
        <v>119</v>
      </c>
      <c r="AR27" s="64">
        <v>1</v>
      </c>
      <c r="AS27" s="64"/>
      <c r="AT27" s="64" t="s">
        <v>119</v>
      </c>
      <c r="AU27" s="64">
        <v>1</v>
      </c>
      <c r="AV27" s="64"/>
      <c r="AW27" s="65" t="s">
        <v>256</v>
      </c>
      <c r="AX27" s="69">
        <v>70</v>
      </c>
      <c r="AY27" s="64"/>
    </row>
    <row r="28" spans="1:51" ht="12.75">
      <c r="A28" s="18" t="s">
        <v>0</v>
      </c>
      <c r="B28" s="1">
        <v>1E-06</v>
      </c>
      <c r="D28" t="s">
        <v>64</v>
      </c>
      <c r="E28" s="10">
        <v>1.19E-11</v>
      </c>
      <c r="F28" s="2" t="s">
        <v>63</v>
      </c>
      <c r="J28" s="18" t="s">
        <v>2</v>
      </c>
      <c r="K28" s="21">
        <v>30</v>
      </c>
      <c r="L28" s="2" t="s">
        <v>15</v>
      </c>
      <c r="V28" s="59" t="s">
        <v>172</v>
      </c>
      <c r="W28" s="62">
        <v>40</v>
      </c>
      <c r="X28" s="53" t="s">
        <v>15</v>
      </c>
      <c r="Y28" t="s">
        <v>77</v>
      </c>
      <c r="Z28">
        <f>Z12</f>
        <v>0.877</v>
      </c>
      <c r="AB28" t="s">
        <v>77</v>
      </c>
      <c r="AC28">
        <f>Z12</f>
        <v>0.877</v>
      </c>
      <c r="AE28" t="s">
        <v>77</v>
      </c>
      <c r="AF28">
        <f>Z28</f>
        <v>0.877</v>
      </c>
      <c r="AH28" t="s">
        <v>77</v>
      </c>
      <c r="AI28">
        <f>AC28</f>
        <v>0.877</v>
      </c>
      <c r="AK28" t="s">
        <v>77</v>
      </c>
      <c r="AL28">
        <f>AF28</f>
        <v>0.877</v>
      </c>
      <c r="AN28" t="s">
        <v>77</v>
      </c>
      <c r="AO28">
        <f>AI28</f>
        <v>0.877</v>
      </c>
      <c r="AQ28" s="64" t="s">
        <v>77</v>
      </c>
      <c r="AR28" s="64">
        <f>AR12</f>
        <v>0.877</v>
      </c>
      <c r="AS28" s="64"/>
      <c r="AT28" s="64" t="s">
        <v>77</v>
      </c>
      <c r="AU28" s="64">
        <f>AR12</f>
        <v>0.877</v>
      </c>
      <c r="AV28" s="64"/>
      <c r="AW28" s="65" t="s">
        <v>150</v>
      </c>
      <c r="AX28" s="69">
        <f>1+(AX30*AX31*AX32/AX33*AX34)</f>
        <v>1.7379506112711414</v>
      </c>
      <c r="AY28" s="64"/>
    </row>
    <row r="29" spans="1:51" ht="12.75">
      <c r="A29" s="18" t="s">
        <v>1</v>
      </c>
      <c r="B29" s="21">
        <v>350</v>
      </c>
      <c r="C29" s="18" t="s">
        <v>14</v>
      </c>
      <c r="D29" t="s">
        <v>51</v>
      </c>
      <c r="E29" s="21">
        <v>8</v>
      </c>
      <c r="F29" s="2" t="s">
        <v>47</v>
      </c>
      <c r="J29" s="18" t="s">
        <v>3</v>
      </c>
      <c r="K29" s="10">
        <v>24</v>
      </c>
      <c r="L29" s="2" t="s">
        <v>54</v>
      </c>
      <c r="V29" s="59" t="s">
        <v>184</v>
      </c>
      <c r="W29" s="57">
        <v>0.507</v>
      </c>
      <c r="X29" s="53"/>
      <c r="Y29" t="s">
        <v>120</v>
      </c>
      <c r="Z29">
        <v>0.073</v>
      </c>
      <c r="AA29" t="s">
        <v>127</v>
      </c>
      <c r="AB29" t="s">
        <v>120</v>
      </c>
      <c r="AC29">
        <v>0.073</v>
      </c>
      <c r="AD29" t="s">
        <v>127</v>
      </c>
      <c r="AE29" t="s">
        <v>120</v>
      </c>
      <c r="AF29">
        <v>0</v>
      </c>
      <c r="AG29" t="s">
        <v>127</v>
      </c>
      <c r="AH29" t="s">
        <v>120</v>
      </c>
      <c r="AI29">
        <v>0</v>
      </c>
      <c r="AJ29" t="s">
        <v>127</v>
      </c>
      <c r="AK29" t="s">
        <v>120</v>
      </c>
      <c r="AL29">
        <v>0.33</v>
      </c>
      <c r="AM29" t="s">
        <v>127</v>
      </c>
      <c r="AN29" t="s">
        <v>3</v>
      </c>
      <c r="AO29">
        <v>0.33</v>
      </c>
      <c r="AP29" t="s">
        <v>54</v>
      </c>
      <c r="AQ29" s="65" t="s">
        <v>166</v>
      </c>
      <c r="AR29" s="64">
        <v>8</v>
      </c>
      <c r="AS29" s="65" t="s">
        <v>254</v>
      </c>
      <c r="AT29" s="65" t="s">
        <v>166</v>
      </c>
      <c r="AU29" s="64">
        <v>8</v>
      </c>
      <c r="AV29" s="65" t="s">
        <v>254</v>
      </c>
      <c r="AW29" s="65" t="s">
        <v>151</v>
      </c>
      <c r="AX29" s="65">
        <f>AX12</f>
        <v>10</v>
      </c>
      <c r="AY29" s="64"/>
    </row>
    <row r="30" spans="1:51" ht="12.75">
      <c r="A30" s="18" t="s">
        <v>16</v>
      </c>
      <c r="B30" s="1">
        <v>3.74E-11</v>
      </c>
      <c r="C30" s="18" t="s">
        <v>17</v>
      </c>
      <c r="E30" s="21">
        <v>24</v>
      </c>
      <c r="F30" s="2" t="s">
        <v>47</v>
      </c>
      <c r="J30" s="18" t="s">
        <v>163</v>
      </c>
      <c r="K30" s="10">
        <f>1/24</f>
        <v>0.041666666666666664</v>
      </c>
      <c r="L30" s="2" t="s">
        <v>164</v>
      </c>
      <c r="V30" s="59" t="s">
        <v>185</v>
      </c>
      <c r="W30" s="57">
        <v>0.417</v>
      </c>
      <c r="X30" s="53"/>
      <c r="Y30" t="s">
        <v>65</v>
      </c>
      <c r="Z30" s="10">
        <v>3.24E-10</v>
      </c>
      <c r="AA30" s="2" t="s">
        <v>121</v>
      </c>
      <c r="AB30" t="s">
        <v>65</v>
      </c>
      <c r="AC30" s="10">
        <v>5.09E-07</v>
      </c>
      <c r="AD30" s="2" t="s">
        <v>121</v>
      </c>
      <c r="AE30" t="s">
        <v>65</v>
      </c>
      <c r="AF30" s="10">
        <f>Z30</f>
        <v>3.24E-10</v>
      </c>
      <c r="AG30" s="2" t="s">
        <v>121</v>
      </c>
      <c r="AH30" t="s">
        <v>65</v>
      </c>
      <c r="AI30" s="10">
        <f>AC30</f>
        <v>5.09E-07</v>
      </c>
      <c r="AJ30" s="2" t="s">
        <v>121</v>
      </c>
      <c r="AK30" t="s">
        <v>65</v>
      </c>
      <c r="AL30" s="10">
        <f>AF30</f>
        <v>3.24E-10</v>
      </c>
      <c r="AM30" s="2" t="s">
        <v>121</v>
      </c>
      <c r="AN30" t="s">
        <v>65</v>
      </c>
      <c r="AO30" s="10">
        <f>AI30</f>
        <v>5.09E-07</v>
      </c>
      <c r="AP30" s="2" t="s">
        <v>121</v>
      </c>
      <c r="AQ30" s="64" t="s">
        <v>181</v>
      </c>
      <c r="AR30" s="69">
        <f>AL30</f>
        <v>3.24E-10</v>
      </c>
      <c r="AS30" s="65" t="s">
        <v>255</v>
      </c>
      <c r="AT30" s="64" t="s">
        <v>181</v>
      </c>
      <c r="AU30" s="69">
        <f>AO30</f>
        <v>5.09E-07</v>
      </c>
      <c r="AV30" s="65" t="s">
        <v>255</v>
      </c>
      <c r="AW30" s="65" t="s">
        <v>24</v>
      </c>
      <c r="AX30" s="72">
        <v>1</v>
      </c>
      <c r="AY30" s="64" t="s">
        <v>147</v>
      </c>
    </row>
    <row r="31" spans="1:51" ht="12.75">
      <c r="A31" s="18" t="s">
        <v>2</v>
      </c>
      <c r="B31" s="19">
        <v>30</v>
      </c>
      <c r="D31" t="s">
        <v>101</v>
      </c>
      <c r="E31" s="1">
        <v>60</v>
      </c>
      <c r="F31" s="2" t="s">
        <v>74</v>
      </c>
      <c r="J31" s="18"/>
      <c r="K31" s="21"/>
      <c r="V31" s="59"/>
      <c r="W31" s="62"/>
      <c r="X31" s="51"/>
      <c r="Y31" t="s">
        <v>122</v>
      </c>
      <c r="Z31">
        <v>0.683</v>
      </c>
      <c r="AA31" t="s">
        <v>127</v>
      </c>
      <c r="AB31" t="s">
        <v>122</v>
      </c>
      <c r="AC31">
        <v>0.683</v>
      </c>
      <c r="AD31" t="s">
        <v>127</v>
      </c>
      <c r="AE31" s="2" t="s">
        <v>166</v>
      </c>
      <c r="AF31">
        <v>8</v>
      </c>
      <c r="AG31" s="2" t="s">
        <v>54</v>
      </c>
      <c r="AH31" s="2" t="s">
        <v>166</v>
      </c>
      <c r="AI31">
        <v>8</v>
      </c>
      <c r="AJ31" s="2" t="s">
        <v>54</v>
      </c>
      <c r="AK31" s="2" t="s">
        <v>166</v>
      </c>
      <c r="AL31">
        <v>8</v>
      </c>
      <c r="AM31" s="2" t="s">
        <v>54</v>
      </c>
      <c r="AN31" s="2" t="s">
        <v>166</v>
      </c>
      <c r="AO31">
        <v>8</v>
      </c>
      <c r="AP31" s="2" t="s">
        <v>54</v>
      </c>
      <c r="AQ31" s="2" t="s">
        <v>166</v>
      </c>
      <c r="AR31">
        <v>8</v>
      </c>
      <c r="AS31" s="2" t="s">
        <v>54</v>
      </c>
      <c r="AT31" s="2" t="s">
        <v>166</v>
      </c>
      <c r="AU31">
        <v>8</v>
      </c>
      <c r="AV31" s="2" t="s">
        <v>54</v>
      </c>
      <c r="AW31" s="64" t="s">
        <v>140</v>
      </c>
      <c r="AX31" s="72">
        <v>1</v>
      </c>
      <c r="AY31" s="64" t="s">
        <v>146</v>
      </c>
    </row>
    <row r="32" spans="1:51" ht="12.75">
      <c r="A32" s="18" t="s">
        <v>45</v>
      </c>
      <c r="B32" s="1">
        <v>54</v>
      </c>
      <c r="C32" t="s">
        <v>46</v>
      </c>
      <c r="D32" s="17" t="s">
        <v>108</v>
      </c>
      <c r="E32" s="1">
        <v>2.39E-09</v>
      </c>
      <c r="F32" s="17" t="s">
        <v>109</v>
      </c>
      <c r="J32" s="18" t="s">
        <v>48</v>
      </c>
      <c r="K32" s="21">
        <v>24</v>
      </c>
      <c r="L32" s="21" t="s">
        <v>47</v>
      </c>
      <c r="V32" s="59" t="s">
        <v>186</v>
      </c>
      <c r="W32" s="62">
        <v>24</v>
      </c>
      <c r="X32" s="62" t="s">
        <v>47</v>
      </c>
      <c r="AW32" s="64" t="s">
        <v>141</v>
      </c>
      <c r="AX32" s="72">
        <f>((0.0112*AX34*AX34)^0.5)+AX35*(1-EXP((-AX34*AX33)/(AX30*AX31*AX35)))</f>
        <v>0.7379506112711413</v>
      </c>
      <c r="AY32" s="64" t="s">
        <v>145</v>
      </c>
    </row>
    <row r="33" spans="1:51" ht="12.75">
      <c r="A33" s="18" t="s">
        <v>33</v>
      </c>
      <c r="B33" s="1">
        <f>B28/(B30*B29*B31*B32)</f>
        <v>0.04715690990200794</v>
      </c>
      <c r="C33" s="2"/>
      <c r="D33" s="17" t="s">
        <v>78</v>
      </c>
      <c r="E33" s="17">
        <v>1</v>
      </c>
      <c r="K33" s="21">
        <v>24</v>
      </c>
      <c r="L33" t="s">
        <v>47</v>
      </c>
      <c r="V33" s="51"/>
      <c r="W33" s="62">
        <f>1/24</f>
        <v>0.041666666666666664</v>
      </c>
      <c r="X33" s="51" t="s">
        <v>261</v>
      </c>
      <c r="Y33" s="34" t="s">
        <v>112</v>
      </c>
      <c r="Z33" s="34" t="s">
        <v>126</v>
      </c>
      <c r="AA33" s="34" t="s">
        <v>105</v>
      </c>
      <c r="AE33" s="37" t="s">
        <v>112</v>
      </c>
      <c r="AF33" s="37" t="s">
        <v>126</v>
      </c>
      <c r="AG33" s="37" t="s">
        <v>105</v>
      </c>
      <c r="AK33" s="38" t="s">
        <v>112</v>
      </c>
      <c r="AL33" s="38" t="s">
        <v>126</v>
      </c>
      <c r="AM33" s="38" t="s">
        <v>105</v>
      </c>
      <c r="AQ33" s="73" t="s">
        <v>112</v>
      </c>
      <c r="AR33" s="73" t="s">
        <v>126</v>
      </c>
      <c r="AS33" s="73" t="s">
        <v>105</v>
      </c>
      <c r="AW33" s="64" t="s">
        <v>139</v>
      </c>
      <c r="AX33" s="72">
        <v>1</v>
      </c>
      <c r="AY33" s="64" t="s">
        <v>147</v>
      </c>
    </row>
    <row r="34" spans="3:51" ht="12.75">
      <c r="C34" s="2"/>
      <c r="D34" t="s">
        <v>34</v>
      </c>
      <c r="E34" s="1">
        <f>(E24)/((E29/E30)*E26*E27*E28*E31)</f>
        <v>0.6722689075630252</v>
      </c>
      <c r="F34" t="s">
        <v>110</v>
      </c>
      <c r="J34" s="21" t="s">
        <v>82</v>
      </c>
      <c r="K34" s="21">
        <v>30</v>
      </c>
      <c r="L34" s="21" t="s">
        <v>68</v>
      </c>
      <c r="V34" s="62" t="s">
        <v>187</v>
      </c>
      <c r="W34" s="62">
        <v>40</v>
      </c>
      <c r="X34" s="62" t="s">
        <v>68</v>
      </c>
      <c r="Y34" s="36"/>
      <c r="Z34" s="34" t="s">
        <v>84</v>
      </c>
      <c r="AA34" s="35" t="s">
        <v>67</v>
      </c>
      <c r="AE34" s="37" t="s">
        <v>53</v>
      </c>
      <c r="AF34" s="37" t="s">
        <v>128</v>
      </c>
      <c r="AG34" s="39" t="s">
        <v>67</v>
      </c>
      <c r="AK34" s="38" t="s">
        <v>52</v>
      </c>
      <c r="AL34" s="38" t="s">
        <v>128</v>
      </c>
      <c r="AM34" s="40" t="s">
        <v>67</v>
      </c>
      <c r="AQ34" s="74" t="s">
        <v>253</v>
      </c>
      <c r="AR34" s="73" t="s">
        <v>128</v>
      </c>
      <c r="AS34" s="75" t="s">
        <v>67</v>
      </c>
      <c r="AW34" s="64" t="s">
        <v>142</v>
      </c>
      <c r="AX34" s="72">
        <v>1</v>
      </c>
      <c r="AY34" s="64" t="s">
        <v>145</v>
      </c>
    </row>
    <row r="35" spans="1:51" ht="12.75">
      <c r="A35" s="7" t="s">
        <v>9</v>
      </c>
      <c r="B35" s="7"/>
      <c r="C35" s="7" t="s">
        <v>105</v>
      </c>
      <c r="D35" t="s">
        <v>111</v>
      </c>
      <c r="E35" s="1">
        <f>(E24)/((E29/E30)*E26*E27*E32*(1/365))</f>
        <v>73.30543933054395</v>
      </c>
      <c r="F35" t="s">
        <v>110</v>
      </c>
      <c r="J35" s="21" t="s">
        <v>69</v>
      </c>
      <c r="K35" s="21">
        <f>N20</f>
        <v>0.0231</v>
      </c>
      <c r="V35" s="62" t="s">
        <v>69</v>
      </c>
      <c r="W35" s="62">
        <f>T20</f>
        <v>0.0231</v>
      </c>
      <c r="X35" s="51"/>
      <c r="Y35" s="34" t="s">
        <v>116</v>
      </c>
      <c r="Z35" s="36">
        <f>(Z37*Z38*Z39)/((1-EXP(-Z39*Z38))*Z41*Z46*(Z40/365)*Z44*((Z45)+(Z47*Z42)))</f>
        <v>0.10870542344075472</v>
      </c>
      <c r="AA35" s="35" t="s">
        <v>8</v>
      </c>
      <c r="AE35" s="37" t="s">
        <v>116</v>
      </c>
      <c r="AF35" s="41">
        <f>(AF37*AF38*AF39)/((1-EXP(-AF39*AF38))*AF41*AF46*(AF40/365)*AF44*(AF47/24)*AF42)</f>
        <v>0.4503040785281796</v>
      </c>
      <c r="AG35" s="39" t="s">
        <v>8</v>
      </c>
      <c r="AK35" s="38" t="s">
        <v>116</v>
      </c>
      <c r="AL35" s="50">
        <f>(AL37*AL38*AL39)/((1-EXP(-AL39*AL38))*AL41*AL46*(AL40/365)*AL44*(AL47/24)*AL43)</f>
        <v>0.20013514601252433</v>
      </c>
      <c r="AM35" s="40" t="s">
        <v>8</v>
      </c>
      <c r="AQ35" s="73"/>
      <c r="AR35" s="86">
        <f>(AR37*AR38*AR39)/((1-EXP(-AR39*AR38))*AR41*AR46*(AR40/365)*AR44*(AR47/24)*AR43)</f>
        <v>0.18012163141127188</v>
      </c>
      <c r="AS35" s="75" t="s">
        <v>8</v>
      </c>
      <c r="AT35" s="64"/>
      <c r="AU35" s="64"/>
      <c r="AV35" s="64"/>
      <c r="AW35" s="64" t="s">
        <v>143</v>
      </c>
      <c r="AX35" s="72">
        <v>1</v>
      </c>
      <c r="AY35" s="64" t="s">
        <v>145</v>
      </c>
    </row>
    <row r="36" spans="1:51" ht="12.75">
      <c r="A36" s="7" t="s">
        <v>44</v>
      </c>
      <c r="B36" s="7" t="s">
        <v>32</v>
      </c>
      <c r="C36" s="7" t="s">
        <v>97</v>
      </c>
      <c r="D36" t="s">
        <v>34</v>
      </c>
      <c r="E36" s="1">
        <f>(E24*E25*E27)/((E29/E30)*(1-EXP(-E25*E27))*E28*E31*E26*E27)</f>
        <v>0.884967343124288</v>
      </c>
      <c r="F36" t="s">
        <v>80</v>
      </c>
      <c r="K36" s="21">
        <v>365</v>
      </c>
      <c r="L36" t="s">
        <v>79</v>
      </c>
      <c r="V36" s="51"/>
      <c r="W36" s="62">
        <v>365</v>
      </c>
      <c r="X36" s="51" t="s">
        <v>79</v>
      </c>
      <c r="Y36" s="34" t="s">
        <v>115</v>
      </c>
      <c r="Z36" s="36"/>
      <c r="AA36" s="35"/>
      <c r="AE36" s="37" t="s">
        <v>115</v>
      </c>
      <c r="AF36" s="41"/>
      <c r="AG36" s="39"/>
      <c r="AK36" s="38" t="s">
        <v>115</v>
      </c>
      <c r="AL36" s="42"/>
      <c r="AM36" s="40"/>
      <c r="AO36" s="17"/>
      <c r="AP36" s="17"/>
      <c r="AQ36" s="73" t="s">
        <v>115</v>
      </c>
      <c r="AR36" s="76"/>
      <c r="AS36" s="75"/>
      <c r="AT36" s="70"/>
      <c r="AU36" s="70"/>
      <c r="AV36" s="70"/>
      <c r="AW36" s="64" t="s">
        <v>144</v>
      </c>
      <c r="AX36" s="72">
        <v>1</v>
      </c>
      <c r="AY36" s="64" t="s">
        <v>145</v>
      </c>
    </row>
    <row r="37" spans="1:48" ht="12.75">
      <c r="A37" s="7" t="s">
        <v>96</v>
      </c>
      <c r="B37" s="8">
        <f>B47</f>
        <v>1.571896996733598</v>
      </c>
      <c r="C37" s="9"/>
      <c r="D37" t="s">
        <v>111</v>
      </c>
      <c r="E37" s="1">
        <f>(E24*E25*E27)/((E29/E30)*(1-EXP(-E25*E27))*E32*E26*E27*(1/365))</f>
        <v>96.49846832285387</v>
      </c>
      <c r="F37" t="s">
        <v>80</v>
      </c>
      <c r="J37" s="2" t="s">
        <v>80</v>
      </c>
      <c r="K37">
        <f>(K34*K35)/(1-EXP(-K35*K34))</f>
        <v>1.3862040373012023</v>
      </c>
      <c r="V37" s="53" t="s">
        <v>80</v>
      </c>
      <c r="W37" s="51">
        <f>(W34*W35)/(1-EXP(-W35*W34))</f>
        <v>1.5321557426384087</v>
      </c>
      <c r="X37" s="51"/>
      <c r="Y37" t="s">
        <v>0</v>
      </c>
      <c r="Z37" s="1">
        <v>1E-06</v>
      </c>
      <c r="AE37" t="s">
        <v>0</v>
      </c>
      <c r="AF37" s="1">
        <v>1E-06</v>
      </c>
      <c r="AK37" t="s">
        <v>0</v>
      </c>
      <c r="AL37" s="1">
        <v>1E-06</v>
      </c>
      <c r="AN37" s="17"/>
      <c r="AQ37" t="s">
        <v>0</v>
      </c>
      <c r="AR37" s="1">
        <v>1E-06</v>
      </c>
      <c r="AT37" s="64"/>
      <c r="AU37" s="64"/>
      <c r="AV37" s="64"/>
    </row>
    <row r="38" spans="1:45" ht="12.75">
      <c r="A38" s="7" t="s">
        <v>56</v>
      </c>
      <c r="B38" s="8" t="s">
        <v>84</v>
      </c>
      <c r="C38" s="9"/>
      <c r="G38" s="18"/>
      <c r="H38" s="1"/>
      <c r="I38" s="2"/>
      <c r="K38">
        <v>1000</v>
      </c>
      <c r="L38" t="s">
        <v>83</v>
      </c>
      <c r="V38" s="51"/>
      <c r="W38" s="51">
        <v>1000</v>
      </c>
      <c r="X38" s="51" t="s">
        <v>83</v>
      </c>
      <c r="Y38" t="s">
        <v>117</v>
      </c>
      <c r="Z38">
        <v>30</v>
      </c>
      <c r="AA38" t="s">
        <v>5</v>
      </c>
      <c r="AE38" t="s">
        <v>117</v>
      </c>
      <c r="AF38">
        <v>25</v>
      </c>
      <c r="AG38" t="s">
        <v>5</v>
      </c>
      <c r="AK38" t="s">
        <v>117</v>
      </c>
      <c r="AL38">
        <v>25</v>
      </c>
      <c r="AM38" t="s">
        <v>5</v>
      </c>
      <c r="AQ38" t="s">
        <v>117</v>
      </c>
      <c r="AR38">
        <v>25</v>
      </c>
      <c r="AS38" t="s">
        <v>5</v>
      </c>
    </row>
    <row r="39" spans="1:48" ht="12.75">
      <c r="A39" s="18" t="s">
        <v>0</v>
      </c>
      <c r="B39" s="1">
        <v>1E-06</v>
      </c>
      <c r="D39" s="82" t="s">
        <v>11</v>
      </c>
      <c r="E39" s="82" t="s">
        <v>253</v>
      </c>
      <c r="F39" s="80" t="s">
        <v>105</v>
      </c>
      <c r="G39" s="18"/>
      <c r="H39" s="1"/>
      <c r="I39" s="2"/>
      <c r="V39" s="51"/>
      <c r="W39" s="51"/>
      <c r="X39" s="51"/>
      <c r="Y39" t="s">
        <v>69</v>
      </c>
      <c r="Z39" s="10">
        <f>Z7</f>
        <v>0.0231</v>
      </c>
      <c r="AE39" t="s">
        <v>69</v>
      </c>
      <c r="AF39" s="10">
        <f>Z39</f>
        <v>0.0231</v>
      </c>
      <c r="AK39" t="s">
        <v>69</v>
      </c>
      <c r="AL39" s="10">
        <f>AF39</f>
        <v>0.0231</v>
      </c>
      <c r="AQ39" s="64" t="s">
        <v>69</v>
      </c>
      <c r="AR39" s="69">
        <f>AR7</f>
        <v>0.0231</v>
      </c>
      <c r="AS39" s="64"/>
      <c r="AT39" s="64"/>
      <c r="AU39" s="64"/>
      <c r="AV39" s="64"/>
    </row>
    <row r="40" spans="1:48" ht="12.75">
      <c r="A40" s="18" t="s">
        <v>1</v>
      </c>
      <c r="B40" s="21">
        <v>350</v>
      </c>
      <c r="C40" s="18" t="s">
        <v>14</v>
      </c>
      <c r="D40" s="80" t="s">
        <v>10</v>
      </c>
      <c r="E40" s="80" t="s">
        <v>167</v>
      </c>
      <c r="F40" s="80" t="s">
        <v>93</v>
      </c>
      <c r="G40" s="18"/>
      <c r="H40" s="1"/>
      <c r="I40" s="2"/>
      <c r="J40" s="18" t="s">
        <v>33</v>
      </c>
      <c r="K40" s="1">
        <f>(K5/(K9*K10*K8*K11*(1/K6)))*K37</f>
        <v>25.40789686757583</v>
      </c>
      <c r="L40" s="2" t="s">
        <v>8</v>
      </c>
      <c r="V40" s="59" t="s">
        <v>188</v>
      </c>
      <c r="W40" s="57">
        <f>(W5/(W9*W10*W6*W8*W11))*W37</f>
        <v>21.978049182195697</v>
      </c>
      <c r="X40" s="59" t="s">
        <v>8</v>
      </c>
      <c r="Y40" t="s">
        <v>1</v>
      </c>
      <c r="Z40">
        <v>350</v>
      </c>
      <c r="AA40" t="s">
        <v>6</v>
      </c>
      <c r="AE40" t="s">
        <v>1</v>
      </c>
      <c r="AF40">
        <v>250</v>
      </c>
      <c r="AG40" t="s">
        <v>6</v>
      </c>
      <c r="AK40" t="s">
        <v>1</v>
      </c>
      <c r="AL40">
        <v>225</v>
      </c>
      <c r="AM40" t="s">
        <v>6</v>
      </c>
      <c r="AQ40" s="64" t="s">
        <v>1</v>
      </c>
      <c r="AR40" s="64">
        <v>250</v>
      </c>
      <c r="AS40" s="64" t="s">
        <v>6</v>
      </c>
      <c r="AT40" s="64"/>
      <c r="AU40" s="64"/>
      <c r="AV40" s="64"/>
    </row>
    <row r="41" spans="1:51" ht="12.75">
      <c r="A41" s="18" t="s">
        <v>16</v>
      </c>
      <c r="B41" s="1">
        <v>3.74E-11</v>
      </c>
      <c r="C41" s="18" t="s">
        <v>17</v>
      </c>
      <c r="D41" s="80" t="s">
        <v>80</v>
      </c>
      <c r="E41" s="6">
        <f>1/((1/E55)+(1/E56))</f>
        <v>0.8769252444548314</v>
      </c>
      <c r="F41" s="81" t="s">
        <v>8</v>
      </c>
      <c r="G41" s="18"/>
      <c r="H41" s="1"/>
      <c r="I41" s="2"/>
      <c r="J41" s="18" t="s">
        <v>34</v>
      </c>
      <c r="K41" s="1">
        <f>(K5/(K25*K18*K8*K11*(1/K24)*K29*K30*K38))*K37</f>
        <v>838218.6166598351</v>
      </c>
      <c r="L41" s="2" t="s">
        <v>8</v>
      </c>
      <c r="V41" s="59" t="s">
        <v>189</v>
      </c>
      <c r="W41" s="52">
        <f>(W5/(W25*W18*W8*W11*(1/W24)*W32*W33*W38))*W37</f>
        <v>676075.3414841297</v>
      </c>
      <c r="X41" s="59" t="s">
        <v>8</v>
      </c>
      <c r="Y41" t="s">
        <v>2</v>
      </c>
      <c r="Z41">
        <v>30</v>
      </c>
      <c r="AA41" t="s">
        <v>5</v>
      </c>
      <c r="AE41" t="s">
        <v>2</v>
      </c>
      <c r="AF41">
        <v>25</v>
      </c>
      <c r="AG41" t="s">
        <v>5</v>
      </c>
      <c r="AK41" t="s">
        <v>2</v>
      </c>
      <c r="AL41">
        <v>25</v>
      </c>
      <c r="AM41" t="s">
        <v>5</v>
      </c>
      <c r="AQ41" t="s">
        <v>2</v>
      </c>
      <c r="AR41">
        <v>25</v>
      </c>
      <c r="AS41" t="s">
        <v>5</v>
      </c>
      <c r="AT41" s="64"/>
      <c r="AU41" s="64"/>
      <c r="AV41" s="64"/>
      <c r="AW41" s="64"/>
      <c r="AX41" s="64"/>
      <c r="AY41" s="64"/>
    </row>
    <row r="42" spans="1:51" ht="12.75">
      <c r="A42" s="18" t="s">
        <v>2</v>
      </c>
      <c r="B42" s="19">
        <v>30</v>
      </c>
      <c r="D42" s="80" t="s">
        <v>110</v>
      </c>
      <c r="E42" s="6">
        <f>1/((1/E53)+(1/E54))</f>
        <v>0.6661596958174905</v>
      </c>
      <c r="F42" s="81" t="s">
        <v>8</v>
      </c>
      <c r="G42" s="18"/>
      <c r="I42" s="2"/>
      <c r="J42" s="18" t="s">
        <v>75</v>
      </c>
      <c r="K42" s="1">
        <f>(K5/(K23*K22*(K26+K27*K21)*K8*(1/K36)*K11))*K37</f>
        <v>0.06241210872886256</v>
      </c>
      <c r="L42" s="2"/>
      <c r="V42" s="59" t="s">
        <v>190</v>
      </c>
      <c r="W42" s="52">
        <f>(W5/(W23*W22*(W29+W30*W21)*W8*(1/W36)*W11))*W37</f>
        <v>0.02593346273904742</v>
      </c>
      <c r="X42" s="59" t="s">
        <v>8</v>
      </c>
      <c r="Y42" t="s">
        <v>118</v>
      </c>
      <c r="Z42">
        <v>0.4</v>
      </c>
      <c r="AE42" t="s">
        <v>118</v>
      </c>
      <c r="AF42">
        <v>0.4</v>
      </c>
      <c r="AQ42" s="64"/>
      <c r="AR42" s="64"/>
      <c r="AS42" s="64"/>
      <c r="AT42" s="64"/>
      <c r="AU42" s="64"/>
      <c r="AV42" s="64"/>
      <c r="AW42" s="64"/>
      <c r="AX42" s="64"/>
      <c r="AY42" s="64"/>
    </row>
    <row r="43" spans="1:51" ht="12.75">
      <c r="A43" s="18" t="s">
        <v>45</v>
      </c>
      <c r="B43" s="1">
        <v>54</v>
      </c>
      <c r="C43" t="s">
        <v>46</v>
      </c>
      <c r="D43" t="s">
        <v>0</v>
      </c>
      <c r="E43" s="1">
        <v>1E-06</v>
      </c>
      <c r="F43" s="77"/>
      <c r="J43" s="46" t="s">
        <v>161</v>
      </c>
      <c r="K43" s="44">
        <f>(K5/(K7*K11*K8*(1/K36)*(K46+K47)*K38*K45*K52))*K37</f>
        <v>4.850997511962851</v>
      </c>
      <c r="L43" s="45" t="s">
        <v>8</v>
      </c>
      <c r="V43" s="59" t="s">
        <v>153</v>
      </c>
      <c r="W43" s="52">
        <f>(W5/(W11*W8*(1/W36)*(W55+W56)*W7*W38*W54*W61))*W37</f>
        <v>0.9658719509214269</v>
      </c>
      <c r="X43" s="59" t="s">
        <v>8</v>
      </c>
      <c r="Y43" t="s">
        <v>119</v>
      </c>
      <c r="Z43">
        <v>1</v>
      </c>
      <c r="AE43" t="s">
        <v>119</v>
      </c>
      <c r="AF43">
        <v>1</v>
      </c>
      <c r="AK43" t="s">
        <v>118</v>
      </c>
      <c r="AL43">
        <v>1</v>
      </c>
      <c r="AQ43" s="64" t="s">
        <v>119</v>
      </c>
      <c r="AR43" s="64">
        <v>1</v>
      </c>
      <c r="AS43" s="64"/>
      <c r="AT43" s="64"/>
      <c r="AU43" s="64"/>
      <c r="AV43" s="64"/>
      <c r="AW43" s="64"/>
      <c r="AX43" s="64"/>
      <c r="AY43" s="64"/>
    </row>
    <row r="44" spans="1:51" ht="12.75">
      <c r="A44" s="18"/>
      <c r="B44" s="21">
        <v>1000</v>
      </c>
      <c r="C44" s="2" t="s">
        <v>83</v>
      </c>
      <c r="D44" s="84" t="s">
        <v>69</v>
      </c>
      <c r="E44" s="78">
        <f>E25</f>
        <v>0.0231</v>
      </c>
      <c r="F44" s="77"/>
      <c r="J44" s="43"/>
      <c r="K44" s="43"/>
      <c r="L44" s="43"/>
      <c r="V44" s="59" t="s">
        <v>191</v>
      </c>
      <c r="W44" s="52">
        <f>((W5)/(W68*W38*W7*(W8/365)*W11*W69*(1/(W53+W65*(W66/W67)))*(W51/W52)))*W37</f>
        <v>0.0013521456697946884</v>
      </c>
      <c r="X44" s="53" t="s">
        <v>8</v>
      </c>
      <c r="Y44" t="s">
        <v>77</v>
      </c>
      <c r="Z44">
        <f>Z12</f>
        <v>0.877</v>
      </c>
      <c r="AE44" t="s">
        <v>77</v>
      </c>
      <c r="AF44">
        <f>Z44</f>
        <v>0.877</v>
      </c>
      <c r="AK44" t="s">
        <v>77</v>
      </c>
      <c r="AL44">
        <f>AF44</f>
        <v>0.877</v>
      </c>
      <c r="AQ44" s="64" t="s">
        <v>77</v>
      </c>
      <c r="AR44" s="64">
        <f>AR12</f>
        <v>0.877</v>
      </c>
      <c r="AS44" s="64"/>
      <c r="AT44" s="64"/>
      <c r="AU44" s="64"/>
      <c r="AV44" s="64"/>
      <c r="AW44" s="64"/>
      <c r="AX44" s="64"/>
      <c r="AY44" s="64"/>
    </row>
    <row r="45" spans="1:51" ht="12.75">
      <c r="A45" s="18" t="s">
        <v>98</v>
      </c>
      <c r="B45" s="10">
        <v>30</v>
      </c>
      <c r="C45" s="2" t="s">
        <v>57</v>
      </c>
      <c r="D45" s="79" t="s">
        <v>257</v>
      </c>
      <c r="E45" s="77">
        <v>250</v>
      </c>
      <c r="F45" s="77" t="s">
        <v>6</v>
      </c>
      <c r="J45" s="43" t="s">
        <v>154</v>
      </c>
      <c r="K45" s="43">
        <v>0.25</v>
      </c>
      <c r="L45" s="43"/>
      <c r="V45" s="59" t="s">
        <v>192</v>
      </c>
      <c r="W45" s="52">
        <f>((W5)/(W7*W38*W77*W8*(1/W36)*W11*((W70*W93*W62)+(W70*W94)+(W70*W92*(1/(W53+W65*(W66/W67)))*(1/W50)))))*W37</f>
        <v>0.10270834905982203</v>
      </c>
      <c r="X45" s="57" t="s">
        <v>8</v>
      </c>
      <c r="Y45" t="s">
        <v>120</v>
      </c>
      <c r="Z45">
        <v>0.073</v>
      </c>
      <c r="AA45" t="s">
        <v>127</v>
      </c>
      <c r="AE45" t="s">
        <v>120</v>
      </c>
      <c r="AF45">
        <v>0</v>
      </c>
      <c r="AG45" t="s">
        <v>127</v>
      </c>
      <c r="AK45" t="s">
        <v>120</v>
      </c>
      <c r="AL45">
        <v>0.33</v>
      </c>
      <c r="AM45" t="s">
        <v>127</v>
      </c>
      <c r="AQ45" s="65" t="s">
        <v>166</v>
      </c>
      <c r="AR45" s="64">
        <v>8</v>
      </c>
      <c r="AS45" s="65" t="s">
        <v>254</v>
      </c>
      <c r="AT45" s="64"/>
      <c r="AU45" s="64"/>
      <c r="AV45" s="64"/>
      <c r="AW45" s="64"/>
      <c r="AX45" s="64"/>
      <c r="AY45" s="64"/>
    </row>
    <row r="46" spans="1:51" ht="12.75">
      <c r="A46" s="18" t="s">
        <v>99</v>
      </c>
      <c r="B46">
        <v>1</v>
      </c>
      <c r="C46" s="2" t="s">
        <v>100</v>
      </c>
      <c r="D46" s="79" t="s">
        <v>31</v>
      </c>
      <c r="E46" s="77">
        <v>25</v>
      </c>
      <c r="F46" s="77" t="s">
        <v>5</v>
      </c>
      <c r="J46" s="43" t="s">
        <v>155</v>
      </c>
      <c r="K46" s="43">
        <v>17.480000000000004</v>
      </c>
      <c r="L46" s="43"/>
      <c r="V46" s="59" t="s">
        <v>193</v>
      </c>
      <c r="W46" s="52">
        <f>((W5)/(W7*W38*W78*W8*(1/W36)*W11*((W71*W96*W62)+(W71*W97)+(W71*W95*(1/(W53+W65*(W66/W67)))*(1/W50)))))*W37</f>
        <v>0.050421649545391946</v>
      </c>
      <c r="X46" s="52" t="s">
        <v>8</v>
      </c>
      <c r="Y46" t="s">
        <v>65</v>
      </c>
      <c r="Z46" s="10">
        <v>1.46E-06</v>
      </c>
      <c r="AA46" s="2" t="s">
        <v>121</v>
      </c>
      <c r="AE46" t="s">
        <v>65</v>
      </c>
      <c r="AF46" s="10">
        <f>Z46</f>
        <v>1.46E-06</v>
      </c>
      <c r="AG46" s="2" t="s">
        <v>121</v>
      </c>
      <c r="AK46" t="s">
        <v>65</v>
      </c>
      <c r="AL46" s="10">
        <f>AF46</f>
        <v>1.46E-06</v>
      </c>
      <c r="AM46" s="2" t="s">
        <v>121</v>
      </c>
      <c r="AQ46" s="64" t="s">
        <v>181</v>
      </c>
      <c r="AR46" s="69">
        <f>AL46</f>
        <v>1.46E-06</v>
      </c>
      <c r="AS46" s="65" t="s">
        <v>255</v>
      </c>
      <c r="AT46" s="64"/>
      <c r="AU46" s="64"/>
      <c r="AV46" s="64"/>
      <c r="AW46" s="64"/>
      <c r="AX46" s="64"/>
      <c r="AY46" s="64"/>
    </row>
    <row r="47" spans="1:51" ht="12.75">
      <c r="A47" s="18" t="s">
        <v>33</v>
      </c>
      <c r="B47" s="1">
        <f>B39/(B41*B40*B42*B43*B45*B46*(1/B44))</f>
        <v>1.571896996733598</v>
      </c>
      <c r="D47" t="s">
        <v>64</v>
      </c>
      <c r="E47" s="10">
        <f>E28</f>
        <v>1.19E-11</v>
      </c>
      <c r="F47" s="2" t="s">
        <v>63</v>
      </c>
      <c r="J47" s="43" t="s">
        <v>156</v>
      </c>
      <c r="K47" s="43">
        <v>9.08</v>
      </c>
      <c r="L47" s="43"/>
      <c r="V47" s="59" t="s">
        <v>194</v>
      </c>
      <c r="W47" s="52">
        <f>((W5)/(W7*W38*W79*W8*(1/W36)*W11*((W72*W99*W62)+(W72*W100)+(W72*W98*(1/(W53+W65*(W66/W67)))*(1/W50)))))*W37</f>
        <v>0.07534424562377484</v>
      </c>
      <c r="X47" s="57" t="s">
        <v>8</v>
      </c>
      <c r="Y47" t="s">
        <v>122</v>
      </c>
      <c r="Z47">
        <v>0.683</v>
      </c>
      <c r="AA47" t="s">
        <v>127</v>
      </c>
      <c r="AE47" s="2" t="s">
        <v>166</v>
      </c>
      <c r="AF47">
        <v>8</v>
      </c>
      <c r="AG47" s="2" t="s">
        <v>54</v>
      </c>
      <c r="AK47" s="2" t="s">
        <v>166</v>
      </c>
      <c r="AL47">
        <v>8</v>
      </c>
      <c r="AM47" s="2" t="s">
        <v>54</v>
      </c>
      <c r="AQ47" s="2" t="s">
        <v>166</v>
      </c>
      <c r="AR47">
        <v>8</v>
      </c>
      <c r="AS47" s="2" t="s">
        <v>54</v>
      </c>
      <c r="AT47" s="64"/>
      <c r="AU47" s="64"/>
      <c r="AV47" s="64"/>
      <c r="AW47" s="64"/>
      <c r="AX47" s="64"/>
      <c r="AY47" s="64"/>
    </row>
    <row r="48" spans="4:51" ht="12.75">
      <c r="D48" s="79" t="s">
        <v>51</v>
      </c>
      <c r="E48" s="85">
        <v>8</v>
      </c>
      <c r="F48" s="79" t="s">
        <v>47</v>
      </c>
      <c r="J48" s="43" t="s">
        <v>157</v>
      </c>
      <c r="K48" s="43">
        <v>5.4</v>
      </c>
      <c r="L48" s="43"/>
      <c r="V48" s="59" t="s">
        <v>195</v>
      </c>
      <c r="W48" s="52">
        <f>((W5)/(W7*W38*W76*W8*(1/W36)*W11*((W73*W90*W62)+(W73*W91))))*W37</f>
        <v>0.055249498403076504</v>
      </c>
      <c r="X48" s="57" t="s">
        <v>8</v>
      </c>
      <c r="AT48" s="64"/>
      <c r="AU48" s="64"/>
      <c r="AV48" s="64"/>
      <c r="AW48" s="64"/>
      <c r="AX48" s="64"/>
      <c r="AY48" s="64"/>
    </row>
    <row r="49" spans="4:24" ht="12.75">
      <c r="D49" s="77"/>
      <c r="E49" s="85">
        <v>24</v>
      </c>
      <c r="F49" s="79" t="s">
        <v>47</v>
      </c>
      <c r="J49" s="43" t="s">
        <v>158</v>
      </c>
      <c r="K49" s="43">
        <v>20.5</v>
      </c>
      <c r="L49" s="43"/>
      <c r="V49" s="59" t="s">
        <v>196</v>
      </c>
      <c r="W49" s="52">
        <f>((W5)/(W7*W38*W75*W8*(1/W36)*W11*((W74*W90*W62)+(W74*W91))))*W37</f>
        <v>3.3102985399844824</v>
      </c>
      <c r="X49" s="57" t="s">
        <v>8</v>
      </c>
    </row>
    <row r="50" spans="4:24" ht="12.75">
      <c r="D50" s="79" t="s">
        <v>258</v>
      </c>
      <c r="E50" s="78">
        <v>60</v>
      </c>
      <c r="F50" s="79" t="s">
        <v>74</v>
      </c>
      <c r="J50" s="43" t="s">
        <v>159</v>
      </c>
      <c r="K50" s="43">
        <v>3.8</v>
      </c>
      <c r="L50" s="43"/>
      <c r="V50" s="59" t="s">
        <v>197</v>
      </c>
      <c r="W50" s="51">
        <v>1</v>
      </c>
      <c r="X50" s="51"/>
    </row>
    <row r="51" spans="4:24" ht="12.75">
      <c r="D51" s="17" t="s">
        <v>108</v>
      </c>
      <c r="E51" s="1">
        <f>E32</f>
        <v>2.39E-09</v>
      </c>
      <c r="F51" s="17" t="s">
        <v>109</v>
      </c>
      <c r="J51" s="43" t="s">
        <v>160</v>
      </c>
      <c r="K51" s="43">
        <v>10.4</v>
      </c>
      <c r="L51" s="43"/>
      <c r="V51" s="51" t="s">
        <v>198</v>
      </c>
      <c r="W51" s="51">
        <v>10000</v>
      </c>
      <c r="X51" s="51" t="s">
        <v>199</v>
      </c>
    </row>
    <row r="52" spans="4:24" ht="12.75">
      <c r="D52" s="83" t="s">
        <v>78</v>
      </c>
      <c r="E52" s="83">
        <v>1</v>
      </c>
      <c r="F52" s="77"/>
      <c r="J52" s="43" t="s">
        <v>58</v>
      </c>
      <c r="K52" s="43">
        <v>0.04</v>
      </c>
      <c r="L52" s="43"/>
      <c r="V52" s="51" t="s">
        <v>200</v>
      </c>
      <c r="W52" s="51">
        <v>100000</v>
      </c>
      <c r="X52" s="51" t="s">
        <v>199</v>
      </c>
    </row>
    <row r="53" spans="4:24" ht="12.75">
      <c r="D53" s="77" t="s">
        <v>189</v>
      </c>
      <c r="E53" s="1">
        <f>(E43)/((E48/E49)*E45*E46*E47*E50)</f>
        <v>0.6722689075630252</v>
      </c>
      <c r="F53" s="77" t="s">
        <v>110</v>
      </c>
      <c r="V53" s="51" t="s">
        <v>151</v>
      </c>
      <c r="W53" s="51">
        <v>10</v>
      </c>
      <c r="X53" s="51" t="s">
        <v>57</v>
      </c>
    </row>
    <row r="54" spans="4:24" ht="12.75">
      <c r="D54" s="77" t="s">
        <v>259</v>
      </c>
      <c r="E54" s="1">
        <f>(E43)/((E48/E49)*E45*E46*E51*(1/365))</f>
        <v>73.30543933054395</v>
      </c>
      <c r="F54" s="77" t="s">
        <v>110</v>
      </c>
      <c r="V54" s="51" t="s">
        <v>201</v>
      </c>
      <c r="W54" s="51">
        <v>1</v>
      </c>
      <c r="X54" s="51"/>
    </row>
    <row r="55" spans="4:24" ht="12.75">
      <c r="D55" s="77" t="s">
        <v>189</v>
      </c>
      <c r="E55" s="1">
        <f>(E43*E44*E46)/((E48/E49)*(1-EXP(-E44*E46))*E47*E50*E45*E46)</f>
        <v>0.884967343124288</v>
      </c>
      <c r="F55" s="77" t="s">
        <v>80</v>
      </c>
      <c r="V55" s="51" t="s">
        <v>202</v>
      </c>
      <c r="W55" s="51">
        <f>(W12*W57+W15*W58)/W11</f>
        <v>18.235</v>
      </c>
      <c r="X55" s="51"/>
    </row>
    <row r="56" spans="4:45" ht="12.75">
      <c r="D56" s="77" t="s">
        <v>259</v>
      </c>
      <c r="E56" s="1">
        <f>(E43*E44*E46)/((E48/E49)*(1-EXP(-E44*E46))*E51*E45*E46*(1/365))</f>
        <v>96.49846832285387</v>
      </c>
      <c r="F56" s="77" t="s">
        <v>80</v>
      </c>
      <c r="V56" s="51" t="s">
        <v>203</v>
      </c>
      <c r="W56" s="51">
        <f>(W12*W59+W15*W60)/W11</f>
        <v>9.41</v>
      </c>
      <c r="X56" s="51"/>
      <c r="Y56" s="17"/>
      <c r="Z56" s="17"/>
      <c r="AA56" s="17"/>
      <c r="AE56" s="17"/>
      <c r="AF56" s="17"/>
      <c r="AG56" s="17"/>
      <c r="AK56" s="17"/>
      <c r="AL56" s="17"/>
      <c r="AM56" s="17"/>
      <c r="AQ56" s="70"/>
      <c r="AR56" s="70"/>
      <c r="AS56" s="70"/>
    </row>
    <row r="57" spans="22:45" ht="12.75">
      <c r="V57" s="51" t="s">
        <v>204</v>
      </c>
      <c r="W57" s="51">
        <v>5.4</v>
      </c>
      <c r="X57" s="51"/>
      <c r="AQ57" s="64"/>
      <c r="AR57" s="64"/>
      <c r="AS57" s="64"/>
    </row>
    <row r="58" spans="22:24" ht="12.75">
      <c r="V58" s="51" t="s">
        <v>205</v>
      </c>
      <c r="W58" s="51">
        <v>20.5</v>
      </c>
      <c r="X58" s="51"/>
    </row>
    <row r="59" spans="22:45" ht="12.75">
      <c r="V59" s="51" t="s">
        <v>206</v>
      </c>
      <c r="W59" s="51">
        <v>3.8</v>
      </c>
      <c r="X59" s="51"/>
      <c r="AQ59" s="64"/>
      <c r="AR59" s="64"/>
      <c r="AS59" s="64"/>
    </row>
    <row r="60" spans="22:45" ht="12.75">
      <c r="V60" s="51" t="s">
        <v>207</v>
      </c>
      <c r="W60" s="51">
        <v>10.4</v>
      </c>
      <c r="X60" s="51"/>
      <c r="AQ60" s="64"/>
      <c r="AR60" s="64"/>
      <c r="AS60" s="64"/>
    </row>
    <row r="61" spans="22:45" ht="12.75">
      <c r="V61" s="53" t="s">
        <v>208</v>
      </c>
      <c r="W61" s="51">
        <v>0.04</v>
      </c>
      <c r="X61" s="53" t="s">
        <v>59</v>
      </c>
      <c r="AQ61" s="64"/>
      <c r="AR61" s="64"/>
      <c r="AS61" s="64"/>
    </row>
    <row r="62" spans="22:45" ht="12.75">
      <c r="V62" s="53" t="s">
        <v>209</v>
      </c>
      <c r="W62" s="51">
        <v>0.2</v>
      </c>
      <c r="X62" s="53" t="s">
        <v>59</v>
      </c>
      <c r="AQ62" s="64"/>
      <c r="AR62" s="64"/>
      <c r="AS62" s="64"/>
    </row>
    <row r="63" spans="22:45" ht="12.75">
      <c r="V63" s="51" t="s">
        <v>210</v>
      </c>
      <c r="W63" s="51">
        <v>6.4</v>
      </c>
      <c r="X63" s="51" t="s">
        <v>211</v>
      </c>
      <c r="AQ63" s="64"/>
      <c r="AR63" s="64"/>
      <c r="AS63" s="64"/>
    </row>
    <row r="64" spans="22:45" ht="12.75">
      <c r="V64" s="51" t="s">
        <v>212</v>
      </c>
      <c r="W64" s="51">
        <v>45.8</v>
      </c>
      <c r="X64" s="51" t="s">
        <v>211</v>
      </c>
      <c r="AQ64" s="64"/>
      <c r="AR64" s="64"/>
      <c r="AS64" s="64"/>
    </row>
    <row r="65" spans="22:24" ht="12.75">
      <c r="V65" s="51" t="s">
        <v>213</v>
      </c>
      <c r="W65" s="51">
        <v>0.5</v>
      </c>
      <c r="X65" s="51"/>
    </row>
    <row r="66" spans="22:24" ht="12.75">
      <c r="V66" s="51" t="s">
        <v>214</v>
      </c>
      <c r="W66" s="51">
        <v>0.3</v>
      </c>
      <c r="X66" s="51"/>
    </row>
    <row r="67" spans="22:24" ht="12.75">
      <c r="V67" s="51" t="s">
        <v>215</v>
      </c>
      <c r="W67" s="51">
        <v>1.5</v>
      </c>
      <c r="X67" s="51" t="s">
        <v>216</v>
      </c>
    </row>
    <row r="68" spans="22:24" ht="12.75">
      <c r="V68" s="51" t="s">
        <v>217</v>
      </c>
      <c r="W68" s="51">
        <f>(W12*W63+W15*W64)/W11</f>
        <v>39.89</v>
      </c>
      <c r="X68" s="51" t="s">
        <v>211</v>
      </c>
    </row>
    <row r="69" spans="22:24" ht="12.75">
      <c r="V69" s="51" t="s">
        <v>218</v>
      </c>
      <c r="W69" s="51">
        <v>2000</v>
      </c>
      <c r="X69" s="51" t="s">
        <v>219</v>
      </c>
    </row>
    <row r="70" spans="22:24" ht="12.75">
      <c r="V70" s="53" t="s">
        <v>220</v>
      </c>
      <c r="W70" s="51">
        <v>0.03</v>
      </c>
      <c r="X70" s="51"/>
    </row>
    <row r="71" spans="22:24" ht="12.75">
      <c r="V71" s="53" t="s">
        <v>221</v>
      </c>
      <c r="W71" s="51">
        <v>0.008</v>
      </c>
      <c r="X71" s="51"/>
    </row>
    <row r="72" spans="22:24" ht="12.75">
      <c r="V72" s="53" t="s">
        <v>222</v>
      </c>
      <c r="W72" s="51">
        <v>0.24</v>
      </c>
      <c r="X72" s="51"/>
    </row>
    <row r="73" spans="22:24" ht="12.75">
      <c r="V73" s="53" t="s">
        <v>223</v>
      </c>
      <c r="W73" s="51">
        <v>10</v>
      </c>
      <c r="X73" s="51"/>
    </row>
    <row r="74" spans="22:24" ht="12.75">
      <c r="V74" s="53" t="s">
        <v>224</v>
      </c>
      <c r="W74" s="51">
        <v>0.4</v>
      </c>
      <c r="X74" s="53" t="s">
        <v>225</v>
      </c>
    </row>
    <row r="75" spans="22:24" ht="12.75">
      <c r="V75" s="53" t="s">
        <v>226</v>
      </c>
      <c r="W75" s="51">
        <f>(W12*W80+W15*W81)/W11</f>
        <v>13.01</v>
      </c>
      <c r="X75" s="51"/>
    </row>
    <row r="76" spans="22:24" ht="12.75">
      <c r="V76" s="53" t="s">
        <v>227</v>
      </c>
      <c r="W76" s="51">
        <f>(W12*W82+W15*W83)/W11</f>
        <v>31.179999999999996</v>
      </c>
      <c r="X76" s="51"/>
    </row>
    <row r="77" spans="22:24" ht="12.75">
      <c r="V77" s="53" t="s">
        <v>228</v>
      </c>
      <c r="W77" s="51">
        <f>(W12*W84+W15*W85)/W11</f>
        <v>43.37500000000001</v>
      </c>
      <c r="X77" s="51"/>
    </row>
    <row r="78" spans="22:24" ht="12.75">
      <c r="V78" s="53" t="s">
        <v>229</v>
      </c>
      <c r="W78" s="51">
        <f>(W12*W86+W15*W87)/W11</f>
        <v>205.275</v>
      </c>
      <c r="X78" s="51"/>
    </row>
    <row r="79" spans="22:24" ht="12.75">
      <c r="V79" s="53" t="s">
        <v>230</v>
      </c>
      <c r="W79" s="51">
        <f>(W12*W88+W15*W89)/W11</f>
        <v>24.22</v>
      </c>
      <c r="X79" s="51"/>
    </row>
    <row r="80" spans="22:24" ht="12.75">
      <c r="V80" s="53" t="s">
        <v>231</v>
      </c>
      <c r="W80" s="51">
        <v>2.3</v>
      </c>
      <c r="X80" s="51"/>
    </row>
    <row r="81" spans="22:24" ht="12.75">
      <c r="V81" s="53" t="s">
        <v>232</v>
      </c>
      <c r="W81" s="51">
        <v>14.9</v>
      </c>
      <c r="X81" s="51"/>
    </row>
    <row r="82" spans="22:24" ht="12.75">
      <c r="V82" s="53" t="s">
        <v>233</v>
      </c>
      <c r="W82" s="51">
        <v>5</v>
      </c>
      <c r="X82" s="51"/>
    </row>
    <row r="83" spans="22:24" ht="12.75">
      <c r="V83" s="53" t="s">
        <v>234</v>
      </c>
      <c r="W83" s="51">
        <v>35.8</v>
      </c>
      <c r="X83" s="51"/>
    </row>
    <row r="84" spans="22:24" ht="12.75">
      <c r="V84" s="53" t="s">
        <v>235</v>
      </c>
      <c r="W84" s="51">
        <v>4.7</v>
      </c>
      <c r="X84" s="51"/>
    </row>
    <row r="85" spans="22:24" ht="12.75">
      <c r="V85" s="53" t="s">
        <v>236</v>
      </c>
      <c r="W85" s="51">
        <v>50.2</v>
      </c>
      <c r="X85" s="51"/>
    </row>
    <row r="86" spans="22:24" ht="12.75">
      <c r="V86" s="53" t="s">
        <v>237</v>
      </c>
      <c r="W86" s="51">
        <v>96.9</v>
      </c>
      <c r="X86" s="51"/>
    </row>
    <row r="87" spans="22:24" ht="12.75">
      <c r="V87" s="53" t="s">
        <v>238</v>
      </c>
      <c r="W87" s="51">
        <v>224.4</v>
      </c>
      <c r="X87" s="51"/>
    </row>
    <row r="88" spans="22:24" ht="12.75">
      <c r="V88" s="53" t="s">
        <v>239</v>
      </c>
      <c r="W88" s="51">
        <v>4.5</v>
      </c>
      <c r="X88" s="51"/>
    </row>
    <row r="89" spans="22:24" ht="12.75">
      <c r="V89" s="53" t="s">
        <v>240</v>
      </c>
      <c r="W89" s="51">
        <v>27.7</v>
      </c>
      <c r="X89" s="51"/>
    </row>
    <row r="90" spans="22:24" ht="12.75">
      <c r="V90" s="53" t="s">
        <v>241</v>
      </c>
      <c r="W90" s="51">
        <v>0.2</v>
      </c>
      <c r="X90" s="53" t="s">
        <v>242</v>
      </c>
    </row>
    <row r="91" spans="22:24" ht="12.75">
      <c r="V91" s="53" t="s">
        <v>243</v>
      </c>
      <c r="W91" s="51">
        <v>0.022</v>
      </c>
      <c r="X91" s="53" t="s">
        <v>242</v>
      </c>
    </row>
    <row r="92" spans="22:24" ht="12.75">
      <c r="V92" s="53" t="s">
        <v>244</v>
      </c>
      <c r="W92" s="51">
        <v>53</v>
      </c>
      <c r="X92" s="53" t="s">
        <v>61</v>
      </c>
    </row>
    <row r="93" spans="22:24" ht="12.75">
      <c r="V93" s="53" t="s">
        <v>245</v>
      </c>
      <c r="W93" s="51">
        <v>11.77</v>
      </c>
      <c r="X93" s="53" t="s">
        <v>242</v>
      </c>
    </row>
    <row r="94" spans="22:24" ht="12.75">
      <c r="V94" s="53" t="s">
        <v>246</v>
      </c>
      <c r="W94" s="51">
        <v>0.39</v>
      </c>
      <c r="X94" s="53" t="s">
        <v>242</v>
      </c>
    </row>
    <row r="95" spans="22:24" ht="12.75">
      <c r="V95" s="53" t="s">
        <v>247</v>
      </c>
      <c r="W95" s="51">
        <v>92</v>
      </c>
      <c r="X95" s="53" t="s">
        <v>61</v>
      </c>
    </row>
    <row r="96" spans="22:24" ht="12.75">
      <c r="V96" s="53" t="s">
        <v>248</v>
      </c>
      <c r="W96" s="51">
        <v>16.9</v>
      </c>
      <c r="X96" s="53" t="s">
        <v>242</v>
      </c>
    </row>
    <row r="97" spans="22:24" ht="12.75">
      <c r="V97" s="53" t="s">
        <v>249</v>
      </c>
      <c r="W97" s="51">
        <v>0.41</v>
      </c>
      <c r="X97" s="53" t="s">
        <v>242</v>
      </c>
    </row>
    <row r="98" spans="22:24" ht="12.75">
      <c r="V98" s="53" t="s">
        <v>250</v>
      </c>
      <c r="W98" s="51">
        <v>11.4</v>
      </c>
      <c r="X98" s="53" t="s">
        <v>61</v>
      </c>
    </row>
    <row r="99" spans="22:24" ht="12.75">
      <c r="V99" s="53" t="s">
        <v>251</v>
      </c>
      <c r="W99" s="51">
        <v>4.7</v>
      </c>
      <c r="X99" s="53" t="s">
        <v>242</v>
      </c>
    </row>
    <row r="100" spans="22:24" ht="12.75">
      <c r="V100" s="53" t="s">
        <v>252</v>
      </c>
      <c r="W100" s="51">
        <v>0.37</v>
      </c>
      <c r="X100" s="53" t="s">
        <v>242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bestFit="1" customWidth="1"/>
    <col min="2" max="2" width="9.00390625" style="0" bestFit="1" customWidth="1"/>
    <col min="3" max="3" width="19.00390625" style="0" bestFit="1" customWidth="1"/>
    <col min="4" max="4" width="8.57421875" style="0" bestFit="1" customWidth="1"/>
    <col min="5" max="5" width="9.57421875" style="0" bestFit="1" customWidth="1"/>
    <col min="6" max="6" width="16.8515625" style="0" bestFit="1" customWidth="1"/>
    <col min="7" max="7" width="8.28125" style="0" bestFit="1" customWidth="1"/>
    <col min="8" max="8" width="9.00390625" style="0" bestFit="1" customWidth="1"/>
    <col min="9" max="9" width="10.421875" style="0" bestFit="1" customWidth="1"/>
    <col min="10" max="10" width="9.140625" style="0" bestFit="1" customWidth="1"/>
    <col min="11" max="11" width="12.00390625" style="0" bestFit="1" customWidth="1"/>
    <col min="12" max="12" width="14.28125" style="0" bestFit="1" customWidth="1"/>
    <col min="13" max="13" width="8.140625" style="0" bestFit="1" customWidth="1"/>
    <col min="14" max="14" width="13.8515625" style="0" bestFit="1" customWidth="1"/>
    <col min="15" max="15" width="14.28125" style="0" bestFit="1" customWidth="1"/>
    <col min="16" max="16" width="8.140625" style="0" bestFit="1" customWidth="1"/>
    <col min="17" max="17" width="15.00390625" style="0" bestFit="1" customWidth="1"/>
    <col min="18" max="18" width="14.28125" style="0" bestFit="1" customWidth="1"/>
    <col min="19" max="19" width="8.140625" style="0" bestFit="1" customWidth="1"/>
    <col min="20" max="20" width="17.421875" style="0" bestFit="1" customWidth="1"/>
    <col min="21" max="21" width="14.28125" style="0" bestFit="1" customWidth="1"/>
    <col min="22" max="22" width="11.00390625" style="0" bestFit="1" customWidth="1"/>
    <col min="23" max="23" width="12.00390625" style="0" bestFit="1" customWidth="1"/>
    <col min="24" max="24" width="16.00390625" style="0" bestFit="1" customWidth="1"/>
    <col min="25" max="25" width="10.421875" style="0" bestFit="1" customWidth="1"/>
    <col min="26" max="26" width="10.140625" style="0" bestFit="1" customWidth="1"/>
    <col min="27" max="27" width="15.421875" style="0" bestFit="1" customWidth="1"/>
    <col min="28" max="28" width="10.421875" style="0" bestFit="1" customWidth="1"/>
    <col min="29" max="29" width="11.57421875" style="0" bestFit="1" customWidth="1"/>
    <col min="30" max="30" width="15.421875" style="0" bestFit="1" customWidth="1"/>
    <col min="31" max="31" width="10.421875" style="0" bestFit="1" customWidth="1"/>
    <col min="32" max="32" width="10.140625" style="0" bestFit="1" customWidth="1"/>
    <col min="33" max="33" width="15.421875" style="0" bestFit="1" customWidth="1"/>
    <col min="34" max="34" width="10.421875" style="0" bestFit="1" customWidth="1"/>
    <col min="35" max="35" width="11.57421875" style="0" bestFit="1" customWidth="1"/>
    <col min="36" max="36" width="15.421875" style="0" bestFit="1" customWidth="1"/>
    <col min="37" max="37" width="10.421875" style="0" bestFit="1" customWidth="1"/>
    <col min="38" max="38" width="10.140625" style="0" bestFit="1" customWidth="1"/>
    <col min="39" max="39" width="15.421875" style="0" bestFit="1" customWidth="1"/>
    <col min="40" max="40" width="10.421875" style="0" bestFit="1" customWidth="1"/>
    <col min="41" max="41" width="11.57421875" style="0" bestFit="1" customWidth="1"/>
    <col min="42" max="42" width="15.421875" style="0" bestFit="1" customWidth="1"/>
    <col min="43" max="43" width="9.57421875" style="0" bestFit="1" customWidth="1"/>
    <col min="44" max="44" width="10.140625" style="0" bestFit="1" customWidth="1"/>
    <col min="45" max="45" width="17.28125" style="0" bestFit="1" customWidth="1"/>
    <col min="46" max="46" width="9.57421875" style="0" bestFit="1" customWidth="1"/>
    <col min="47" max="47" width="11.57421875" style="0" bestFit="1" customWidth="1"/>
    <col min="48" max="48" width="17.28125" style="0" bestFit="1" customWidth="1"/>
    <col min="49" max="49" width="10.28125" style="0" bestFit="1" customWidth="1"/>
    <col min="50" max="50" width="9.00390625" style="0" bestFit="1" customWidth="1"/>
    <col min="51" max="51" width="12.57421875" style="0" bestFit="1" customWidth="1"/>
  </cols>
  <sheetData>
    <row r="1" spans="1:51" ht="12.75">
      <c r="A1" s="12" t="s">
        <v>9</v>
      </c>
      <c r="B1" s="12"/>
      <c r="C1" s="12" t="s">
        <v>103</v>
      </c>
      <c r="D1" s="13" t="s">
        <v>11</v>
      </c>
      <c r="E1" s="4" t="s">
        <v>52</v>
      </c>
      <c r="F1" s="4" t="s">
        <v>103</v>
      </c>
      <c r="G1" s="15" t="s">
        <v>9</v>
      </c>
      <c r="H1" s="15"/>
      <c r="I1" s="15" t="s">
        <v>103</v>
      </c>
      <c r="J1" s="7" t="s">
        <v>9</v>
      </c>
      <c r="K1" s="7"/>
      <c r="L1" s="48" t="s">
        <v>103</v>
      </c>
      <c r="M1" s="22" t="s">
        <v>11</v>
      </c>
      <c r="N1" s="23" t="s">
        <v>53</v>
      </c>
      <c r="O1" s="24" t="s">
        <v>103</v>
      </c>
      <c r="P1" s="22" t="s">
        <v>11</v>
      </c>
      <c r="Q1" s="23" t="s">
        <v>102</v>
      </c>
      <c r="R1" s="24" t="s">
        <v>103</v>
      </c>
      <c r="S1" s="22" t="s">
        <v>11</v>
      </c>
      <c r="T1" s="49" t="s">
        <v>165</v>
      </c>
      <c r="U1" s="24" t="s">
        <v>103</v>
      </c>
      <c r="V1" s="63" t="s">
        <v>55</v>
      </c>
      <c r="W1" s="54"/>
      <c r="X1" s="54" t="s">
        <v>103</v>
      </c>
      <c r="Y1" s="34" t="s">
        <v>112</v>
      </c>
      <c r="Z1" s="34" t="s">
        <v>113</v>
      </c>
      <c r="AA1" s="34" t="s">
        <v>103</v>
      </c>
      <c r="AB1" s="34" t="s">
        <v>112</v>
      </c>
      <c r="AC1" s="34" t="s">
        <v>114</v>
      </c>
      <c r="AD1" s="34" t="s">
        <v>103</v>
      </c>
      <c r="AE1" s="37" t="s">
        <v>112</v>
      </c>
      <c r="AF1" s="37" t="s">
        <v>113</v>
      </c>
      <c r="AG1" s="37" t="s">
        <v>103</v>
      </c>
      <c r="AH1" s="37" t="s">
        <v>112</v>
      </c>
      <c r="AI1" s="37" t="s">
        <v>114</v>
      </c>
      <c r="AJ1" s="37" t="s">
        <v>103</v>
      </c>
      <c r="AK1" s="38" t="s">
        <v>112</v>
      </c>
      <c r="AL1" s="38" t="s">
        <v>113</v>
      </c>
      <c r="AM1" s="38" t="s">
        <v>103</v>
      </c>
      <c r="AN1" s="38" t="s">
        <v>112</v>
      </c>
      <c r="AO1" s="38" t="s">
        <v>114</v>
      </c>
      <c r="AP1" s="38" t="s">
        <v>103</v>
      </c>
      <c r="AQ1" s="73" t="s">
        <v>112</v>
      </c>
      <c r="AR1" s="73" t="s">
        <v>113</v>
      </c>
      <c r="AS1" s="73" t="s">
        <v>103</v>
      </c>
      <c r="AT1" s="73" t="s">
        <v>112</v>
      </c>
      <c r="AU1" s="73" t="s">
        <v>114</v>
      </c>
      <c r="AV1" s="73" t="s">
        <v>103</v>
      </c>
      <c r="AW1" s="66" t="s">
        <v>32</v>
      </c>
      <c r="AX1" s="66" t="s">
        <v>103</v>
      </c>
      <c r="AY1" s="66" t="s">
        <v>137</v>
      </c>
    </row>
    <row r="2" spans="1:51" ht="12.75">
      <c r="A2" s="12" t="s">
        <v>10</v>
      </c>
      <c r="B2" s="12" t="s">
        <v>32</v>
      </c>
      <c r="C2" s="12" t="s">
        <v>93</v>
      </c>
      <c r="D2" s="4" t="s">
        <v>10</v>
      </c>
      <c r="E2" s="4" t="s">
        <v>32</v>
      </c>
      <c r="F2" s="4" t="s">
        <v>93</v>
      </c>
      <c r="G2" s="15" t="s">
        <v>12</v>
      </c>
      <c r="H2" s="15" t="s">
        <v>32</v>
      </c>
      <c r="I2" s="15" t="s">
        <v>97</v>
      </c>
      <c r="J2" s="7" t="s">
        <v>13</v>
      </c>
      <c r="K2" s="7" t="s">
        <v>32</v>
      </c>
      <c r="L2" s="7" t="s">
        <v>67</v>
      </c>
      <c r="M2" s="25" t="s">
        <v>13</v>
      </c>
      <c r="N2" s="26" t="s">
        <v>32</v>
      </c>
      <c r="O2" s="27" t="s">
        <v>67</v>
      </c>
      <c r="P2" s="25" t="s">
        <v>13</v>
      </c>
      <c r="Q2" s="26" t="s">
        <v>32</v>
      </c>
      <c r="R2" s="27" t="s">
        <v>67</v>
      </c>
      <c r="S2" s="25" t="s">
        <v>13</v>
      </c>
      <c r="T2" s="26" t="s">
        <v>32</v>
      </c>
      <c r="U2" s="27" t="s">
        <v>67</v>
      </c>
      <c r="V2" s="54" t="s">
        <v>13</v>
      </c>
      <c r="W2" s="54" t="s">
        <v>167</v>
      </c>
      <c r="X2" s="54" t="s">
        <v>67</v>
      </c>
      <c r="Y2" s="36"/>
      <c r="Z2" s="34" t="s">
        <v>84</v>
      </c>
      <c r="AA2" s="35" t="s">
        <v>67</v>
      </c>
      <c r="AB2" s="36"/>
      <c r="AC2" s="34" t="s">
        <v>84</v>
      </c>
      <c r="AD2" s="35" t="s">
        <v>67</v>
      </c>
      <c r="AE2" s="37" t="s">
        <v>53</v>
      </c>
      <c r="AF2" s="37" t="s">
        <v>128</v>
      </c>
      <c r="AG2" s="39" t="s">
        <v>67</v>
      </c>
      <c r="AH2" s="37" t="s">
        <v>53</v>
      </c>
      <c r="AI2" s="37" t="s">
        <v>128</v>
      </c>
      <c r="AJ2" s="39" t="s">
        <v>67</v>
      </c>
      <c r="AK2" s="38" t="s">
        <v>52</v>
      </c>
      <c r="AL2" s="38" t="s">
        <v>128</v>
      </c>
      <c r="AM2" s="40" t="s">
        <v>67</v>
      </c>
      <c r="AN2" s="38" t="s">
        <v>52</v>
      </c>
      <c r="AO2" s="38" t="s">
        <v>128</v>
      </c>
      <c r="AP2" s="40" t="s">
        <v>67</v>
      </c>
      <c r="AQ2" s="74" t="s">
        <v>253</v>
      </c>
      <c r="AR2" s="73" t="s">
        <v>128</v>
      </c>
      <c r="AS2" s="75" t="s">
        <v>67</v>
      </c>
      <c r="AT2" s="74" t="s">
        <v>253</v>
      </c>
      <c r="AU2" s="73" t="s">
        <v>128</v>
      </c>
      <c r="AV2" s="75" t="s">
        <v>67</v>
      </c>
      <c r="AW2" s="66" t="s">
        <v>67</v>
      </c>
      <c r="AX2" s="66" t="s">
        <v>84</v>
      </c>
      <c r="AY2" s="66" t="s">
        <v>136</v>
      </c>
    </row>
    <row r="3" spans="1:51" ht="12.75">
      <c r="A3" s="12" t="s">
        <v>80</v>
      </c>
      <c r="B3" s="11">
        <f>1/((1/B19)+(1/B20))</f>
        <v>0.0004600872582838467</v>
      </c>
      <c r="C3" s="3" t="s">
        <v>8</v>
      </c>
      <c r="D3" s="4" t="s">
        <v>80</v>
      </c>
      <c r="E3" s="6">
        <f>1/((1/E17)+(1/E18))</f>
        <v>0.0007771379024055646</v>
      </c>
      <c r="F3" s="5" t="s">
        <v>8</v>
      </c>
      <c r="G3" s="15"/>
      <c r="H3" s="16">
        <f>1/((1/H27)+(1/H28))</f>
        <v>0.0009140546412724005</v>
      </c>
      <c r="I3" s="14" t="s">
        <v>8</v>
      </c>
      <c r="J3" s="7"/>
      <c r="K3" s="8">
        <f>1/((1/K40)+(1/K41)+(1/K42)+(1/K43))</f>
        <v>0.19894358185094693</v>
      </c>
      <c r="L3" s="9" t="s">
        <v>8</v>
      </c>
      <c r="M3" s="25"/>
      <c r="N3" s="28">
        <f>1/((1/N27)+(1/N28)+(1/N29))</f>
        <v>5.595389139022983E-06</v>
      </c>
      <c r="O3" s="29" t="s">
        <v>8</v>
      </c>
      <c r="P3" s="25"/>
      <c r="Q3" s="28">
        <f>1/((1/Q27)+(1/Q28)+(1/Q29))</f>
        <v>6.21709341161713E-06</v>
      </c>
      <c r="R3" s="29" t="s">
        <v>8</v>
      </c>
      <c r="S3" s="25"/>
      <c r="T3" s="28">
        <f>1/((1/T27)+(1/T28)+(1/T29))</f>
        <v>5.5953840704554164E-06</v>
      </c>
      <c r="U3" s="29" t="s">
        <v>8</v>
      </c>
      <c r="V3" s="54"/>
      <c r="W3" s="55">
        <f>1/((1/W40)+(1/W41)+(1/W42)+(1/W43)+(1/W44)+(1/W45)+(1/W46))</f>
        <v>2.698773210773351E-06</v>
      </c>
      <c r="X3" s="56" t="s">
        <v>8</v>
      </c>
      <c r="Y3" s="34" t="s">
        <v>116</v>
      </c>
      <c r="Z3" s="36">
        <f>(Z5*Z6*Z7)/((1-EXP(-Z7*Z6))*Z9*Z14*(Z8/365)*Z12*((Z13)+(Z15*Z10)))</f>
        <v>4.75565928589011</v>
      </c>
      <c r="AA3" s="35" t="s">
        <v>8</v>
      </c>
      <c r="AB3" s="34" t="s">
        <v>116</v>
      </c>
      <c r="AC3" s="36">
        <f>(AC5*AC6*AC7)/((1-EXP(-AC7*AC6))*AC9*AC14*(AC8/365)*AC12*((AC13)+(AC15*AC10)))</f>
        <v>4.905612506616375</v>
      </c>
      <c r="AD3" s="35" t="s">
        <v>8</v>
      </c>
      <c r="AE3" s="37" t="s">
        <v>116</v>
      </c>
      <c r="AF3" s="41">
        <f>(AF5*AF6*AF7)/((1-EXP(-AF7*AF6))*AF9*AF14*(AF8/365)*AF12*(AF15/24)*AF10)</f>
        <v>20.72235695322902</v>
      </c>
      <c r="AG3" s="39" t="s">
        <v>8</v>
      </c>
      <c r="AH3" s="37" t="s">
        <v>116</v>
      </c>
      <c r="AI3" s="41">
        <f>(AI5*AI6*AI7)/((1-EXP(-AI7*AI6))*AI9*AI14*(AI8/365)*AI12*(AI15/24)*AI10)</f>
        <v>21.375764604907406</v>
      </c>
      <c r="AJ3" s="39" t="s">
        <v>8</v>
      </c>
      <c r="AK3" s="38" t="s">
        <v>116</v>
      </c>
      <c r="AL3" s="50">
        <f>(AL5*AL6*AL7)/((1-EXP(-AL7*AL6))*AL9*AL14*(AL8/365)*AL12*(AL15/24)*AL11)</f>
        <v>9.209936423657341</v>
      </c>
      <c r="AM3" s="40" t="s">
        <v>8</v>
      </c>
      <c r="AN3" s="38" t="s">
        <v>116</v>
      </c>
      <c r="AO3" s="50">
        <f>(AO5*AO6*AO7)/((1-EXP(-AO7*AO6))*AO9*AO14*(AO8/365)*AO12*(AO15/24)*AO11)</f>
        <v>9.500339824403293</v>
      </c>
      <c r="AP3" s="40" t="s">
        <v>8</v>
      </c>
      <c r="AQ3" s="73"/>
      <c r="AR3" s="86">
        <f>(AR5*AR6*AR7)/((1-EXP(-AR7*AR6))*AR9*AR14*(AR8/365)*AR12*(AR15/24)*AR11)</f>
        <v>8.288942781291608</v>
      </c>
      <c r="AS3" s="75" t="s">
        <v>8</v>
      </c>
      <c r="AT3" s="73"/>
      <c r="AU3" s="86">
        <f>(AU5*AU6*AU7)/((1-EXP(-AU7*AU6))*AU9*AU14*(AU8/365)*AU12*(AU15/24)*AU11)</f>
        <v>8.550305841962963</v>
      </c>
      <c r="AV3" s="75" t="s">
        <v>8</v>
      </c>
      <c r="AW3" s="67">
        <f>(AX5*AX12*0.001*(AX13+(AX8/AX9)))*((AX10*AX7)/(1-EXP(-AX7*AX10)))</f>
        <v>0.3220828997233456</v>
      </c>
      <c r="AX3" s="68" t="s">
        <v>8</v>
      </c>
      <c r="AY3" s="66" t="s">
        <v>134</v>
      </c>
    </row>
    <row r="4" spans="1:51" ht="12.75">
      <c r="A4" s="12" t="s">
        <v>110</v>
      </c>
      <c r="B4" s="11">
        <f>1/((1/B21)+(1/B22))</f>
        <v>0.00046308199460570363</v>
      </c>
      <c r="C4" s="3" t="s">
        <v>8</v>
      </c>
      <c r="D4" s="4" t="s">
        <v>110</v>
      </c>
      <c r="E4" s="6">
        <f>1/((1/E15)+(1/E16))</f>
        <v>0.0007729467801074066</v>
      </c>
      <c r="F4" s="5" t="s">
        <v>8</v>
      </c>
      <c r="G4" s="15"/>
      <c r="H4" s="16"/>
      <c r="I4" s="14"/>
      <c r="J4" s="7" t="s">
        <v>103</v>
      </c>
      <c r="K4" s="8" t="s">
        <v>84</v>
      </c>
      <c r="L4" s="9"/>
      <c r="M4" s="25" t="s">
        <v>103</v>
      </c>
      <c r="N4" s="28" t="s">
        <v>85</v>
      </c>
      <c r="O4" s="29"/>
      <c r="P4" s="25" t="s">
        <v>103</v>
      </c>
      <c r="Q4" s="28" t="s">
        <v>86</v>
      </c>
      <c r="R4" s="29"/>
      <c r="S4" s="25" t="s">
        <v>103</v>
      </c>
      <c r="T4" s="28" t="s">
        <v>165</v>
      </c>
      <c r="U4" s="29"/>
      <c r="V4" s="54" t="s">
        <v>103</v>
      </c>
      <c r="W4" s="55" t="s">
        <v>168</v>
      </c>
      <c r="X4" s="56"/>
      <c r="Y4" s="34" t="s">
        <v>115</v>
      </c>
      <c r="Z4" s="36"/>
      <c r="AA4" s="35"/>
      <c r="AB4" s="34" t="s">
        <v>115</v>
      </c>
      <c r="AC4" s="36"/>
      <c r="AD4" s="35"/>
      <c r="AE4" s="37" t="s">
        <v>115</v>
      </c>
      <c r="AF4" s="41"/>
      <c r="AG4" s="39"/>
      <c r="AH4" s="37" t="s">
        <v>115</v>
      </c>
      <c r="AI4" s="41"/>
      <c r="AJ4" s="39"/>
      <c r="AK4" s="38" t="s">
        <v>115</v>
      </c>
      <c r="AL4" s="42"/>
      <c r="AM4" s="40"/>
      <c r="AN4" s="38" t="s">
        <v>115</v>
      </c>
      <c r="AO4" s="42"/>
      <c r="AP4" s="40"/>
      <c r="AQ4" s="73" t="s">
        <v>115</v>
      </c>
      <c r="AR4" s="76"/>
      <c r="AS4" s="75"/>
      <c r="AT4" s="73" t="s">
        <v>115</v>
      </c>
      <c r="AU4" s="76"/>
      <c r="AV4" s="75"/>
      <c r="AW4" s="67">
        <f>(AX6*AX12*10^-3*(AX13+(AX8/AX9)))*((AX10*AX7)/(1-EXP(-AX7*AX10)))</f>
        <v>5.888027387331944E-05</v>
      </c>
      <c r="AX4" s="68" t="s">
        <v>8</v>
      </c>
      <c r="AY4" s="66" t="s">
        <v>135</v>
      </c>
    </row>
    <row r="5" spans="1:51" ht="12.75">
      <c r="A5" t="s">
        <v>0</v>
      </c>
      <c r="B5" s="1">
        <v>1E-06</v>
      </c>
      <c r="D5" t="s">
        <v>0</v>
      </c>
      <c r="E5" s="1">
        <v>1E-06</v>
      </c>
      <c r="G5" s="18" t="s">
        <v>0</v>
      </c>
      <c r="H5" s="1">
        <v>1E-06</v>
      </c>
      <c r="J5" s="18" t="s">
        <v>0</v>
      </c>
      <c r="K5" s="1">
        <v>1E-06</v>
      </c>
      <c r="M5" s="18" t="s">
        <v>0</v>
      </c>
      <c r="N5" s="1">
        <v>1E-06</v>
      </c>
      <c r="P5" s="18" t="s">
        <v>0</v>
      </c>
      <c r="Q5" s="1">
        <v>1E-06</v>
      </c>
      <c r="S5" s="18" t="s">
        <v>0</v>
      </c>
      <c r="T5" s="1">
        <v>1E-06</v>
      </c>
      <c r="V5" s="18" t="s">
        <v>0</v>
      </c>
      <c r="W5" s="1">
        <v>1E-06</v>
      </c>
      <c r="X5" s="51"/>
      <c r="Y5" t="s">
        <v>0</v>
      </c>
      <c r="Z5" s="1">
        <v>1E-06</v>
      </c>
      <c r="AB5" t="s">
        <v>0</v>
      </c>
      <c r="AC5" s="1">
        <v>1E-06</v>
      </c>
      <c r="AE5" t="s">
        <v>0</v>
      </c>
      <c r="AF5" s="1">
        <v>1E-06</v>
      </c>
      <c r="AH5" t="s">
        <v>0</v>
      </c>
      <c r="AI5" s="1">
        <v>1E-06</v>
      </c>
      <c r="AK5" t="s">
        <v>0</v>
      </c>
      <c r="AL5" s="1">
        <v>1E-06</v>
      </c>
      <c r="AN5" t="s">
        <v>0</v>
      </c>
      <c r="AO5" s="1">
        <v>1E-06</v>
      </c>
      <c r="AQ5" t="s">
        <v>0</v>
      </c>
      <c r="AR5" s="1">
        <v>1E-06</v>
      </c>
      <c r="AT5" t="s">
        <v>0</v>
      </c>
      <c r="AU5" s="1">
        <v>1E-06</v>
      </c>
      <c r="AW5" s="71" t="s">
        <v>152</v>
      </c>
      <c r="AX5" s="65">
        <v>5</v>
      </c>
      <c r="AY5" s="70" t="s">
        <v>97</v>
      </c>
    </row>
    <row r="6" spans="1:51" ht="12.75">
      <c r="A6" s="18" t="s">
        <v>69</v>
      </c>
      <c r="B6" s="1">
        <v>0.000433</v>
      </c>
      <c r="D6" s="18" t="s">
        <v>69</v>
      </c>
      <c r="E6" s="1">
        <v>0.000433</v>
      </c>
      <c r="G6" s="18" t="s">
        <v>1</v>
      </c>
      <c r="H6" s="21">
        <v>350</v>
      </c>
      <c r="I6" s="18" t="s">
        <v>14</v>
      </c>
      <c r="J6" s="17"/>
      <c r="K6" s="19">
        <v>1000</v>
      </c>
      <c r="L6" t="s">
        <v>70</v>
      </c>
      <c r="M6" s="17"/>
      <c r="N6" s="19">
        <v>1000</v>
      </c>
      <c r="O6" t="s">
        <v>70</v>
      </c>
      <c r="P6" s="17"/>
      <c r="Q6" s="19">
        <v>1000</v>
      </c>
      <c r="R6" t="s">
        <v>70</v>
      </c>
      <c r="S6" s="17"/>
      <c r="T6" s="19">
        <v>1000</v>
      </c>
      <c r="U6" t="s">
        <v>70</v>
      </c>
      <c r="V6" s="58"/>
      <c r="W6" s="60">
        <f>1/1000</f>
        <v>0.001</v>
      </c>
      <c r="X6" s="51" t="s">
        <v>70</v>
      </c>
      <c r="Y6" t="s">
        <v>117</v>
      </c>
      <c r="Z6">
        <v>30</v>
      </c>
      <c r="AA6" t="s">
        <v>5</v>
      </c>
      <c r="AB6" t="s">
        <v>117</v>
      </c>
      <c r="AC6">
        <v>30</v>
      </c>
      <c r="AD6" t="s">
        <v>5</v>
      </c>
      <c r="AE6" t="s">
        <v>117</v>
      </c>
      <c r="AF6">
        <v>25</v>
      </c>
      <c r="AG6" t="s">
        <v>5</v>
      </c>
      <c r="AH6" t="s">
        <v>117</v>
      </c>
      <c r="AI6">
        <v>25</v>
      </c>
      <c r="AJ6" t="s">
        <v>5</v>
      </c>
      <c r="AK6" t="s">
        <v>117</v>
      </c>
      <c r="AL6">
        <v>25</v>
      </c>
      <c r="AM6" t="s">
        <v>5</v>
      </c>
      <c r="AN6" t="s">
        <v>117</v>
      </c>
      <c r="AO6">
        <v>25</v>
      </c>
      <c r="AP6" t="s">
        <v>5</v>
      </c>
      <c r="AQ6" t="s">
        <v>117</v>
      </c>
      <c r="AR6">
        <v>25</v>
      </c>
      <c r="AS6" t="s">
        <v>5</v>
      </c>
      <c r="AT6" t="s">
        <v>117</v>
      </c>
      <c r="AU6">
        <v>25</v>
      </c>
      <c r="AV6" t="s">
        <v>5</v>
      </c>
      <c r="AW6" s="65" t="s">
        <v>32</v>
      </c>
      <c r="AX6" s="69">
        <f>H3</f>
        <v>0.0009140546412724005</v>
      </c>
      <c r="AY6" s="70" t="s">
        <v>97</v>
      </c>
    </row>
    <row r="7" spans="1:51" ht="12.75">
      <c r="A7" t="s">
        <v>1</v>
      </c>
      <c r="B7">
        <v>350</v>
      </c>
      <c r="C7" t="s">
        <v>6</v>
      </c>
      <c r="D7" t="s">
        <v>1</v>
      </c>
      <c r="E7">
        <v>225</v>
      </c>
      <c r="F7" t="s">
        <v>6</v>
      </c>
      <c r="G7" s="18" t="s">
        <v>16</v>
      </c>
      <c r="H7" s="10">
        <v>3.85E-10</v>
      </c>
      <c r="I7" s="18" t="s">
        <v>63</v>
      </c>
      <c r="J7" s="47" t="s">
        <v>162</v>
      </c>
      <c r="K7" s="10">
        <v>5.14E-10</v>
      </c>
      <c r="L7" s="18" t="s">
        <v>63</v>
      </c>
      <c r="M7" s="18" t="s">
        <v>92</v>
      </c>
      <c r="N7" s="21">
        <v>250</v>
      </c>
      <c r="O7" s="18" t="s">
        <v>14</v>
      </c>
      <c r="P7" s="18" t="s">
        <v>91</v>
      </c>
      <c r="Q7" s="21">
        <v>225</v>
      </c>
      <c r="R7" s="18" t="s">
        <v>14</v>
      </c>
      <c r="S7" s="18" t="s">
        <v>90</v>
      </c>
      <c r="T7" s="21">
        <v>250</v>
      </c>
      <c r="U7" s="18" t="s">
        <v>14</v>
      </c>
      <c r="V7" s="18" t="s">
        <v>162</v>
      </c>
      <c r="W7" s="52">
        <v>5.14E-10</v>
      </c>
      <c r="X7" s="18" t="s">
        <v>63</v>
      </c>
      <c r="Y7" t="s">
        <v>69</v>
      </c>
      <c r="Z7" s="10">
        <v>0.000433</v>
      </c>
      <c r="AB7" t="s">
        <v>69</v>
      </c>
      <c r="AC7" s="10">
        <f>Z7</f>
        <v>0.000433</v>
      </c>
      <c r="AE7" t="s">
        <v>69</v>
      </c>
      <c r="AF7" s="10">
        <f>AC7</f>
        <v>0.000433</v>
      </c>
      <c r="AH7" t="s">
        <v>69</v>
      </c>
      <c r="AI7" s="10">
        <f>AF7</f>
        <v>0.000433</v>
      </c>
      <c r="AK7" t="s">
        <v>69</v>
      </c>
      <c r="AL7" s="10">
        <f>AI7</f>
        <v>0.000433</v>
      </c>
      <c r="AN7" t="s">
        <v>69</v>
      </c>
      <c r="AO7" s="10">
        <f>AL7</f>
        <v>0.000433</v>
      </c>
      <c r="AQ7" s="64" t="s">
        <v>69</v>
      </c>
      <c r="AR7" s="69">
        <f>AI7</f>
        <v>0.000433</v>
      </c>
      <c r="AS7" s="64"/>
      <c r="AT7" s="64" t="s">
        <v>69</v>
      </c>
      <c r="AU7" s="69">
        <f>AR7</f>
        <v>0.000433</v>
      </c>
      <c r="AV7" s="64"/>
      <c r="AW7" s="64" t="s">
        <v>69</v>
      </c>
      <c r="AX7" s="69">
        <f>AU7</f>
        <v>0.000433</v>
      </c>
      <c r="AY7" s="64"/>
    </row>
    <row r="8" spans="1:51" ht="12.75">
      <c r="A8" t="s">
        <v>2</v>
      </c>
      <c r="B8">
        <v>30</v>
      </c>
      <c r="C8" t="s">
        <v>5</v>
      </c>
      <c r="D8" t="s">
        <v>2</v>
      </c>
      <c r="E8">
        <v>25</v>
      </c>
      <c r="F8" t="s">
        <v>5</v>
      </c>
      <c r="G8" s="18" t="s">
        <v>18</v>
      </c>
      <c r="H8" s="19">
        <f>(H9*H10+H11*H12)/(H9+H11)</f>
        <v>1.8</v>
      </c>
      <c r="I8" s="18" t="s">
        <v>61</v>
      </c>
      <c r="J8" s="18" t="s">
        <v>1</v>
      </c>
      <c r="K8" s="21">
        <v>350</v>
      </c>
      <c r="L8" s="18" t="s">
        <v>14</v>
      </c>
      <c r="M8" s="18" t="s">
        <v>62</v>
      </c>
      <c r="N8" s="10">
        <v>2.95E-10</v>
      </c>
      <c r="O8" s="18" t="s">
        <v>63</v>
      </c>
      <c r="P8" s="18" t="s">
        <v>62</v>
      </c>
      <c r="Q8" s="10">
        <f>N8</f>
        <v>2.95E-10</v>
      </c>
      <c r="R8" s="18" t="s">
        <v>63</v>
      </c>
      <c r="S8" s="18" t="s">
        <v>62</v>
      </c>
      <c r="T8" s="1">
        <f>Q8</f>
        <v>2.95E-10</v>
      </c>
      <c r="U8" s="18" t="s">
        <v>63</v>
      </c>
      <c r="V8" s="59" t="s">
        <v>169</v>
      </c>
      <c r="W8" s="62">
        <v>350</v>
      </c>
      <c r="X8" s="59" t="s">
        <v>14</v>
      </c>
      <c r="Y8" t="s">
        <v>1</v>
      </c>
      <c r="Z8">
        <v>350</v>
      </c>
      <c r="AA8" t="s">
        <v>6</v>
      </c>
      <c r="AB8" t="s">
        <v>1</v>
      </c>
      <c r="AC8">
        <v>350</v>
      </c>
      <c r="AD8" t="s">
        <v>6</v>
      </c>
      <c r="AE8" t="s">
        <v>1</v>
      </c>
      <c r="AF8">
        <v>250</v>
      </c>
      <c r="AG8" t="s">
        <v>6</v>
      </c>
      <c r="AH8" t="s">
        <v>1</v>
      </c>
      <c r="AI8">
        <v>250</v>
      </c>
      <c r="AJ8" t="s">
        <v>6</v>
      </c>
      <c r="AK8" t="s">
        <v>1</v>
      </c>
      <c r="AL8">
        <v>225</v>
      </c>
      <c r="AM8" t="s">
        <v>6</v>
      </c>
      <c r="AN8" t="s">
        <v>1</v>
      </c>
      <c r="AO8">
        <v>225</v>
      </c>
      <c r="AP8" t="s">
        <v>6</v>
      </c>
      <c r="AQ8" s="64" t="s">
        <v>1</v>
      </c>
      <c r="AR8" s="64">
        <v>250</v>
      </c>
      <c r="AS8" s="64" t="s">
        <v>6</v>
      </c>
      <c r="AT8" s="64" t="s">
        <v>1</v>
      </c>
      <c r="AU8" s="64">
        <v>250</v>
      </c>
      <c r="AV8" s="64" t="s">
        <v>6</v>
      </c>
      <c r="AW8" s="65" t="s">
        <v>130</v>
      </c>
      <c r="AX8" s="65">
        <v>0.3</v>
      </c>
      <c r="AY8" s="64"/>
    </row>
    <row r="9" spans="1:51" ht="12.75">
      <c r="A9" t="s">
        <v>64</v>
      </c>
      <c r="B9" s="10">
        <v>1.15E-08</v>
      </c>
      <c r="C9" s="2" t="s">
        <v>63</v>
      </c>
      <c r="D9" t="s">
        <v>64</v>
      </c>
      <c r="E9" s="10">
        <v>1.15E-08</v>
      </c>
      <c r="F9" s="2" t="s">
        <v>63</v>
      </c>
      <c r="G9" s="18" t="s">
        <v>4</v>
      </c>
      <c r="H9" s="19">
        <v>6</v>
      </c>
      <c r="J9" s="18" t="s">
        <v>62</v>
      </c>
      <c r="K9" s="1">
        <v>7.29E-10</v>
      </c>
      <c r="L9" s="18" t="s">
        <v>63</v>
      </c>
      <c r="M9" s="18" t="s">
        <v>2</v>
      </c>
      <c r="N9" s="1">
        <v>25</v>
      </c>
      <c r="O9" s="18" t="s">
        <v>68</v>
      </c>
      <c r="P9" s="18" t="s">
        <v>2</v>
      </c>
      <c r="Q9" s="1">
        <v>25</v>
      </c>
      <c r="R9" s="18" t="s">
        <v>68</v>
      </c>
      <c r="S9" s="18" t="s">
        <v>2</v>
      </c>
      <c r="T9" s="1">
        <v>25</v>
      </c>
      <c r="U9" s="18" t="s">
        <v>68</v>
      </c>
      <c r="V9" s="18" t="s">
        <v>62</v>
      </c>
      <c r="W9" s="52">
        <f>K9</f>
        <v>7.29E-10</v>
      </c>
      <c r="X9" s="18" t="s">
        <v>63</v>
      </c>
      <c r="Y9" t="s">
        <v>2</v>
      </c>
      <c r="Z9">
        <v>30</v>
      </c>
      <c r="AA9" t="s">
        <v>5</v>
      </c>
      <c r="AB9" t="s">
        <v>2</v>
      </c>
      <c r="AC9">
        <v>30</v>
      </c>
      <c r="AD9" t="s">
        <v>5</v>
      </c>
      <c r="AE9" t="s">
        <v>2</v>
      </c>
      <c r="AF9">
        <v>25</v>
      </c>
      <c r="AG9" t="s">
        <v>5</v>
      </c>
      <c r="AH9" t="s">
        <v>2</v>
      </c>
      <c r="AI9">
        <v>25</v>
      </c>
      <c r="AJ9" t="s">
        <v>5</v>
      </c>
      <c r="AK9" t="s">
        <v>2</v>
      </c>
      <c r="AL9">
        <v>25</v>
      </c>
      <c r="AM9" t="s">
        <v>5</v>
      </c>
      <c r="AN9" t="s">
        <v>2</v>
      </c>
      <c r="AO9">
        <v>25</v>
      </c>
      <c r="AP9" t="s">
        <v>5</v>
      </c>
      <c r="AQ9" t="s">
        <v>2</v>
      </c>
      <c r="AR9">
        <v>25</v>
      </c>
      <c r="AS9" t="s">
        <v>5</v>
      </c>
      <c r="AT9" t="s">
        <v>2</v>
      </c>
      <c r="AU9">
        <v>25</v>
      </c>
      <c r="AV9" t="s">
        <v>5</v>
      </c>
      <c r="AW9" s="65" t="s">
        <v>131</v>
      </c>
      <c r="AX9" s="69">
        <v>1.5</v>
      </c>
      <c r="AY9" s="64"/>
    </row>
    <row r="10" spans="1:51" ht="12.75">
      <c r="A10" s="18" t="s">
        <v>71</v>
      </c>
      <c r="B10" s="1">
        <f>(B11*B15+B12*B16)/(B15+B16)</f>
        <v>18</v>
      </c>
      <c r="C10" t="s">
        <v>74</v>
      </c>
      <c r="D10" t="s">
        <v>51</v>
      </c>
      <c r="E10" s="21">
        <v>8</v>
      </c>
      <c r="F10" s="2" t="s">
        <v>47</v>
      </c>
      <c r="G10" s="18" t="s">
        <v>19</v>
      </c>
      <c r="H10" s="19">
        <v>1</v>
      </c>
      <c r="J10" s="18" t="s">
        <v>26</v>
      </c>
      <c r="K10" s="19">
        <f>(K13*K12+K16*K15)/(K12+K15)</f>
        <v>120</v>
      </c>
      <c r="L10" s="18" t="s">
        <v>46</v>
      </c>
      <c r="M10" s="18" t="s">
        <v>87</v>
      </c>
      <c r="N10" s="19">
        <v>50</v>
      </c>
      <c r="P10" s="18" t="s">
        <v>89</v>
      </c>
      <c r="Q10" s="19">
        <v>100</v>
      </c>
      <c r="S10" s="18" t="s">
        <v>260</v>
      </c>
      <c r="T10" s="19">
        <v>100</v>
      </c>
      <c r="U10" s="18"/>
      <c r="V10" s="59" t="s">
        <v>171</v>
      </c>
      <c r="W10" s="51">
        <f>(W13*W12+W16*W15)/(W11)</f>
        <v>115</v>
      </c>
      <c r="X10" s="59" t="s">
        <v>46</v>
      </c>
      <c r="Y10" t="s">
        <v>118</v>
      </c>
      <c r="Z10">
        <v>0.4</v>
      </c>
      <c r="AB10" t="s">
        <v>118</v>
      </c>
      <c r="AC10">
        <v>0.4</v>
      </c>
      <c r="AE10" t="s">
        <v>118</v>
      </c>
      <c r="AF10">
        <v>0.4</v>
      </c>
      <c r="AH10" t="s">
        <v>118</v>
      </c>
      <c r="AI10">
        <v>0.4</v>
      </c>
      <c r="AK10" t="s">
        <v>118</v>
      </c>
      <c r="AL10">
        <v>0.4</v>
      </c>
      <c r="AN10" t="s">
        <v>118</v>
      </c>
      <c r="AO10">
        <v>0.4</v>
      </c>
      <c r="AQ10" s="64"/>
      <c r="AR10" s="64"/>
      <c r="AS10" s="64"/>
      <c r="AT10" s="64"/>
      <c r="AU10" s="64"/>
      <c r="AV10" s="64"/>
      <c r="AW10" s="65" t="s">
        <v>132</v>
      </c>
      <c r="AX10" s="65">
        <v>30</v>
      </c>
      <c r="AY10" s="64"/>
    </row>
    <row r="11" spans="1:51" ht="12.75">
      <c r="A11" s="18" t="s">
        <v>72</v>
      </c>
      <c r="B11" s="20">
        <v>10</v>
      </c>
      <c r="C11" s="20" t="s">
        <v>74</v>
      </c>
      <c r="E11" s="21">
        <v>24</v>
      </c>
      <c r="F11" s="2" t="s">
        <v>47</v>
      </c>
      <c r="G11" s="18" t="s">
        <v>21</v>
      </c>
      <c r="H11" s="19">
        <f>30-H9</f>
        <v>24</v>
      </c>
      <c r="J11" s="18" t="s">
        <v>2</v>
      </c>
      <c r="K11" s="1">
        <v>30</v>
      </c>
      <c r="L11" s="18" t="s">
        <v>68</v>
      </c>
      <c r="M11" s="18" t="s">
        <v>88</v>
      </c>
      <c r="N11" s="20">
        <v>60</v>
      </c>
      <c r="O11" s="20" t="s">
        <v>74</v>
      </c>
      <c r="P11" s="18" t="s">
        <v>88</v>
      </c>
      <c r="Q11" s="20">
        <v>60</v>
      </c>
      <c r="R11" s="20" t="s">
        <v>74</v>
      </c>
      <c r="S11" s="18" t="s">
        <v>88</v>
      </c>
      <c r="T11" s="20">
        <v>60</v>
      </c>
      <c r="U11" s="20" t="s">
        <v>74</v>
      </c>
      <c r="V11" s="59" t="s">
        <v>172</v>
      </c>
      <c r="W11" s="51">
        <v>40</v>
      </c>
      <c r="X11" s="59" t="s">
        <v>68</v>
      </c>
      <c r="Y11" t="s">
        <v>119</v>
      </c>
      <c r="Z11">
        <v>1</v>
      </c>
      <c r="AB11" t="s">
        <v>119</v>
      </c>
      <c r="AC11">
        <v>1</v>
      </c>
      <c r="AE11" t="s">
        <v>119</v>
      </c>
      <c r="AF11">
        <v>1</v>
      </c>
      <c r="AH11" t="s">
        <v>119</v>
      </c>
      <c r="AI11">
        <v>1</v>
      </c>
      <c r="AK11" t="s">
        <v>119</v>
      </c>
      <c r="AL11">
        <v>1</v>
      </c>
      <c r="AN11" t="s">
        <v>119</v>
      </c>
      <c r="AO11">
        <v>1</v>
      </c>
      <c r="AQ11" s="64" t="s">
        <v>119</v>
      </c>
      <c r="AR11" s="64">
        <v>1</v>
      </c>
      <c r="AS11" s="64"/>
      <c r="AT11" s="64" t="s">
        <v>119</v>
      </c>
      <c r="AU11" s="64">
        <v>1</v>
      </c>
      <c r="AV11" s="64"/>
      <c r="AW11" s="65"/>
      <c r="AX11" s="69"/>
      <c r="AY11" s="64"/>
    </row>
    <row r="12" spans="1:51" ht="12.75">
      <c r="A12" s="18" t="s">
        <v>73</v>
      </c>
      <c r="B12" s="20">
        <v>20</v>
      </c>
      <c r="C12" s="20" t="s">
        <v>74</v>
      </c>
      <c r="D12" t="s">
        <v>101</v>
      </c>
      <c r="E12" s="1">
        <v>60</v>
      </c>
      <c r="F12" s="2" t="s">
        <v>74</v>
      </c>
      <c r="G12" s="18" t="s">
        <v>22</v>
      </c>
      <c r="H12" s="19">
        <v>2</v>
      </c>
      <c r="J12" s="18" t="s">
        <v>4</v>
      </c>
      <c r="K12" s="19">
        <v>6</v>
      </c>
      <c r="M12" s="18" t="s">
        <v>78</v>
      </c>
      <c r="N12" s="20">
        <v>0.4</v>
      </c>
      <c r="O12" s="20"/>
      <c r="P12" s="18" t="s">
        <v>78</v>
      </c>
      <c r="Q12" s="20">
        <v>1</v>
      </c>
      <c r="R12" s="20"/>
      <c r="S12" s="18" t="s">
        <v>78</v>
      </c>
      <c r="T12" s="20">
        <v>1</v>
      </c>
      <c r="U12" s="20"/>
      <c r="V12" s="59" t="s">
        <v>173</v>
      </c>
      <c r="W12" s="51">
        <v>6</v>
      </c>
      <c r="X12" s="51"/>
      <c r="Y12" t="s">
        <v>77</v>
      </c>
      <c r="Z12">
        <v>0.928</v>
      </c>
      <c r="AB12" t="s">
        <v>77</v>
      </c>
      <c r="AC12">
        <f>Z12</f>
        <v>0.928</v>
      </c>
      <c r="AE12" t="s">
        <v>77</v>
      </c>
      <c r="AF12">
        <f>Z12</f>
        <v>0.928</v>
      </c>
      <c r="AH12" t="s">
        <v>77</v>
      </c>
      <c r="AI12">
        <f>AC12</f>
        <v>0.928</v>
      </c>
      <c r="AK12" t="s">
        <v>77</v>
      </c>
      <c r="AL12">
        <f>AF12</f>
        <v>0.928</v>
      </c>
      <c r="AN12" t="s">
        <v>77</v>
      </c>
      <c r="AO12">
        <f>AI12</f>
        <v>0.928</v>
      </c>
      <c r="AQ12" s="64" t="s">
        <v>77</v>
      </c>
      <c r="AR12" s="64">
        <f>AL12</f>
        <v>0.928</v>
      </c>
      <c r="AS12" s="64"/>
      <c r="AT12" s="64" t="s">
        <v>77</v>
      </c>
      <c r="AU12" s="64">
        <f>AR12</f>
        <v>0.928</v>
      </c>
      <c r="AV12" s="64"/>
      <c r="AW12" s="65" t="s">
        <v>133</v>
      </c>
      <c r="AX12" s="69">
        <v>20</v>
      </c>
      <c r="AY12" s="64"/>
    </row>
    <row r="13" spans="1:51" ht="12.75">
      <c r="A13" t="s">
        <v>50</v>
      </c>
      <c r="B13">
        <v>24</v>
      </c>
      <c r="C13" t="s">
        <v>47</v>
      </c>
      <c r="D13" s="17" t="s">
        <v>108</v>
      </c>
      <c r="E13" s="1">
        <v>2.6E-11</v>
      </c>
      <c r="F13" s="17" t="s">
        <v>109</v>
      </c>
      <c r="G13" s="18" t="s">
        <v>64</v>
      </c>
      <c r="H13" s="10">
        <v>1.15E-08</v>
      </c>
      <c r="I13" s="2" t="s">
        <v>63</v>
      </c>
      <c r="J13" s="18" t="s">
        <v>27</v>
      </c>
      <c r="K13" s="19">
        <v>200</v>
      </c>
      <c r="M13" s="18" t="s">
        <v>77</v>
      </c>
      <c r="N13" s="20">
        <v>0.9</v>
      </c>
      <c r="O13" s="20"/>
      <c r="P13" s="18" t="s">
        <v>77</v>
      </c>
      <c r="Q13" s="20">
        <v>0.9</v>
      </c>
      <c r="R13" s="20"/>
      <c r="S13" s="18" t="s">
        <v>77</v>
      </c>
      <c r="T13" s="20">
        <v>0.9</v>
      </c>
      <c r="U13" s="20"/>
      <c r="V13" s="59" t="s">
        <v>174</v>
      </c>
      <c r="W13" s="51">
        <v>200</v>
      </c>
      <c r="X13" s="51"/>
      <c r="Y13" t="s">
        <v>120</v>
      </c>
      <c r="Z13">
        <v>0.073</v>
      </c>
      <c r="AA13" t="s">
        <v>127</v>
      </c>
      <c r="AB13" t="s">
        <v>120</v>
      </c>
      <c r="AC13">
        <v>0.073</v>
      </c>
      <c r="AD13" t="s">
        <v>127</v>
      </c>
      <c r="AE13" t="s">
        <v>120</v>
      </c>
      <c r="AF13">
        <v>0</v>
      </c>
      <c r="AG13" t="s">
        <v>127</v>
      </c>
      <c r="AH13" t="s">
        <v>120</v>
      </c>
      <c r="AI13">
        <v>0</v>
      </c>
      <c r="AJ13" t="s">
        <v>127</v>
      </c>
      <c r="AK13" t="s">
        <v>120</v>
      </c>
      <c r="AL13">
        <v>0.33</v>
      </c>
      <c r="AM13" t="s">
        <v>127</v>
      </c>
      <c r="AN13" t="s">
        <v>3</v>
      </c>
      <c r="AO13">
        <v>0.33</v>
      </c>
      <c r="AP13" t="s">
        <v>54</v>
      </c>
      <c r="AQ13" s="65" t="s">
        <v>166</v>
      </c>
      <c r="AR13" s="64">
        <v>8</v>
      </c>
      <c r="AS13" s="65" t="s">
        <v>254</v>
      </c>
      <c r="AT13" s="65" t="s">
        <v>166</v>
      </c>
      <c r="AU13" s="64">
        <v>8</v>
      </c>
      <c r="AV13" s="65" t="s">
        <v>254</v>
      </c>
      <c r="AW13" s="65" t="s">
        <v>129</v>
      </c>
      <c r="AX13" s="65">
        <v>3</v>
      </c>
      <c r="AY13" s="64"/>
    </row>
    <row r="14" spans="2:51" ht="12.75">
      <c r="B14">
        <v>24</v>
      </c>
      <c r="C14" t="s">
        <v>47</v>
      </c>
      <c r="D14" s="17" t="s">
        <v>78</v>
      </c>
      <c r="E14" s="17">
        <v>1</v>
      </c>
      <c r="G14" s="18" t="s">
        <v>106</v>
      </c>
      <c r="H14" s="1">
        <v>10</v>
      </c>
      <c r="I14" s="2"/>
      <c r="J14" s="18" t="s">
        <v>20</v>
      </c>
      <c r="K14" s="21">
        <v>15</v>
      </c>
      <c r="L14" s="2"/>
      <c r="M14" s="18" t="s">
        <v>65</v>
      </c>
      <c r="N14" s="10">
        <v>2.29E-08</v>
      </c>
      <c r="O14" s="18" t="s">
        <v>66</v>
      </c>
      <c r="P14" s="18" t="s">
        <v>65</v>
      </c>
      <c r="Q14" s="10">
        <v>2.29E-08</v>
      </c>
      <c r="R14" s="18" t="s">
        <v>66</v>
      </c>
      <c r="S14" s="18" t="s">
        <v>65</v>
      </c>
      <c r="T14" s="1">
        <f>Q14</f>
        <v>2.29E-08</v>
      </c>
      <c r="U14" s="18" t="s">
        <v>66</v>
      </c>
      <c r="V14" s="59" t="s">
        <v>20</v>
      </c>
      <c r="W14" s="51">
        <v>15</v>
      </c>
      <c r="X14" s="53"/>
      <c r="Y14" t="s">
        <v>65</v>
      </c>
      <c r="Z14" s="10">
        <v>2.29E-08</v>
      </c>
      <c r="AA14" s="2" t="s">
        <v>121</v>
      </c>
      <c r="AB14" t="s">
        <v>65</v>
      </c>
      <c r="AC14" s="10">
        <v>2.22E-08</v>
      </c>
      <c r="AD14" s="2" t="s">
        <v>121</v>
      </c>
      <c r="AE14" t="s">
        <v>65</v>
      </c>
      <c r="AF14" s="10">
        <f>Z14</f>
        <v>2.29E-08</v>
      </c>
      <c r="AG14" s="2" t="s">
        <v>121</v>
      </c>
      <c r="AH14" t="s">
        <v>65</v>
      </c>
      <c r="AI14" s="10">
        <f>AC14</f>
        <v>2.22E-08</v>
      </c>
      <c r="AJ14" s="2" t="s">
        <v>121</v>
      </c>
      <c r="AK14" t="s">
        <v>65</v>
      </c>
      <c r="AL14" s="10">
        <f>AF14</f>
        <v>2.29E-08</v>
      </c>
      <c r="AM14" s="2" t="s">
        <v>121</v>
      </c>
      <c r="AN14" t="s">
        <v>65</v>
      </c>
      <c r="AO14" s="10">
        <f>AI14</f>
        <v>2.22E-08</v>
      </c>
      <c r="AP14" s="2" t="s">
        <v>121</v>
      </c>
      <c r="AQ14" s="64" t="s">
        <v>181</v>
      </c>
      <c r="AR14" s="69">
        <f>AL14</f>
        <v>2.29E-08</v>
      </c>
      <c r="AS14" s="65" t="s">
        <v>255</v>
      </c>
      <c r="AT14" s="64" t="s">
        <v>181</v>
      </c>
      <c r="AU14" s="69">
        <f>AO14</f>
        <v>2.22E-08</v>
      </c>
      <c r="AV14" s="65" t="s">
        <v>255</v>
      </c>
      <c r="AW14" s="65"/>
      <c r="AX14" s="69"/>
      <c r="AY14" s="64"/>
    </row>
    <row r="15" spans="1:51" ht="12.75">
      <c r="A15" t="s">
        <v>94</v>
      </c>
      <c r="B15" s="1">
        <v>6</v>
      </c>
      <c r="C15" t="s">
        <v>5</v>
      </c>
      <c r="D15" t="s">
        <v>34</v>
      </c>
      <c r="E15" s="1">
        <f>(E5)/((E10/E11)*E7*E8*E9*E12)</f>
        <v>0.0007729468599033815</v>
      </c>
      <c r="F15" t="s">
        <v>110</v>
      </c>
      <c r="G15" s="18" t="s">
        <v>107</v>
      </c>
      <c r="H15" s="10">
        <v>20</v>
      </c>
      <c r="I15" s="2"/>
      <c r="J15" s="18" t="s">
        <v>21</v>
      </c>
      <c r="K15" s="19">
        <f>30-K12</f>
        <v>24</v>
      </c>
      <c r="M15" s="30" t="s">
        <v>29</v>
      </c>
      <c r="N15" s="1">
        <v>8</v>
      </c>
      <c r="O15" s="18" t="s">
        <v>7</v>
      </c>
      <c r="P15" s="30" t="s">
        <v>29</v>
      </c>
      <c r="Q15" s="1">
        <v>8</v>
      </c>
      <c r="R15" s="18" t="s">
        <v>7</v>
      </c>
      <c r="S15" s="90" t="s">
        <v>29</v>
      </c>
      <c r="T15" s="33">
        <f>Q15</f>
        <v>8</v>
      </c>
      <c r="U15" s="18" t="s">
        <v>7</v>
      </c>
      <c r="V15" s="59" t="s">
        <v>175</v>
      </c>
      <c r="W15" s="51">
        <v>34</v>
      </c>
      <c r="X15" s="51"/>
      <c r="Y15" t="s">
        <v>122</v>
      </c>
      <c r="Z15">
        <v>0.683</v>
      </c>
      <c r="AA15" t="s">
        <v>127</v>
      </c>
      <c r="AB15" t="s">
        <v>122</v>
      </c>
      <c r="AC15">
        <v>0.683</v>
      </c>
      <c r="AD15" t="s">
        <v>127</v>
      </c>
      <c r="AE15" s="2" t="s">
        <v>166</v>
      </c>
      <c r="AF15">
        <v>8</v>
      </c>
      <c r="AG15" s="2" t="s">
        <v>54</v>
      </c>
      <c r="AH15" s="2" t="s">
        <v>166</v>
      </c>
      <c r="AI15">
        <v>8</v>
      </c>
      <c r="AJ15" s="2" t="s">
        <v>54</v>
      </c>
      <c r="AK15" s="2" t="s">
        <v>166</v>
      </c>
      <c r="AL15">
        <v>8</v>
      </c>
      <c r="AM15" s="2" t="s">
        <v>54</v>
      </c>
      <c r="AN15" s="2" t="s">
        <v>166</v>
      </c>
      <c r="AO15">
        <v>8</v>
      </c>
      <c r="AP15" s="2" t="s">
        <v>54</v>
      </c>
      <c r="AQ15" s="2" t="s">
        <v>166</v>
      </c>
      <c r="AR15">
        <v>8</v>
      </c>
      <c r="AS15" s="2" t="s">
        <v>54</v>
      </c>
      <c r="AT15" s="2" t="s">
        <v>166</v>
      </c>
      <c r="AU15">
        <v>8</v>
      </c>
      <c r="AV15" s="2" t="s">
        <v>54</v>
      </c>
      <c r="AW15" s="65"/>
      <c r="AX15" s="64"/>
      <c r="AY15" s="64"/>
    </row>
    <row r="16" spans="1:51" ht="12.75">
      <c r="A16" s="17" t="s">
        <v>95</v>
      </c>
      <c r="B16" s="17">
        <v>24</v>
      </c>
      <c r="C16" s="17" t="s">
        <v>5</v>
      </c>
      <c r="D16" t="s">
        <v>111</v>
      </c>
      <c r="E16" s="1">
        <f>(E5)/((E10/E11)*E7*E8*E13*(1/365))</f>
        <v>7487.1794871794855</v>
      </c>
      <c r="F16" t="s">
        <v>110</v>
      </c>
      <c r="G16" s="18" t="s">
        <v>2</v>
      </c>
      <c r="H16" s="21">
        <v>30</v>
      </c>
      <c r="I16" s="2" t="s">
        <v>15</v>
      </c>
      <c r="J16" s="18" t="s">
        <v>28</v>
      </c>
      <c r="K16" s="19">
        <v>100</v>
      </c>
      <c r="M16" s="18" t="s">
        <v>64</v>
      </c>
      <c r="N16" s="10">
        <v>1.15E-08</v>
      </c>
      <c r="O16" s="2" t="s">
        <v>63</v>
      </c>
      <c r="P16" s="18" t="s">
        <v>64</v>
      </c>
      <c r="Q16" s="10">
        <v>1.15E-08</v>
      </c>
      <c r="R16" s="2" t="s">
        <v>63</v>
      </c>
      <c r="S16" s="18" t="s">
        <v>64</v>
      </c>
      <c r="T16" s="10">
        <f>Q16</f>
        <v>1.15E-08</v>
      </c>
      <c r="U16" s="2" t="s">
        <v>63</v>
      </c>
      <c r="V16" s="59" t="s">
        <v>176</v>
      </c>
      <c r="W16" s="51">
        <v>100</v>
      </c>
      <c r="X16" s="51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70"/>
      <c r="AR16" s="70"/>
      <c r="AS16" s="70"/>
      <c r="AT16" s="70"/>
      <c r="AU16" s="70"/>
      <c r="AV16" s="70"/>
      <c r="AW16" s="70"/>
      <c r="AX16" s="70"/>
      <c r="AY16" s="70"/>
    </row>
    <row r="17" spans="1:51" ht="12.75">
      <c r="A17" s="17" t="s">
        <v>108</v>
      </c>
      <c r="B17" s="1">
        <v>2.6E-11</v>
      </c>
      <c r="C17" s="17" t="s">
        <v>109</v>
      </c>
      <c r="D17" t="s">
        <v>34</v>
      </c>
      <c r="E17" s="1">
        <f>(E5*E6*E8)/((E10/E11)*(1-EXP(-E6*E8))*E9*E12*E7*E8)</f>
        <v>0.0007771379826342145</v>
      </c>
      <c r="F17" t="s">
        <v>80</v>
      </c>
      <c r="G17" s="18" t="s">
        <v>71</v>
      </c>
      <c r="H17" s="21">
        <f>(H14*H9+H15*H11)/H16</f>
        <v>18</v>
      </c>
      <c r="I17" s="2"/>
      <c r="J17" s="18" t="s">
        <v>23</v>
      </c>
      <c r="K17" s="20">
        <v>70</v>
      </c>
      <c r="L17" s="17"/>
      <c r="M17" s="18"/>
      <c r="N17" s="20"/>
      <c r="O17" s="17"/>
      <c r="P17" s="18"/>
      <c r="Q17" s="20"/>
      <c r="R17" s="17"/>
      <c r="S17" s="18"/>
      <c r="T17" s="20"/>
      <c r="U17" s="17"/>
      <c r="V17" s="59" t="s">
        <v>23</v>
      </c>
      <c r="W17" s="51">
        <v>70</v>
      </c>
      <c r="X17" s="58"/>
      <c r="Y17" s="34" t="s">
        <v>112</v>
      </c>
      <c r="Z17" s="34" t="s">
        <v>123</v>
      </c>
      <c r="AA17" s="34" t="s">
        <v>103</v>
      </c>
      <c r="AB17" s="34" t="s">
        <v>112</v>
      </c>
      <c r="AC17" s="34" t="s">
        <v>124</v>
      </c>
      <c r="AD17" s="34" t="s">
        <v>103</v>
      </c>
      <c r="AE17" s="37" t="s">
        <v>112</v>
      </c>
      <c r="AF17" s="37" t="s">
        <v>123</v>
      </c>
      <c r="AG17" s="37" t="s">
        <v>103</v>
      </c>
      <c r="AH17" s="37" t="s">
        <v>112</v>
      </c>
      <c r="AI17" s="37" t="s">
        <v>124</v>
      </c>
      <c r="AJ17" s="37" t="s">
        <v>103</v>
      </c>
      <c r="AK17" s="38" t="s">
        <v>112</v>
      </c>
      <c r="AL17" s="38" t="s">
        <v>123</v>
      </c>
      <c r="AM17" s="38" t="s">
        <v>103</v>
      </c>
      <c r="AN17" s="38" t="s">
        <v>112</v>
      </c>
      <c r="AO17" s="38" t="s">
        <v>124</v>
      </c>
      <c r="AP17" s="38" t="s">
        <v>103</v>
      </c>
      <c r="AQ17" s="73" t="s">
        <v>112</v>
      </c>
      <c r="AR17" s="73" t="s">
        <v>123</v>
      </c>
      <c r="AS17" s="73" t="s">
        <v>103</v>
      </c>
      <c r="AT17" s="73" t="s">
        <v>112</v>
      </c>
      <c r="AU17" s="73" t="s">
        <v>124</v>
      </c>
      <c r="AV17" s="73" t="s">
        <v>103</v>
      </c>
      <c r="AW17" s="65"/>
      <c r="AX17" s="65"/>
      <c r="AY17" s="64"/>
    </row>
    <row r="18" spans="1:51" ht="12.75">
      <c r="A18" s="17" t="s">
        <v>78</v>
      </c>
      <c r="B18" s="17">
        <v>1</v>
      </c>
      <c r="D18" t="s">
        <v>111</v>
      </c>
      <c r="E18" s="1">
        <f>(E5*E6*E8)/((E10/E11)*(1-EXP(-E6*E8))*E13*E7*E8*(1/365))</f>
        <v>7527.776958708727</v>
      </c>
      <c r="F18" t="s">
        <v>80</v>
      </c>
      <c r="G18" s="18" t="s">
        <v>24</v>
      </c>
      <c r="H18" s="10">
        <v>0.5</v>
      </c>
      <c r="I18" t="s">
        <v>25</v>
      </c>
      <c r="J18" s="18" t="s">
        <v>71</v>
      </c>
      <c r="K18">
        <f>(K12*K19+K15*K20)/(K12+K15)</f>
        <v>18</v>
      </c>
      <c r="L18" t="s">
        <v>74</v>
      </c>
      <c r="M18" s="18" t="s">
        <v>76</v>
      </c>
      <c r="N18" s="10">
        <v>0</v>
      </c>
      <c r="O18" s="2"/>
      <c r="P18" s="18" t="s">
        <v>76</v>
      </c>
      <c r="Q18" s="10">
        <v>0.33</v>
      </c>
      <c r="R18" s="2"/>
      <c r="S18" s="18"/>
      <c r="T18" s="10"/>
      <c r="V18" s="59" t="s">
        <v>177</v>
      </c>
      <c r="W18" s="51">
        <f>(W12*W19+W15*W20)/(W11)</f>
        <v>18.5</v>
      </c>
      <c r="X18" s="51" t="s">
        <v>74</v>
      </c>
      <c r="Y18" s="36"/>
      <c r="Z18" s="34" t="s">
        <v>84</v>
      </c>
      <c r="AA18" s="35" t="s">
        <v>67</v>
      </c>
      <c r="AB18" s="36"/>
      <c r="AC18" s="34" t="s">
        <v>84</v>
      </c>
      <c r="AD18" s="35" t="s">
        <v>125</v>
      </c>
      <c r="AE18" s="37" t="s">
        <v>53</v>
      </c>
      <c r="AF18" s="37" t="s">
        <v>128</v>
      </c>
      <c r="AG18" s="39" t="s">
        <v>67</v>
      </c>
      <c r="AH18" s="37" t="s">
        <v>53</v>
      </c>
      <c r="AI18" s="37" t="s">
        <v>128</v>
      </c>
      <c r="AJ18" s="39" t="s">
        <v>125</v>
      </c>
      <c r="AK18" s="38" t="s">
        <v>52</v>
      </c>
      <c r="AL18" s="38" t="s">
        <v>128</v>
      </c>
      <c r="AM18" s="40" t="s">
        <v>67</v>
      </c>
      <c r="AN18" s="38" t="s">
        <v>52</v>
      </c>
      <c r="AO18" s="38" t="s">
        <v>128</v>
      </c>
      <c r="AP18" s="40" t="s">
        <v>125</v>
      </c>
      <c r="AQ18" s="74" t="s">
        <v>253</v>
      </c>
      <c r="AR18" s="73" t="s">
        <v>128</v>
      </c>
      <c r="AS18" s="75" t="s">
        <v>67</v>
      </c>
      <c r="AT18" s="74" t="s">
        <v>253</v>
      </c>
      <c r="AU18" s="73" t="s">
        <v>128</v>
      </c>
      <c r="AV18" s="75" t="s">
        <v>125</v>
      </c>
      <c r="AW18" s="64"/>
      <c r="AX18" s="64"/>
      <c r="AY18" s="64"/>
    </row>
    <row r="19" spans="1:51" ht="12.75">
      <c r="A19" t="s">
        <v>34</v>
      </c>
      <c r="B19" s="1">
        <f>(B5)/((B13/B14)*B7*B8*B9*B10)</f>
        <v>0.0004600874166091557</v>
      </c>
      <c r="C19" t="s">
        <v>110</v>
      </c>
      <c r="G19" s="18" t="s">
        <v>39</v>
      </c>
      <c r="H19">
        <v>1</v>
      </c>
      <c r="I19" t="s">
        <v>41</v>
      </c>
      <c r="J19" s="18" t="s">
        <v>72</v>
      </c>
      <c r="K19" s="20">
        <v>10</v>
      </c>
      <c r="L19" s="20" t="s">
        <v>74</v>
      </c>
      <c r="M19" s="18" t="s">
        <v>166</v>
      </c>
      <c r="N19" s="10">
        <v>8</v>
      </c>
      <c r="O19" s="2"/>
      <c r="P19" s="18" t="s">
        <v>166</v>
      </c>
      <c r="Q19" s="10">
        <v>8</v>
      </c>
      <c r="R19" s="2"/>
      <c r="S19" s="18" t="s">
        <v>166</v>
      </c>
      <c r="T19" s="10">
        <v>8</v>
      </c>
      <c r="U19" s="20"/>
      <c r="V19" s="59" t="s">
        <v>178</v>
      </c>
      <c r="W19" s="61">
        <v>10</v>
      </c>
      <c r="X19" s="61" t="s">
        <v>74</v>
      </c>
      <c r="Y19" s="34" t="s">
        <v>116</v>
      </c>
      <c r="Z19" s="36">
        <f>(Z21*Z22*Z23)/((1-EXP(-Z23*Z22))*Z25*Z30*(Z24/365)*Z28*((Z29)+(Z31*Z26)))</f>
        <v>30084.142996376664</v>
      </c>
      <c r="AA19" s="35" t="s">
        <v>8</v>
      </c>
      <c r="AB19" s="34" t="s">
        <v>116</v>
      </c>
      <c r="AC19" s="36">
        <f>(AC21*AC22*AC23)/((1-EXP(-AC23*AC22))*AC25*AC30*(AC24/365)*AC28*((AC29)+(AC31*AC26)))</f>
        <v>19.072609044988354</v>
      </c>
      <c r="AD19" s="35" t="s">
        <v>8</v>
      </c>
      <c r="AE19" s="37" t="s">
        <v>116</v>
      </c>
      <c r="AF19" s="41">
        <f>(AF21*AF22*AF23)/((1-EXP(-AF23*AF22))*AF25*AF30*(AF24/365)*AF28*(AF31/24)*AF26)</f>
        <v>131088.943157167</v>
      </c>
      <c r="AG19" s="39" t="s">
        <v>8</v>
      </c>
      <c r="AH19" s="37" t="s">
        <v>116</v>
      </c>
      <c r="AI19" s="41">
        <f>(AI21*AI22*AI23)/((1-EXP(-AI23*AI22))*AI25*AI30*(AI24/365)*AI28*(AI31/24)*AI26)</f>
        <v>83.10717587196928</v>
      </c>
      <c r="AJ19" s="39" t="s">
        <v>8</v>
      </c>
      <c r="AK19" s="38" t="s">
        <v>116</v>
      </c>
      <c r="AL19" s="50">
        <f>(AL21*AL22*AL23)/((1-EXP(-AL23*AL22))*AL25*AL30*(AL24/365)*AL28*(AL31/24)*AL27)</f>
        <v>58261.752514296444</v>
      </c>
      <c r="AM19" s="40" t="s">
        <v>8</v>
      </c>
      <c r="AN19" s="38" t="s">
        <v>116</v>
      </c>
      <c r="AO19" s="50">
        <f>(AO21*AO22*AO23)/((1-EXP(-AO23*AO22))*AO25*AO30*(AO24/365)*AO28*(AO31/24)*AO27)</f>
        <v>36.936522609764125</v>
      </c>
      <c r="AP19" s="40" t="s">
        <v>8</v>
      </c>
      <c r="AQ19" s="73"/>
      <c r="AR19" s="86">
        <f>(AR21*AR22*AR23)/((1-EXP(-AR23*AR22))*AR25*AR30*(AR24/365)*AR28*(AR31/24)*AR27)</f>
        <v>52435.5772628668</v>
      </c>
      <c r="AS19" s="75" t="s">
        <v>8</v>
      </c>
      <c r="AT19" s="73"/>
      <c r="AU19" s="86">
        <f>(AU21*AU22*AU23)/((1-EXP(-AU23*AU22))*AU25*AU30*(AU24/365)*AU28*(AU31/24)*AU27)</f>
        <v>33.24287034878771</v>
      </c>
      <c r="AV19" s="75" t="s">
        <v>8</v>
      </c>
      <c r="AW19" s="64"/>
      <c r="AX19" s="64"/>
      <c r="AY19" s="64"/>
    </row>
    <row r="20" spans="1:51" ht="12.75">
      <c r="A20" t="s">
        <v>111</v>
      </c>
      <c r="B20" s="1">
        <f>(B5)/((B13/B14)*B7*B8*B17*(1/365)*B18)</f>
        <v>1336.9963369963368</v>
      </c>
      <c r="C20" t="s">
        <v>110</v>
      </c>
      <c r="D20" s="13" t="s">
        <v>11</v>
      </c>
      <c r="E20" s="4" t="s">
        <v>53</v>
      </c>
      <c r="F20" s="4" t="s">
        <v>103</v>
      </c>
      <c r="G20" s="18" t="s">
        <v>40</v>
      </c>
      <c r="H20">
        <v>1</v>
      </c>
      <c r="I20" t="s">
        <v>41</v>
      </c>
      <c r="J20" s="18" t="s">
        <v>73</v>
      </c>
      <c r="K20" s="20">
        <v>20</v>
      </c>
      <c r="L20" s="20" t="s">
        <v>74</v>
      </c>
      <c r="M20" s="18" t="s">
        <v>163</v>
      </c>
      <c r="N20" s="21">
        <f>1/24</f>
        <v>0.041666666666666664</v>
      </c>
      <c r="P20" s="18" t="s">
        <v>163</v>
      </c>
      <c r="Q20" s="21">
        <f>1/24</f>
        <v>0.041666666666666664</v>
      </c>
      <c r="S20" s="18" t="s">
        <v>163</v>
      </c>
      <c r="T20" s="21">
        <f>1/24</f>
        <v>0.041666666666666664</v>
      </c>
      <c r="V20" s="59" t="s">
        <v>179</v>
      </c>
      <c r="W20" s="61">
        <v>20</v>
      </c>
      <c r="X20" s="61" t="s">
        <v>74</v>
      </c>
      <c r="Y20" s="34" t="s">
        <v>115</v>
      </c>
      <c r="Z20" s="36"/>
      <c r="AA20" s="35"/>
      <c r="AB20" s="34" t="s">
        <v>115</v>
      </c>
      <c r="AC20" s="36"/>
      <c r="AD20" s="35"/>
      <c r="AE20" s="37" t="s">
        <v>115</v>
      </c>
      <c r="AF20" s="41"/>
      <c r="AG20" s="39"/>
      <c r="AH20" s="37" t="s">
        <v>115</v>
      </c>
      <c r="AI20" s="41"/>
      <c r="AJ20" s="39"/>
      <c r="AK20" s="38" t="s">
        <v>115</v>
      </c>
      <c r="AL20" s="42"/>
      <c r="AM20" s="40"/>
      <c r="AN20" s="38" t="s">
        <v>115</v>
      </c>
      <c r="AO20" s="42"/>
      <c r="AP20" s="40"/>
      <c r="AQ20" s="73" t="s">
        <v>115</v>
      </c>
      <c r="AR20" s="76"/>
      <c r="AS20" s="75"/>
      <c r="AT20" s="73" t="s">
        <v>115</v>
      </c>
      <c r="AU20" s="76"/>
      <c r="AV20" s="75"/>
      <c r="AW20" s="64"/>
      <c r="AX20" s="64"/>
      <c r="AY20" s="64"/>
    </row>
    <row r="21" spans="1:51" ht="14.25">
      <c r="A21" t="s">
        <v>34</v>
      </c>
      <c r="B21" s="1">
        <f>(B5*B8*B6)/((B13/B14)*B7*B8*(1-EXP(-B6*B8))*B9*B10)</f>
        <v>0.00046308215396156184</v>
      </c>
      <c r="C21" t="s">
        <v>80</v>
      </c>
      <c r="D21" s="4" t="s">
        <v>10</v>
      </c>
      <c r="E21" s="4" t="s">
        <v>32</v>
      </c>
      <c r="F21" s="4" t="s">
        <v>93</v>
      </c>
      <c r="H21">
        <f>1/1000</f>
        <v>0.001</v>
      </c>
      <c r="I21" t="s">
        <v>35</v>
      </c>
      <c r="J21" s="18" t="s">
        <v>78</v>
      </c>
      <c r="K21" s="20">
        <v>0.4</v>
      </c>
      <c r="L21" s="20"/>
      <c r="M21" s="21" t="s">
        <v>60</v>
      </c>
      <c r="N21" s="21">
        <v>25</v>
      </c>
      <c r="O21" s="21" t="s">
        <v>68</v>
      </c>
      <c r="P21" s="21" t="s">
        <v>60</v>
      </c>
      <c r="Q21" s="21">
        <v>25</v>
      </c>
      <c r="R21" s="21" t="s">
        <v>68</v>
      </c>
      <c r="S21" s="21" t="s">
        <v>60</v>
      </c>
      <c r="T21" s="21">
        <v>25</v>
      </c>
      <c r="U21" s="21" t="s">
        <v>68</v>
      </c>
      <c r="V21" s="59" t="s">
        <v>180</v>
      </c>
      <c r="W21" s="61">
        <v>0.4</v>
      </c>
      <c r="X21" s="61"/>
      <c r="Y21" t="s">
        <v>0</v>
      </c>
      <c r="Z21" s="1">
        <v>1E-06</v>
      </c>
      <c r="AB21" t="s">
        <v>0</v>
      </c>
      <c r="AC21" s="1">
        <v>1E-06</v>
      </c>
      <c r="AE21" t="s">
        <v>0</v>
      </c>
      <c r="AF21" s="1">
        <v>1E-06</v>
      </c>
      <c r="AH21" t="s">
        <v>0</v>
      </c>
      <c r="AI21" s="1">
        <v>1E-06</v>
      </c>
      <c r="AK21" t="s">
        <v>0</v>
      </c>
      <c r="AL21" s="1">
        <v>1E-06</v>
      </c>
      <c r="AN21" t="s">
        <v>0</v>
      </c>
      <c r="AO21" s="1">
        <v>1E-06</v>
      </c>
      <c r="AQ21" t="s">
        <v>0</v>
      </c>
      <c r="AR21" s="1">
        <v>1E-06</v>
      </c>
      <c r="AT21" t="s">
        <v>0</v>
      </c>
      <c r="AU21" s="1">
        <v>1E-06</v>
      </c>
      <c r="AW21" s="66" t="s">
        <v>32</v>
      </c>
      <c r="AX21" s="66" t="s">
        <v>103</v>
      </c>
      <c r="AY21" s="66" t="s">
        <v>138</v>
      </c>
    </row>
    <row r="22" spans="1:51" ht="14.25">
      <c r="A22" t="s">
        <v>111</v>
      </c>
      <c r="B22" s="1">
        <f>(B5*B8*B6)/((B13/B14)*B7*B8*(1-EXP(-B6*B8))*B17*(1/365)*B18)</f>
        <v>1345.6989285602233</v>
      </c>
      <c r="C22" t="s">
        <v>80</v>
      </c>
      <c r="D22" s="4" t="s">
        <v>80</v>
      </c>
      <c r="E22" s="6">
        <f>1/((1/E36)+(1/E37))</f>
        <v>0.0006994241121650083</v>
      </c>
      <c r="F22" s="5" t="s">
        <v>8</v>
      </c>
      <c r="H22">
        <v>1000</v>
      </c>
      <c r="I22" t="s">
        <v>42</v>
      </c>
      <c r="J22" s="18" t="s">
        <v>77</v>
      </c>
      <c r="K22" s="20">
        <v>0.928</v>
      </c>
      <c r="L22" s="20"/>
      <c r="M22" s="21" t="s">
        <v>69</v>
      </c>
      <c r="N22" s="10">
        <v>0.000433</v>
      </c>
      <c r="P22" s="21" t="s">
        <v>69</v>
      </c>
      <c r="Q22" s="10">
        <v>0.000433</v>
      </c>
      <c r="S22" s="21" t="s">
        <v>69</v>
      </c>
      <c r="T22" s="10">
        <f>Q22</f>
        <v>0.000433</v>
      </c>
      <c r="V22" s="59" t="s">
        <v>77</v>
      </c>
      <c r="W22" s="61">
        <v>0.9</v>
      </c>
      <c r="X22" s="61"/>
      <c r="Y22" t="s">
        <v>117</v>
      </c>
      <c r="Z22">
        <v>30</v>
      </c>
      <c r="AA22" t="s">
        <v>5</v>
      </c>
      <c r="AB22" t="s">
        <v>117</v>
      </c>
      <c r="AC22">
        <v>30</v>
      </c>
      <c r="AD22" t="s">
        <v>5</v>
      </c>
      <c r="AE22" t="s">
        <v>117</v>
      </c>
      <c r="AF22">
        <v>25</v>
      </c>
      <c r="AG22" t="s">
        <v>5</v>
      </c>
      <c r="AH22" t="s">
        <v>117</v>
      </c>
      <c r="AI22">
        <v>25</v>
      </c>
      <c r="AJ22" t="s">
        <v>5</v>
      </c>
      <c r="AK22" t="s">
        <v>117</v>
      </c>
      <c r="AL22">
        <v>25</v>
      </c>
      <c r="AM22" t="s">
        <v>5</v>
      </c>
      <c r="AN22" t="s">
        <v>117</v>
      </c>
      <c r="AO22">
        <v>25</v>
      </c>
      <c r="AP22" t="s">
        <v>5</v>
      </c>
      <c r="AQ22" t="s">
        <v>117</v>
      </c>
      <c r="AR22">
        <v>25</v>
      </c>
      <c r="AS22" t="s">
        <v>5</v>
      </c>
      <c r="AT22" t="s">
        <v>117</v>
      </c>
      <c r="AU22">
        <v>25</v>
      </c>
      <c r="AV22" t="s">
        <v>5</v>
      </c>
      <c r="AW22" s="66" t="s">
        <v>67</v>
      </c>
      <c r="AX22" s="66" t="s">
        <v>84</v>
      </c>
      <c r="AY22" s="66" t="s">
        <v>136</v>
      </c>
    </row>
    <row r="23" spans="4:51" ht="12.75">
      <c r="D23" s="4" t="s">
        <v>110</v>
      </c>
      <c r="E23" s="6">
        <f>1/((1/E34)+(1/E35))</f>
        <v>0.000695652102096666</v>
      </c>
      <c r="F23" s="5" t="s">
        <v>8</v>
      </c>
      <c r="G23" t="s">
        <v>36</v>
      </c>
      <c r="H23">
        <v>1</v>
      </c>
      <c r="I23" t="s">
        <v>38</v>
      </c>
      <c r="J23" s="18" t="s">
        <v>65</v>
      </c>
      <c r="K23" s="1">
        <f>N14</f>
        <v>2.29E-08</v>
      </c>
      <c r="L23" s="18" t="s">
        <v>66</v>
      </c>
      <c r="N23" s="21">
        <v>365</v>
      </c>
      <c r="O23" t="s">
        <v>79</v>
      </c>
      <c r="Q23" s="21">
        <v>365</v>
      </c>
      <c r="R23" t="s">
        <v>79</v>
      </c>
      <c r="T23" s="21">
        <v>365</v>
      </c>
      <c r="U23" t="s">
        <v>79</v>
      </c>
      <c r="V23" s="59" t="s">
        <v>181</v>
      </c>
      <c r="W23" s="52">
        <f>T14</f>
        <v>2.29E-08</v>
      </c>
      <c r="X23" s="59" t="s">
        <v>182</v>
      </c>
      <c r="Y23" t="s">
        <v>69</v>
      </c>
      <c r="Z23" s="10">
        <f>Z7</f>
        <v>0.000433</v>
      </c>
      <c r="AB23" t="s">
        <v>69</v>
      </c>
      <c r="AC23" s="10">
        <f>Z7</f>
        <v>0.000433</v>
      </c>
      <c r="AE23" t="s">
        <v>69</v>
      </c>
      <c r="AF23" s="10">
        <f>AC23</f>
        <v>0.000433</v>
      </c>
      <c r="AH23" t="s">
        <v>69</v>
      </c>
      <c r="AI23" s="10">
        <f>AF23</f>
        <v>0.000433</v>
      </c>
      <c r="AK23" t="s">
        <v>69</v>
      </c>
      <c r="AL23" s="10">
        <f>AI23</f>
        <v>0.000433</v>
      </c>
      <c r="AN23" t="s">
        <v>69</v>
      </c>
      <c r="AO23" s="10">
        <f>AL7</f>
        <v>0.000433</v>
      </c>
      <c r="AQ23" s="64" t="s">
        <v>69</v>
      </c>
      <c r="AR23" s="69">
        <f>AR7</f>
        <v>0.000433</v>
      </c>
      <c r="AS23" s="64"/>
      <c r="AT23" s="64" t="s">
        <v>69</v>
      </c>
      <c r="AU23" s="69">
        <f>AR7</f>
        <v>0.000433</v>
      </c>
      <c r="AV23" s="64"/>
      <c r="AW23" s="87">
        <f>(AX25*AX32*AX37*AX31*10^-3*AX30*AX27)/(AX29*AX40*(1-EXP(-AX27*AX30)))</f>
        <v>1.2244841272434972</v>
      </c>
      <c r="AX23" s="68" t="s">
        <v>8</v>
      </c>
      <c r="AY23" s="66" t="s">
        <v>134</v>
      </c>
    </row>
    <row r="24" spans="1:51" ht="12.75">
      <c r="A24" s="7" t="s">
        <v>9</v>
      </c>
      <c r="B24" s="7"/>
      <c r="C24" s="7" t="s">
        <v>103</v>
      </c>
      <c r="D24" t="s">
        <v>0</v>
      </c>
      <c r="E24" s="1">
        <v>1E-06</v>
      </c>
      <c r="G24" t="s">
        <v>37</v>
      </c>
      <c r="H24">
        <v>0.58</v>
      </c>
      <c r="I24" t="s">
        <v>38</v>
      </c>
      <c r="J24" s="90" t="s">
        <v>29</v>
      </c>
      <c r="K24" s="1">
        <v>1360000000</v>
      </c>
      <c r="L24" s="18" t="s">
        <v>7</v>
      </c>
      <c r="M24" s="2" t="s">
        <v>80</v>
      </c>
      <c r="N24">
        <f>(N21*N22)/(1-EXP(-N22*N21))</f>
        <v>1.005422265033015</v>
      </c>
      <c r="P24" s="2" t="s">
        <v>80</v>
      </c>
      <c r="Q24">
        <f>(Q21*Q22)/(1-EXP(-Q22*Q21))</f>
        <v>1.005422265033015</v>
      </c>
      <c r="S24" s="2" t="s">
        <v>80</v>
      </c>
      <c r="T24">
        <f>(T21*T22)/(1-EXP(-T22*T21))</f>
        <v>1.005422265033015</v>
      </c>
      <c r="V24" s="89" t="s">
        <v>29</v>
      </c>
      <c r="W24" s="33">
        <f>T15</f>
        <v>8</v>
      </c>
      <c r="X24" s="59" t="s">
        <v>7</v>
      </c>
      <c r="Y24" t="s">
        <v>1</v>
      </c>
      <c r="Z24">
        <v>350</v>
      </c>
      <c r="AA24" t="s">
        <v>6</v>
      </c>
      <c r="AB24" t="s">
        <v>1</v>
      </c>
      <c r="AC24">
        <v>350</v>
      </c>
      <c r="AD24" t="s">
        <v>6</v>
      </c>
      <c r="AE24" t="s">
        <v>1</v>
      </c>
      <c r="AF24">
        <v>250</v>
      </c>
      <c r="AG24" t="s">
        <v>6</v>
      </c>
      <c r="AH24" t="s">
        <v>1</v>
      </c>
      <c r="AI24">
        <v>250</v>
      </c>
      <c r="AJ24" t="s">
        <v>6</v>
      </c>
      <c r="AK24" t="s">
        <v>1</v>
      </c>
      <c r="AL24">
        <v>225</v>
      </c>
      <c r="AM24" t="s">
        <v>6</v>
      </c>
      <c r="AN24" t="s">
        <v>1</v>
      </c>
      <c r="AO24">
        <v>225</v>
      </c>
      <c r="AP24" t="s">
        <v>6</v>
      </c>
      <c r="AQ24" s="64" t="s">
        <v>1</v>
      </c>
      <c r="AR24" s="64">
        <v>250</v>
      </c>
      <c r="AS24" s="64" t="s">
        <v>6</v>
      </c>
      <c r="AT24" s="64" t="s">
        <v>1</v>
      </c>
      <c r="AU24" s="64">
        <v>250</v>
      </c>
      <c r="AV24" s="64" t="s">
        <v>6</v>
      </c>
      <c r="AW24" s="87">
        <f>(AX26*AX32*AX37*AX31*10^-3*AX30*AX27)/(AX29*AX40*(1-EXP(-AX27*AX30)))</f>
        <v>7.461635997808687E-05</v>
      </c>
      <c r="AX24" s="68" t="s">
        <v>8</v>
      </c>
      <c r="AY24" s="66" t="s">
        <v>135</v>
      </c>
    </row>
    <row r="25" spans="1:51" ht="12.75">
      <c r="A25" s="7" t="s">
        <v>44</v>
      </c>
      <c r="B25" s="7" t="s">
        <v>32</v>
      </c>
      <c r="C25" s="7" t="s">
        <v>67</v>
      </c>
      <c r="D25" s="18" t="s">
        <v>69</v>
      </c>
      <c r="E25" s="1">
        <v>0.000433</v>
      </c>
      <c r="G25" s="18" t="s">
        <v>49</v>
      </c>
      <c r="H25" s="21">
        <v>24</v>
      </c>
      <c r="I25" s="21" t="s">
        <v>47</v>
      </c>
      <c r="J25" s="18" t="s">
        <v>64</v>
      </c>
      <c r="K25" s="10">
        <f>N16</f>
        <v>1.15E-08</v>
      </c>
      <c r="L25" s="2" t="s">
        <v>63</v>
      </c>
      <c r="N25">
        <v>1000</v>
      </c>
      <c r="O25" t="s">
        <v>83</v>
      </c>
      <c r="Q25">
        <v>1000</v>
      </c>
      <c r="R25" t="s">
        <v>83</v>
      </c>
      <c r="T25">
        <v>1000</v>
      </c>
      <c r="U25" t="s">
        <v>83</v>
      </c>
      <c r="V25" s="59" t="s">
        <v>183</v>
      </c>
      <c r="W25" s="57">
        <f>T16</f>
        <v>1.15E-08</v>
      </c>
      <c r="X25" s="53" t="s">
        <v>170</v>
      </c>
      <c r="Y25" t="s">
        <v>2</v>
      </c>
      <c r="Z25">
        <v>30</v>
      </c>
      <c r="AA25" t="s">
        <v>5</v>
      </c>
      <c r="AB25" t="s">
        <v>2</v>
      </c>
      <c r="AC25">
        <v>30</v>
      </c>
      <c r="AD25" t="s">
        <v>5</v>
      </c>
      <c r="AE25" t="s">
        <v>2</v>
      </c>
      <c r="AF25">
        <v>25</v>
      </c>
      <c r="AG25" t="s">
        <v>5</v>
      </c>
      <c r="AH25" t="s">
        <v>2</v>
      </c>
      <c r="AI25">
        <v>25</v>
      </c>
      <c r="AJ25" t="s">
        <v>5</v>
      </c>
      <c r="AK25" t="s">
        <v>2</v>
      </c>
      <c r="AL25">
        <v>25</v>
      </c>
      <c r="AM25" t="s">
        <v>5</v>
      </c>
      <c r="AN25" t="s">
        <v>2</v>
      </c>
      <c r="AO25">
        <v>25</v>
      </c>
      <c r="AP25" t="s">
        <v>5</v>
      </c>
      <c r="AQ25" t="s">
        <v>2</v>
      </c>
      <c r="AR25">
        <v>25</v>
      </c>
      <c r="AS25" t="s">
        <v>5</v>
      </c>
      <c r="AT25" t="s">
        <v>2</v>
      </c>
      <c r="AU25">
        <v>25</v>
      </c>
      <c r="AV25" t="s">
        <v>5</v>
      </c>
      <c r="AW25" s="71" t="s">
        <v>152</v>
      </c>
      <c r="AX25" s="69">
        <v>15</v>
      </c>
      <c r="AY25" s="70" t="s">
        <v>97</v>
      </c>
    </row>
    <row r="26" spans="1:51" ht="12.75">
      <c r="A26" s="7" t="s">
        <v>44</v>
      </c>
      <c r="B26" s="8">
        <f>B33</f>
        <v>0.0034312615376169203</v>
      </c>
      <c r="C26" s="9"/>
      <c r="D26" t="s">
        <v>1</v>
      </c>
      <c r="E26">
        <v>250</v>
      </c>
      <c r="F26" t="s">
        <v>6</v>
      </c>
      <c r="H26" s="21">
        <v>24</v>
      </c>
      <c r="I26" t="s">
        <v>47</v>
      </c>
      <c r="J26" s="18" t="s">
        <v>120</v>
      </c>
      <c r="K26" s="1">
        <v>0.073</v>
      </c>
      <c r="L26" s="2"/>
      <c r="V26" s="59"/>
      <c r="W26" s="52"/>
      <c r="X26" s="53"/>
      <c r="Y26" t="s">
        <v>118</v>
      </c>
      <c r="Z26">
        <v>0.4</v>
      </c>
      <c r="AB26" t="s">
        <v>118</v>
      </c>
      <c r="AC26">
        <v>0.4</v>
      </c>
      <c r="AE26" t="s">
        <v>118</v>
      </c>
      <c r="AF26">
        <v>0.4</v>
      </c>
      <c r="AH26" t="s">
        <v>118</v>
      </c>
      <c r="AI26">
        <v>0.4</v>
      </c>
      <c r="AK26" t="s">
        <v>118</v>
      </c>
      <c r="AL26">
        <v>0.4</v>
      </c>
      <c r="AN26" t="s">
        <v>118</v>
      </c>
      <c r="AO26">
        <v>0.4</v>
      </c>
      <c r="AQ26" s="64"/>
      <c r="AR26" s="64"/>
      <c r="AS26" s="64"/>
      <c r="AT26" s="64"/>
      <c r="AU26" s="64"/>
      <c r="AV26" s="64"/>
      <c r="AW26" s="65" t="s">
        <v>32</v>
      </c>
      <c r="AX26" s="69">
        <f>H3</f>
        <v>0.0009140546412724005</v>
      </c>
      <c r="AY26" s="70" t="s">
        <v>97</v>
      </c>
    </row>
    <row r="27" spans="1:51" ht="12.75">
      <c r="A27" s="7"/>
      <c r="B27" s="8" t="s">
        <v>84</v>
      </c>
      <c r="C27" s="9"/>
      <c r="D27" t="s">
        <v>2</v>
      </c>
      <c r="E27">
        <v>25</v>
      </c>
      <c r="F27" t="s">
        <v>5</v>
      </c>
      <c r="G27" s="18" t="s">
        <v>33</v>
      </c>
      <c r="H27" s="1">
        <f>H5/(H6*H16*H7*H8)</f>
        <v>0.13742870885728029</v>
      </c>
      <c r="I27" s="18" t="s">
        <v>8</v>
      </c>
      <c r="J27" s="18" t="s">
        <v>122</v>
      </c>
      <c r="K27" s="10">
        <v>0.684</v>
      </c>
      <c r="L27" s="2"/>
      <c r="M27" s="18" t="s">
        <v>33</v>
      </c>
      <c r="N27" s="1">
        <f>(N5/(N8*N10*N7*N9*(1/N6)))*N24</f>
        <v>10.906275417307278</v>
      </c>
      <c r="O27" s="18" t="s">
        <v>8</v>
      </c>
      <c r="P27" s="18" t="s">
        <v>33</v>
      </c>
      <c r="Q27" s="1">
        <f>(Q5/(Q8*Q10*Q7*Q9*(1/Q6)))*Q24</f>
        <v>6.059041898504043</v>
      </c>
      <c r="R27" s="18" t="s">
        <v>8</v>
      </c>
      <c r="S27" s="18" t="s">
        <v>33</v>
      </c>
      <c r="T27" s="1">
        <f>(T5/(T8*T10*T7*T9*(1/T6)))*T24</f>
        <v>5.453137708653639</v>
      </c>
      <c r="U27" s="18" t="s">
        <v>8</v>
      </c>
      <c r="V27" s="59"/>
      <c r="W27" s="57"/>
      <c r="X27" s="53"/>
      <c r="Y27" t="s">
        <v>119</v>
      </c>
      <c r="Z27">
        <v>1</v>
      </c>
      <c r="AB27" t="s">
        <v>119</v>
      </c>
      <c r="AC27">
        <v>1</v>
      </c>
      <c r="AE27" t="s">
        <v>119</v>
      </c>
      <c r="AF27">
        <v>1</v>
      </c>
      <c r="AH27" t="s">
        <v>119</v>
      </c>
      <c r="AI27">
        <v>1</v>
      </c>
      <c r="AK27" t="s">
        <v>119</v>
      </c>
      <c r="AL27">
        <v>1</v>
      </c>
      <c r="AN27" t="s">
        <v>119</v>
      </c>
      <c r="AO27">
        <v>1</v>
      </c>
      <c r="AQ27" s="64" t="s">
        <v>119</v>
      </c>
      <c r="AR27" s="64">
        <v>1</v>
      </c>
      <c r="AS27" s="64"/>
      <c r="AT27" s="64" t="s">
        <v>119</v>
      </c>
      <c r="AU27" s="64">
        <v>1</v>
      </c>
      <c r="AV27" s="64"/>
      <c r="AW27" s="64" t="s">
        <v>69</v>
      </c>
      <c r="AX27" s="69">
        <f>AX7</f>
        <v>0.000433</v>
      </c>
      <c r="AY27" s="64"/>
    </row>
    <row r="28" spans="1:51" ht="12.75">
      <c r="A28" s="18" t="s">
        <v>0</v>
      </c>
      <c r="B28" s="1">
        <v>1E-06</v>
      </c>
      <c r="D28" t="s">
        <v>64</v>
      </c>
      <c r="E28" s="10">
        <v>1.15E-08</v>
      </c>
      <c r="F28" s="2" t="s">
        <v>63</v>
      </c>
      <c r="G28" s="18" t="s">
        <v>34</v>
      </c>
      <c r="H28" s="1">
        <f>H5/(H6*H16*H13*H17*H18)</f>
        <v>0.0009201748332183114</v>
      </c>
      <c r="I28" s="18" t="s">
        <v>8</v>
      </c>
      <c r="J28" s="18" t="s">
        <v>2</v>
      </c>
      <c r="K28" s="21">
        <v>30</v>
      </c>
      <c r="L28" s="2" t="s">
        <v>15</v>
      </c>
      <c r="M28" s="18" t="s">
        <v>34</v>
      </c>
      <c r="N28" s="1">
        <f>(N5/(N16*N11*N7*N9*(1/N15)*N19*N20*N25))*N24</f>
        <v>5.595393474966343E-06</v>
      </c>
      <c r="O28" s="18" t="s">
        <v>8</v>
      </c>
      <c r="P28" s="18" t="s">
        <v>34</v>
      </c>
      <c r="Q28" s="1">
        <f>(Q5/(Q16*Q11*Q7*Q9*(1/Q15)*Q19*Q20*Q25))*Q24</f>
        <v>6.217103861073715E-06</v>
      </c>
      <c r="R28" s="18" t="s">
        <v>8</v>
      </c>
      <c r="S28" s="18" t="s">
        <v>34</v>
      </c>
      <c r="T28" s="1">
        <f>(T5/(T16*T11*T7*T9*(1/T15)*T19*T20*T25))*T24</f>
        <v>5.595393474966343E-06</v>
      </c>
      <c r="U28" s="18" t="s">
        <v>8</v>
      </c>
      <c r="V28" s="59" t="s">
        <v>172</v>
      </c>
      <c r="W28" s="62">
        <v>40</v>
      </c>
      <c r="X28" s="53" t="s">
        <v>15</v>
      </c>
      <c r="Y28" t="s">
        <v>77</v>
      </c>
      <c r="Z28">
        <f>Z12</f>
        <v>0.928</v>
      </c>
      <c r="AB28" t="s">
        <v>77</v>
      </c>
      <c r="AC28">
        <f>Z12</f>
        <v>0.928</v>
      </c>
      <c r="AE28" t="s">
        <v>77</v>
      </c>
      <c r="AF28">
        <f>Z28</f>
        <v>0.928</v>
      </c>
      <c r="AH28" t="s">
        <v>77</v>
      </c>
      <c r="AI28">
        <f>AC28</f>
        <v>0.928</v>
      </c>
      <c r="AK28" t="s">
        <v>77</v>
      </c>
      <c r="AL28">
        <f>AF28</f>
        <v>0.928</v>
      </c>
      <c r="AN28" t="s">
        <v>77</v>
      </c>
      <c r="AO28">
        <f>AI28</f>
        <v>0.928</v>
      </c>
      <c r="AQ28" s="64" t="s">
        <v>77</v>
      </c>
      <c r="AR28" s="64">
        <f>AR12</f>
        <v>0.928</v>
      </c>
      <c r="AS28" s="64"/>
      <c r="AT28" s="64" t="s">
        <v>77</v>
      </c>
      <c r="AU28" s="64">
        <f>AR12</f>
        <v>0.928</v>
      </c>
      <c r="AV28" s="64"/>
      <c r="AW28" s="65" t="s">
        <v>148</v>
      </c>
      <c r="AX28" s="65">
        <v>0.3</v>
      </c>
      <c r="AY28" s="64"/>
    </row>
    <row r="29" spans="1:51" ht="12.75">
      <c r="A29" s="18" t="s">
        <v>1</v>
      </c>
      <c r="B29" s="21">
        <v>350</v>
      </c>
      <c r="C29" s="18" t="s">
        <v>14</v>
      </c>
      <c r="D29" t="s">
        <v>51</v>
      </c>
      <c r="E29" s="21">
        <v>8</v>
      </c>
      <c r="F29" s="2" t="s">
        <v>47</v>
      </c>
      <c r="J29" s="18" t="s">
        <v>3</v>
      </c>
      <c r="K29" s="10">
        <v>24</v>
      </c>
      <c r="L29" s="2" t="s">
        <v>54</v>
      </c>
      <c r="M29" s="18" t="s">
        <v>75</v>
      </c>
      <c r="N29" s="1">
        <f>(N5/(N14*N13*N19*N20*N12*N7*(1/N23)*N9))*N24</f>
        <v>21.36705250288503</v>
      </c>
      <c r="O29" s="18" t="s">
        <v>8</v>
      </c>
      <c r="P29" s="18" t="s">
        <v>75</v>
      </c>
      <c r="Q29" s="1">
        <f>(Q5/(Q14*Q13*Q19*Q20*Q12*Q7*(1/Q23)*Q9))*Q24</f>
        <v>9.496467779060014</v>
      </c>
      <c r="R29" s="18" t="s">
        <v>8</v>
      </c>
      <c r="S29" s="18" t="s">
        <v>75</v>
      </c>
      <c r="T29" s="1">
        <f>(T5/(T14*T13*T19*T20*T12*T7*(1/T23)*T9))*T24</f>
        <v>8.546821001154015</v>
      </c>
      <c r="U29" s="18" t="s">
        <v>8</v>
      </c>
      <c r="V29" s="59" t="s">
        <v>184</v>
      </c>
      <c r="W29" s="57">
        <v>0.507</v>
      </c>
      <c r="X29" s="53"/>
      <c r="Y29" t="s">
        <v>120</v>
      </c>
      <c r="Z29">
        <v>0.073</v>
      </c>
      <c r="AA29" t="s">
        <v>127</v>
      </c>
      <c r="AB29" t="s">
        <v>120</v>
      </c>
      <c r="AC29">
        <v>0.073</v>
      </c>
      <c r="AD29" t="s">
        <v>127</v>
      </c>
      <c r="AE29" t="s">
        <v>120</v>
      </c>
      <c r="AF29">
        <v>0</v>
      </c>
      <c r="AG29" t="s">
        <v>127</v>
      </c>
      <c r="AH29" t="s">
        <v>120</v>
      </c>
      <c r="AI29">
        <v>0</v>
      </c>
      <c r="AJ29" t="s">
        <v>127</v>
      </c>
      <c r="AK29" t="s">
        <v>120</v>
      </c>
      <c r="AL29">
        <v>0.33</v>
      </c>
      <c r="AM29" t="s">
        <v>127</v>
      </c>
      <c r="AN29" t="s">
        <v>3</v>
      </c>
      <c r="AO29">
        <v>0.33</v>
      </c>
      <c r="AP29" t="s">
        <v>54</v>
      </c>
      <c r="AQ29" s="65" t="s">
        <v>166</v>
      </c>
      <c r="AR29" s="64">
        <v>8</v>
      </c>
      <c r="AS29" s="65" t="s">
        <v>254</v>
      </c>
      <c r="AT29" s="65" t="s">
        <v>166</v>
      </c>
      <c r="AU29" s="64">
        <v>8</v>
      </c>
      <c r="AV29" s="65" t="s">
        <v>254</v>
      </c>
      <c r="AW29" s="65" t="s">
        <v>149</v>
      </c>
      <c r="AX29" s="69">
        <v>1.5</v>
      </c>
      <c r="AY29" s="64"/>
    </row>
    <row r="30" spans="1:51" ht="12.75">
      <c r="A30" s="18" t="s">
        <v>16</v>
      </c>
      <c r="B30" s="10">
        <v>5.14E-10</v>
      </c>
      <c r="C30" s="18" t="s">
        <v>17</v>
      </c>
      <c r="E30" s="21">
        <v>24</v>
      </c>
      <c r="F30" s="2" t="s">
        <v>47</v>
      </c>
      <c r="J30" s="18" t="s">
        <v>163</v>
      </c>
      <c r="K30" s="10">
        <f>1/24</f>
        <v>0.041666666666666664</v>
      </c>
      <c r="L30" s="2" t="s">
        <v>164</v>
      </c>
      <c r="U30" s="2"/>
      <c r="V30" s="59" t="s">
        <v>185</v>
      </c>
      <c r="W30" s="57">
        <v>0.417</v>
      </c>
      <c r="X30" s="53"/>
      <c r="Y30" t="s">
        <v>65</v>
      </c>
      <c r="Z30" s="10">
        <v>3.62E-12</v>
      </c>
      <c r="AA30" s="2" t="s">
        <v>121</v>
      </c>
      <c r="AB30" t="s">
        <v>65</v>
      </c>
      <c r="AC30" s="10">
        <v>5.71E-09</v>
      </c>
      <c r="AD30" s="2" t="s">
        <v>121</v>
      </c>
      <c r="AE30" t="s">
        <v>65</v>
      </c>
      <c r="AF30" s="10">
        <f>Z30</f>
        <v>3.62E-12</v>
      </c>
      <c r="AG30" s="2" t="s">
        <v>121</v>
      </c>
      <c r="AH30" t="s">
        <v>65</v>
      </c>
      <c r="AI30" s="10">
        <f>AC30</f>
        <v>5.71E-09</v>
      </c>
      <c r="AJ30" s="2" t="s">
        <v>121</v>
      </c>
      <c r="AK30" t="s">
        <v>65</v>
      </c>
      <c r="AL30" s="10">
        <f>AF30</f>
        <v>3.62E-12</v>
      </c>
      <c r="AM30" s="2" t="s">
        <v>121</v>
      </c>
      <c r="AN30" t="s">
        <v>65</v>
      </c>
      <c r="AO30" s="10">
        <f>AI30</f>
        <v>5.71E-09</v>
      </c>
      <c r="AP30" s="2" t="s">
        <v>121</v>
      </c>
      <c r="AQ30" s="64" t="s">
        <v>181</v>
      </c>
      <c r="AR30" s="69">
        <f>AL30</f>
        <v>3.62E-12</v>
      </c>
      <c r="AS30" s="65" t="s">
        <v>255</v>
      </c>
      <c r="AT30" s="64" t="s">
        <v>181</v>
      </c>
      <c r="AU30" s="69">
        <f>AO30</f>
        <v>5.71E-09</v>
      </c>
      <c r="AV30" s="65" t="s">
        <v>255</v>
      </c>
      <c r="AW30" s="65" t="s">
        <v>117</v>
      </c>
      <c r="AX30" s="65">
        <v>30</v>
      </c>
      <c r="AY30" s="64"/>
    </row>
    <row r="31" spans="1:51" ht="12.75">
      <c r="A31" s="18" t="s">
        <v>2</v>
      </c>
      <c r="B31" s="19">
        <v>30</v>
      </c>
      <c r="D31" t="s">
        <v>101</v>
      </c>
      <c r="E31" s="1">
        <v>60</v>
      </c>
      <c r="F31" s="2" t="s">
        <v>74</v>
      </c>
      <c r="J31" s="18"/>
      <c r="K31" s="21"/>
      <c r="V31" s="59"/>
      <c r="W31" s="62"/>
      <c r="X31" s="51"/>
      <c r="Y31" t="s">
        <v>122</v>
      </c>
      <c r="Z31">
        <v>0.683</v>
      </c>
      <c r="AA31" t="s">
        <v>127</v>
      </c>
      <c r="AB31" t="s">
        <v>122</v>
      </c>
      <c r="AC31">
        <v>0.683</v>
      </c>
      <c r="AD31" t="s">
        <v>127</v>
      </c>
      <c r="AE31" s="2" t="s">
        <v>166</v>
      </c>
      <c r="AF31">
        <v>8</v>
      </c>
      <c r="AG31" s="2" t="s">
        <v>54</v>
      </c>
      <c r="AH31" s="2" t="s">
        <v>166</v>
      </c>
      <c r="AI31">
        <v>8</v>
      </c>
      <c r="AJ31" s="2" t="s">
        <v>54</v>
      </c>
      <c r="AK31" s="2" t="s">
        <v>166</v>
      </c>
      <c r="AL31">
        <v>8</v>
      </c>
      <c r="AM31" s="2" t="s">
        <v>54</v>
      </c>
      <c r="AN31" s="2" t="s">
        <v>166</v>
      </c>
      <c r="AO31">
        <v>8</v>
      </c>
      <c r="AP31" s="2" t="s">
        <v>54</v>
      </c>
      <c r="AQ31" s="2" t="s">
        <v>166</v>
      </c>
      <c r="AR31">
        <v>8</v>
      </c>
      <c r="AS31" s="2" t="s">
        <v>54</v>
      </c>
      <c r="AT31" s="2" t="s">
        <v>166</v>
      </c>
      <c r="AU31">
        <v>8</v>
      </c>
      <c r="AV31" s="2" t="s">
        <v>54</v>
      </c>
      <c r="AW31" s="65" t="s">
        <v>256</v>
      </c>
      <c r="AX31" s="69">
        <v>70</v>
      </c>
      <c r="AY31" s="64"/>
    </row>
    <row r="32" spans="1:51" ht="12.75">
      <c r="A32" s="18" t="s">
        <v>45</v>
      </c>
      <c r="B32" s="1">
        <v>54</v>
      </c>
      <c r="C32" t="s">
        <v>46</v>
      </c>
      <c r="D32" s="17" t="s">
        <v>108</v>
      </c>
      <c r="E32" s="1">
        <v>2.6E-11</v>
      </c>
      <c r="F32" s="17" t="s">
        <v>109</v>
      </c>
      <c r="J32" s="18" t="s">
        <v>48</v>
      </c>
      <c r="K32" s="21">
        <v>24</v>
      </c>
      <c r="L32" s="21" t="s">
        <v>47</v>
      </c>
      <c r="M32" s="18"/>
      <c r="N32" s="21"/>
      <c r="O32" s="21"/>
      <c r="P32" s="18"/>
      <c r="Q32" s="21"/>
      <c r="R32" s="21"/>
      <c r="S32" s="18"/>
      <c r="T32" s="21"/>
      <c r="U32" s="21"/>
      <c r="V32" s="59" t="s">
        <v>186</v>
      </c>
      <c r="W32" s="62">
        <v>24</v>
      </c>
      <c r="X32" s="62" t="s">
        <v>47</v>
      </c>
      <c r="AW32" s="65" t="s">
        <v>150</v>
      </c>
      <c r="AX32" s="69">
        <f>1+(AX34*AX35*AX36/AX37*AX38)</f>
        <v>1.7379506112711414</v>
      </c>
      <c r="AY32" s="64"/>
    </row>
    <row r="33" spans="1:51" ht="12.75">
      <c r="A33" s="18" t="s">
        <v>33</v>
      </c>
      <c r="B33" s="1">
        <f>B28/(B30*B29*B31*B32)</f>
        <v>0.0034312615376169203</v>
      </c>
      <c r="C33" s="2"/>
      <c r="D33" s="17" t="s">
        <v>78</v>
      </c>
      <c r="E33" s="17">
        <v>1</v>
      </c>
      <c r="K33" s="21">
        <v>24</v>
      </c>
      <c r="L33" t="s">
        <v>47</v>
      </c>
      <c r="N33" s="21"/>
      <c r="Q33" s="21"/>
      <c r="T33" s="21"/>
      <c r="V33" s="51"/>
      <c r="W33" s="62">
        <f>1/24</f>
        <v>0.041666666666666664</v>
      </c>
      <c r="X33" s="51" t="s">
        <v>261</v>
      </c>
      <c r="Y33" s="34" t="s">
        <v>112</v>
      </c>
      <c r="Z33" s="34" t="s">
        <v>126</v>
      </c>
      <c r="AA33" s="34" t="s">
        <v>103</v>
      </c>
      <c r="AE33" s="37" t="s">
        <v>112</v>
      </c>
      <c r="AF33" s="37" t="s">
        <v>126</v>
      </c>
      <c r="AG33" s="37" t="s">
        <v>103</v>
      </c>
      <c r="AK33" s="38" t="s">
        <v>112</v>
      </c>
      <c r="AL33" s="38" t="s">
        <v>126</v>
      </c>
      <c r="AM33" s="38" t="s">
        <v>103</v>
      </c>
      <c r="AQ33" s="73" t="s">
        <v>112</v>
      </c>
      <c r="AR33" s="73" t="s">
        <v>126</v>
      </c>
      <c r="AS33" s="73" t="s">
        <v>103</v>
      </c>
      <c r="AW33" s="65" t="s">
        <v>151</v>
      </c>
      <c r="AX33" s="65">
        <f>AX13</f>
        <v>3</v>
      </c>
      <c r="AY33" s="64"/>
    </row>
    <row r="34" spans="3:51" ht="12.75">
      <c r="C34" s="2"/>
      <c r="D34" t="s">
        <v>34</v>
      </c>
      <c r="E34" s="1">
        <f>(E24)/((E29/E30)*E26*E27*E28*E31)</f>
        <v>0.0006956521739130435</v>
      </c>
      <c r="F34" t="s">
        <v>110</v>
      </c>
      <c r="J34" s="21" t="s">
        <v>82</v>
      </c>
      <c r="K34" s="21">
        <v>30</v>
      </c>
      <c r="L34" s="21" t="s">
        <v>68</v>
      </c>
      <c r="V34" s="62" t="s">
        <v>187</v>
      </c>
      <c r="W34" s="62">
        <v>40</v>
      </c>
      <c r="X34" s="62" t="s">
        <v>68</v>
      </c>
      <c r="Y34" s="36"/>
      <c r="Z34" s="34" t="s">
        <v>84</v>
      </c>
      <c r="AA34" s="35" t="s">
        <v>67</v>
      </c>
      <c r="AE34" s="37" t="s">
        <v>53</v>
      </c>
      <c r="AF34" s="37" t="s">
        <v>128</v>
      </c>
      <c r="AG34" s="39" t="s">
        <v>67</v>
      </c>
      <c r="AK34" s="38" t="s">
        <v>52</v>
      </c>
      <c r="AL34" s="38" t="s">
        <v>128</v>
      </c>
      <c r="AM34" s="40" t="s">
        <v>67</v>
      </c>
      <c r="AQ34" s="74" t="s">
        <v>253</v>
      </c>
      <c r="AR34" s="73" t="s">
        <v>128</v>
      </c>
      <c r="AS34" s="75" t="s">
        <v>67</v>
      </c>
      <c r="AW34" s="65" t="s">
        <v>24</v>
      </c>
      <c r="AX34" s="72">
        <v>1</v>
      </c>
      <c r="AY34" s="64" t="s">
        <v>147</v>
      </c>
    </row>
    <row r="35" spans="1:51" ht="12.75">
      <c r="A35" s="7" t="s">
        <v>9</v>
      </c>
      <c r="B35" s="7"/>
      <c r="C35" s="7" t="s">
        <v>103</v>
      </c>
      <c r="D35" t="s">
        <v>111</v>
      </c>
      <c r="E35" s="1">
        <f>(E24)/((E29/E30)*E26*E27*E32*(1/365))</f>
        <v>6738.461538461539</v>
      </c>
      <c r="F35" t="s">
        <v>110</v>
      </c>
      <c r="J35" s="21" t="s">
        <v>69</v>
      </c>
      <c r="K35" s="10">
        <f>N22</f>
        <v>0.000433</v>
      </c>
      <c r="V35" s="62" t="s">
        <v>69</v>
      </c>
      <c r="W35" s="62">
        <f>T22</f>
        <v>0.000433</v>
      </c>
      <c r="X35" s="51"/>
      <c r="Y35" s="34" t="s">
        <v>116</v>
      </c>
      <c r="Z35" s="36">
        <f>(Z37*Z38*Z39)/((1-EXP(-Z39*Z38))*Z41*Z46*(Z40/365)*Z44*((Z45)+(Z47*Z42)))</f>
        <v>6.892696053600224</v>
      </c>
      <c r="AA35" s="35" t="s">
        <v>8</v>
      </c>
      <c r="AE35" s="37" t="s">
        <v>116</v>
      </c>
      <c r="AF35" s="41">
        <f>(AF37*AF38*AF39)/((1-EXP(-AF39*AF38))*AF41*AF46*(AF40/365)*AF44*(AF47/24)*AF42)</f>
        <v>30.03430216638889</v>
      </c>
      <c r="AG35" s="39" t="s">
        <v>8</v>
      </c>
      <c r="AK35" s="38" t="s">
        <v>116</v>
      </c>
      <c r="AL35" s="50">
        <f>(AL37*AL38*AL39)/((1-EXP(-AL39*AL38))*AL41*AL46*(AL40/365)*AL44*(AL47/24)*AL43)</f>
        <v>13.348578740617285</v>
      </c>
      <c r="AM35" s="40" t="s">
        <v>8</v>
      </c>
      <c r="AQ35" s="73"/>
      <c r="AR35" s="86">
        <f>(AR37*AR38*AR39)/((1-EXP(-AR39*AR38))*AR41*AR46*(AR40/365)*AR44*(AR47/24)*AR43)</f>
        <v>12.013720866555557</v>
      </c>
      <c r="AS35" s="75" t="s">
        <v>8</v>
      </c>
      <c r="AW35" s="64" t="s">
        <v>140</v>
      </c>
      <c r="AX35" s="72">
        <v>1</v>
      </c>
      <c r="AY35" s="64" t="s">
        <v>146</v>
      </c>
    </row>
    <row r="36" spans="1:51" ht="12.75">
      <c r="A36" s="7" t="s">
        <v>44</v>
      </c>
      <c r="B36" s="7" t="s">
        <v>32</v>
      </c>
      <c r="C36" s="7" t="s">
        <v>97</v>
      </c>
      <c r="D36" t="s">
        <v>34</v>
      </c>
      <c r="E36" s="1">
        <f>(E24*E25*E27)/((E29/E30)*(1-EXP(-E25*E27))*E28*E31*E26*E27)</f>
        <v>0.0006994241843707932</v>
      </c>
      <c r="F36" t="s">
        <v>80</v>
      </c>
      <c r="K36" s="21">
        <v>365</v>
      </c>
      <c r="L36" t="s">
        <v>79</v>
      </c>
      <c r="V36" s="51"/>
      <c r="W36" s="62">
        <v>365</v>
      </c>
      <c r="X36" s="51" t="s">
        <v>79</v>
      </c>
      <c r="Y36" s="34" t="s">
        <v>115</v>
      </c>
      <c r="Z36" s="36"/>
      <c r="AA36" s="35"/>
      <c r="AE36" s="37" t="s">
        <v>115</v>
      </c>
      <c r="AF36" s="41"/>
      <c r="AG36" s="39"/>
      <c r="AK36" s="38" t="s">
        <v>115</v>
      </c>
      <c r="AL36" s="42"/>
      <c r="AM36" s="40"/>
      <c r="AN36" s="17"/>
      <c r="AO36" s="17"/>
      <c r="AP36" s="17"/>
      <c r="AQ36" s="73" t="s">
        <v>115</v>
      </c>
      <c r="AR36" s="76"/>
      <c r="AS36" s="75"/>
      <c r="AT36" s="70"/>
      <c r="AU36" s="70"/>
      <c r="AV36" s="70"/>
      <c r="AW36" s="64" t="s">
        <v>141</v>
      </c>
      <c r="AX36" s="72">
        <f>((0.0112*AX38*AX38)^0.5)+AX39*(1-EXP((-AX38*AX37)/(AX34*AX35*AX39)))</f>
        <v>0.7379506112711413</v>
      </c>
      <c r="AY36" s="64" t="s">
        <v>145</v>
      </c>
    </row>
    <row r="37" spans="1:51" ht="12.75">
      <c r="A37" s="7" t="s">
        <v>96</v>
      </c>
      <c r="B37" s="8">
        <f>B47</f>
        <v>0.11437538458723066</v>
      </c>
      <c r="C37" s="9"/>
      <c r="D37" t="s">
        <v>111</v>
      </c>
      <c r="E37" s="1">
        <f>(E24*E25*E27)/((E29/E30)*(1-EXP(-E25*E27))*E32*E26*E27*(1/365))</f>
        <v>6774.999262837855</v>
      </c>
      <c r="F37" t="s">
        <v>80</v>
      </c>
      <c r="J37" s="2" t="s">
        <v>80</v>
      </c>
      <c r="K37">
        <f>(K34*K35)/(1-EXP(-K35*K34))</f>
        <v>1.0065090616354548</v>
      </c>
      <c r="V37" s="53" t="s">
        <v>80</v>
      </c>
      <c r="W37" s="51">
        <f>(W34*W35)/(1-EXP(-W35*W34))</f>
        <v>1.0086849984083481</v>
      </c>
      <c r="X37" s="51"/>
      <c r="Y37" t="s">
        <v>0</v>
      </c>
      <c r="Z37" s="1">
        <v>1E-06</v>
      </c>
      <c r="AE37" t="s">
        <v>0</v>
      </c>
      <c r="AF37" s="1">
        <v>1E-06</v>
      </c>
      <c r="AK37" t="s">
        <v>0</v>
      </c>
      <c r="AL37" s="1">
        <v>1E-06</v>
      </c>
      <c r="AQ37" t="s">
        <v>0</v>
      </c>
      <c r="AR37" s="1">
        <v>1E-06</v>
      </c>
      <c r="AT37" s="64"/>
      <c r="AU37" s="64"/>
      <c r="AV37" s="64"/>
      <c r="AW37" s="64" t="s">
        <v>139</v>
      </c>
      <c r="AX37" s="72">
        <v>1</v>
      </c>
      <c r="AY37" s="64" t="s">
        <v>147</v>
      </c>
    </row>
    <row r="38" spans="1:51" ht="12.75">
      <c r="A38" s="7" t="s">
        <v>56</v>
      </c>
      <c r="B38" s="8" t="s">
        <v>84</v>
      </c>
      <c r="C38" s="9"/>
      <c r="G38" s="18"/>
      <c r="H38" s="1"/>
      <c r="I38" s="2"/>
      <c r="K38">
        <v>1000</v>
      </c>
      <c r="L38" t="s">
        <v>83</v>
      </c>
      <c r="V38" s="51"/>
      <c r="W38" s="51">
        <v>1000</v>
      </c>
      <c r="X38" s="51" t="s">
        <v>83</v>
      </c>
      <c r="Y38" t="s">
        <v>117</v>
      </c>
      <c r="Z38">
        <v>30</v>
      </c>
      <c r="AA38" t="s">
        <v>5</v>
      </c>
      <c r="AE38" t="s">
        <v>117</v>
      </c>
      <c r="AF38">
        <v>25</v>
      </c>
      <c r="AG38" t="s">
        <v>5</v>
      </c>
      <c r="AK38" t="s">
        <v>117</v>
      </c>
      <c r="AL38">
        <v>25</v>
      </c>
      <c r="AM38" t="s">
        <v>5</v>
      </c>
      <c r="AQ38" t="s">
        <v>117</v>
      </c>
      <c r="AR38">
        <v>25</v>
      </c>
      <c r="AS38" t="s">
        <v>5</v>
      </c>
      <c r="AW38" s="64" t="s">
        <v>142</v>
      </c>
      <c r="AX38" s="72">
        <v>1</v>
      </c>
      <c r="AY38" s="64" t="s">
        <v>145</v>
      </c>
    </row>
    <row r="39" spans="1:51" ht="12.75">
      <c r="A39" s="18" t="s">
        <v>0</v>
      </c>
      <c r="B39" s="1">
        <v>1E-06</v>
      </c>
      <c r="D39" s="82" t="s">
        <v>11</v>
      </c>
      <c r="E39" s="82" t="s">
        <v>253</v>
      </c>
      <c r="F39" s="80" t="s">
        <v>103</v>
      </c>
      <c r="G39" s="18"/>
      <c r="H39" s="1"/>
      <c r="I39" s="2"/>
      <c r="V39" s="51"/>
      <c r="W39" s="51"/>
      <c r="X39" s="51"/>
      <c r="Y39" t="s">
        <v>69</v>
      </c>
      <c r="Z39" s="10">
        <f>Z7</f>
        <v>0.000433</v>
      </c>
      <c r="AE39" t="s">
        <v>69</v>
      </c>
      <c r="AF39" s="10">
        <f>Z39</f>
        <v>0.000433</v>
      </c>
      <c r="AK39" t="s">
        <v>69</v>
      </c>
      <c r="AL39" s="10">
        <f>AF39</f>
        <v>0.000433</v>
      </c>
      <c r="AQ39" s="64" t="s">
        <v>69</v>
      </c>
      <c r="AR39" s="69">
        <f>AR7</f>
        <v>0.000433</v>
      </c>
      <c r="AS39" s="64"/>
      <c r="AT39" s="64"/>
      <c r="AU39" s="64"/>
      <c r="AV39" s="64"/>
      <c r="AW39" s="64" t="s">
        <v>143</v>
      </c>
      <c r="AX39" s="72">
        <v>1</v>
      </c>
      <c r="AY39" s="64" t="s">
        <v>145</v>
      </c>
    </row>
    <row r="40" spans="1:51" ht="12.75">
      <c r="A40" s="18" t="s">
        <v>1</v>
      </c>
      <c r="B40" s="21">
        <v>350</v>
      </c>
      <c r="C40" s="18" t="s">
        <v>14</v>
      </c>
      <c r="D40" s="80" t="s">
        <v>10</v>
      </c>
      <c r="E40" s="80" t="s">
        <v>167</v>
      </c>
      <c r="F40" s="80" t="s">
        <v>93</v>
      </c>
      <c r="G40" s="18"/>
      <c r="H40" s="1"/>
      <c r="I40" s="2"/>
      <c r="J40" s="18" t="s">
        <v>33</v>
      </c>
      <c r="K40" s="1">
        <f>(K5/(K9*K10*K8*K11*(1/K6)))*K37</f>
        <v>1.0957705289213913</v>
      </c>
      <c r="L40" s="2" t="s">
        <v>8</v>
      </c>
      <c r="V40" s="59" t="s">
        <v>188</v>
      </c>
      <c r="W40" s="57">
        <f>(W5/(W9*W10*W6*W8*W11))*W37</f>
        <v>0.8594134723890875</v>
      </c>
      <c r="X40" s="59" t="s">
        <v>8</v>
      </c>
      <c r="Y40" t="s">
        <v>1</v>
      </c>
      <c r="Z40">
        <v>350</v>
      </c>
      <c r="AA40" t="s">
        <v>6</v>
      </c>
      <c r="AE40" t="s">
        <v>1</v>
      </c>
      <c r="AF40">
        <v>250</v>
      </c>
      <c r="AG40" t="s">
        <v>6</v>
      </c>
      <c r="AK40" t="s">
        <v>1</v>
      </c>
      <c r="AL40">
        <v>225</v>
      </c>
      <c r="AM40" t="s">
        <v>6</v>
      </c>
      <c r="AQ40" s="64" t="s">
        <v>1</v>
      </c>
      <c r="AR40" s="64">
        <v>250</v>
      </c>
      <c r="AS40" s="64" t="s">
        <v>6</v>
      </c>
      <c r="AT40" s="64"/>
      <c r="AU40" s="64"/>
      <c r="AV40" s="64"/>
      <c r="AW40" s="64" t="s">
        <v>144</v>
      </c>
      <c r="AX40" s="72">
        <v>1</v>
      </c>
      <c r="AY40" s="64" t="s">
        <v>145</v>
      </c>
    </row>
    <row r="41" spans="1:51" ht="12.75">
      <c r="A41" s="18" t="s">
        <v>16</v>
      </c>
      <c r="B41" s="10">
        <v>5.14E-10</v>
      </c>
      <c r="C41" s="18" t="s">
        <v>17</v>
      </c>
      <c r="D41" s="80" t="s">
        <v>80</v>
      </c>
      <c r="E41" s="6">
        <f>1/((1/E55)+(1/E56))</f>
        <v>0.0006994241121650083</v>
      </c>
      <c r="F41" s="81" t="s">
        <v>8</v>
      </c>
      <c r="G41" s="18"/>
      <c r="H41" s="1"/>
      <c r="I41" s="2"/>
      <c r="J41" s="18" t="s">
        <v>34</v>
      </c>
      <c r="K41" s="1">
        <f>(K5/(K25*K18*K8*K11*(1/K24)*K29*K30*K38))*K37</f>
        <v>629.7917293877242</v>
      </c>
      <c r="L41" s="2" t="s">
        <v>8</v>
      </c>
      <c r="V41" s="59" t="s">
        <v>189</v>
      </c>
      <c r="W41" s="52">
        <f>(W5/(W25*W18*W8*W11*(1/W24)*W32*W33*W38))*W37</f>
        <v>2.7092429032287338E-06</v>
      </c>
      <c r="X41" s="59" t="s">
        <v>8</v>
      </c>
      <c r="Y41" t="s">
        <v>2</v>
      </c>
      <c r="Z41">
        <v>30</v>
      </c>
      <c r="AA41" t="s">
        <v>5</v>
      </c>
      <c r="AE41" t="s">
        <v>2</v>
      </c>
      <c r="AF41">
        <v>25</v>
      </c>
      <c r="AG41" t="s">
        <v>5</v>
      </c>
      <c r="AK41" t="s">
        <v>2</v>
      </c>
      <c r="AL41">
        <v>25</v>
      </c>
      <c r="AM41" t="s">
        <v>5</v>
      </c>
      <c r="AQ41" t="s">
        <v>2</v>
      </c>
      <c r="AR41">
        <v>25</v>
      </c>
      <c r="AS41" t="s">
        <v>5</v>
      </c>
      <c r="AT41" s="64"/>
      <c r="AU41" s="64"/>
      <c r="AV41" s="64"/>
      <c r="AW41" s="64"/>
      <c r="AX41" s="64"/>
      <c r="AY41" s="64"/>
    </row>
    <row r="42" spans="1:51" ht="12.75">
      <c r="A42" s="18" t="s">
        <v>2</v>
      </c>
      <c r="B42" s="19">
        <v>30</v>
      </c>
      <c r="D42" s="80" t="s">
        <v>110</v>
      </c>
      <c r="E42" s="6">
        <f>1/((1/E53)+(1/E54))</f>
        <v>0.000695652102096666</v>
      </c>
      <c r="F42" s="81" t="s">
        <v>8</v>
      </c>
      <c r="G42" s="18"/>
      <c r="I42" s="2"/>
      <c r="J42" s="18" t="s">
        <v>75</v>
      </c>
      <c r="K42" s="1">
        <f>(K5/(K23*K22*(K26+K27*K21)*K8*(1/K36)*K11))*K37</f>
        <v>4.750170931261271</v>
      </c>
      <c r="L42" s="2" t="s">
        <v>8</v>
      </c>
      <c r="V42" s="59" t="s">
        <v>190</v>
      </c>
      <c r="W42" s="52">
        <f>(W5/(W23*W22*(W29+W30*W21)*W8*(1/W36)*W11))*W37</f>
        <v>1.8937009289593196</v>
      </c>
      <c r="X42" s="59" t="s">
        <v>8</v>
      </c>
      <c r="Y42" t="s">
        <v>118</v>
      </c>
      <c r="Z42">
        <v>0.4</v>
      </c>
      <c r="AE42" t="s">
        <v>118</v>
      </c>
      <c r="AF42">
        <v>0.4</v>
      </c>
      <c r="AQ42" s="64"/>
      <c r="AR42" s="64"/>
      <c r="AS42" s="64"/>
      <c r="AT42" s="64"/>
      <c r="AU42" s="64"/>
      <c r="AV42" s="64"/>
      <c r="AW42" s="64"/>
      <c r="AX42" s="64"/>
      <c r="AY42" s="64"/>
    </row>
    <row r="43" spans="1:51" ht="12.75">
      <c r="A43" s="18" t="s">
        <v>45</v>
      </c>
      <c r="B43" s="1">
        <v>54</v>
      </c>
      <c r="C43" t="s">
        <v>46</v>
      </c>
      <c r="D43" t="s">
        <v>0</v>
      </c>
      <c r="E43" s="1">
        <v>1E-06</v>
      </c>
      <c r="F43" s="77"/>
      <c r="J43" s="46" t="s">
        <v>161</v>
      </c>
      <c r="K43" s="44">
        <f>(K5/(K7*K11*K8*(1/K36)*(K46+K47)*K38*K45*K52))*K37</f>
        <v>0.2562890580505324</v>
      </c>
      <c r="L43" s="45" t="s">
        <v>8</v>
      </c>
      <c r="V43" s="59" t="s">
        <v>153</v>
      </c>
      <c r="W43" s="52">
        <f>(W5/(W11*W8*(1/W36)*(W55+W56)*W7*W38*W54*W61))*W37</f>
        <v>0.046267995646363386</v>
      </c>
      <c r="X43" s="59" t="s">
        <v>8</v>
      </c>
      <c r="Y43" t="s">
        <v>119</v>
      </c>
      <c r="Z43">
        <v>1</v>
      </c>
      <c r="AE43" t="s">
        <v>119</v>
      </c>
      <c r="AF43">
        <v>1</v>
      </c>
      <c r="AK43" t="s">
        <v>118</v>
      </c>
      <c r="AL43">
        <v>1</v>
      </c>
      <c r="AQ43" s="64" t="s">
        <v>119</v>
      </c>
      <c r="AR43" s="64">
        <v>1</v>
      </c>
      <c r="AS43" s="64"/>
      <c r="AT43" s="64"/>
      <c r="AU43" s="64"/>
      <c r="AV43" s="64"/>
      <c r="AW43" s="64"/>
      <c r="AX43" s="64"/>
      <c r="AY43" s="64"/>
    </row>
    <row r="44" spans="1:51" ht="12.75">
      <c r="A44" s="18"/>
      <c r="B44" s="21">
        <v>1000</v>
      </c>
      <c r="C44" s="2" t="s">
        <v>83</v>
      </c>
      <c r="D44" s="84" t="s">
        <v>69</v>
      </c>
      <c r="E44" s="78">
        <f>E25</f>
        <v>0.000433</v>
      </c>
      <c r="F44" s="77"/>
      <c r="J44" s="43"/>
      <c r="K44" s="43"/>
      <c r="L44" s="43"/>
      <c r="V44" s="59" t="s">
        <v>191</v>
      </c>
      <c r="W44" s="52">
        <f>((W5)/(W68*W38*W7*(W8/365)*W11*W69*(1/(W53+W65*(W66/W67)))*(W51/W52)))*W37</f>
        <v>0.0007952156616486374</v>
      </c>
      <c r="X44" s="53" t="s">
        <v>8</v>
      </c>
      <c r="Y44" t="s">
        <v>77</v>
      </c>
      <c r="Z44">
        <f>Z12</f>
        <v>0.928</v>
      </c>
      <c r="AE44" t="s">
        <v>77</v>
      </c>
      <c r="AF44">
        <f>Z44</f>
        <v>0.928</v>
      </c>
      <c r="AK44" t="s">
        <v>77</v>
      </c>
      <c r="AL44">
        <f>AF44</f>
        <v>0.928</v>
      </c>
      <c r="AQ44" s="64" t="s">
        <v>77</v>
      </c>
      <c r="AR44" s="64">
        <f>AR12</f>
        <v>0.928</v>
      </c>
      <c r="AS44" s="64"/>
      <c r="AT44" s="64"/>
      <c r="AU44" s="64"/>
      <c r="AV44" s="64"/>
      <c r="AW44" s="64"/>
      <c r="AX44" s="64"/>
      <c r="AY44" s="64"/>
    </row>
    <row r="45" spans="1:51" ht="12.75">
      <c r="A45" s="18" t="s">
        <v>98</v>
      </c>
      <c r="B45" s="10">
        <v>30</v>
      </c>
      <c r="C45" s="2" t="s">
        <v>57</v>
      </c>
      <c r="D45" s="79" t="s">
        <v>257</v>
      </c>
      <c r="E45" s="77">
        <v>250</v>
      </c>
      <c r="F45" s="77" t="s">
        <v>6</v>
      </c>
      <c r="J45" s="43" t="s">
        <v>154</v>
      </c>
      <c r="K45" s="43">
        <v>0.25</v>
      </c>
      <c r="L45" s="43"/>
      <c r="V45" s="59" t="s">
        <v>192</v>
      </c>
      <c r="W45" s="52">
        <f>((W5)/(W7*W38*W77*W8*(1/W36)*W11*((W70*W93*W62)+(W70*W94)+(W70*W92*(1/(W53+W65*(W66/W67)))*(1/W50)))))*W37</f>
        <v>0.05945100072370182</v>
      </c>
      <c r="X45" s="57" t="s">
        <v>8</v>
      </c>
      <c r="Y45" t="s">
        <v>120</v>
      </c>
      <c r="Z45">
        <v>0.073</v>
      </c>
      <c r="AA45" t="s">
        <v>127</v>
      </c>
      <c r="AE45" t="s">
        <v>120</v>
      </c>
      <c r="AF45">
        <v>0</v>
      </c>
      <c r="AG45" t="s">
        <v>127</v>
      </c>
      <c r="AK45" t="s">
        <v>120</v>
      </c>
      <c r="AL45">
        <v>0.33</v>
      </c>
      <c r="AM45" t="s">
        <v>127</v>
      </c>
      <c r="AQ45" s="65" t="s">
        <v>166</v>
      </c>
      <c r="AR45" s="64">
        <v>8</v>
      </c>
      <c r="AS45" s="65" t="s">
        <v>254</v>
      </c>
      <c r="AT45" s="64"/>
      <c r="AU45" s="64"/>
      <c r="AV45" s="64"/>
      <c r="AW45" s="64"/>
      <c r="AX45" s="64"/>
      <c r="AY45" s="64"/>
    </row>
    <row r="46" spans="1:51" ht="12.75">
      <c r="A46" s="18" t="s">
        <v>99</v>
      </c>
      <c r="B46">
        <v>1</v>
      </c>
      <c r="C46" s="2" t="s">
        <v>100</v>
      </c>
      <c r="D46" s="79" t="s">
        <v>31</v>
      </c>
      <c r="E46" s="77">
        <v>25</v>
      </c>
      <c r="F46" s="77" t="s">
        <v>5</v>
      </c>
      <c r="J46" s="43" t="s">
        <v>155</v>
      </c>
      <c r="K46" s="43">
        <v>17.480000000000004</v>
      </c>
      <c r="L46" s="43"/>
      <c r="V46" s="59" t="s">
        <v>193</v>
      </c>
      <c r="W46" s="52">
        <f>((W5)/(W7*W38*W78*W8*(1/W36)*W11*((W71*W96*W62)+(W71*W97)+(W71*W95*(1/(W53+W65*(W66/W67)))*(1/W50)))))*W37</f>
        <v>0.0074473023386874004</v>
      </c>
      <c r="X46" s="52" t="s">
        <v>8</v>
      </c>
      <c r="Y46" t="s">
        <v>65</v>
      </c>
      <c r="Z46" s="10">
        <v>1.58E-08</v>
      </c>
      <c r="AA46" s="2" t="s">
        <v>121</v>
      </c>
      <c r="AE46" t="s">
        <v>65</v>
      </c>
      <c r="AF46" s="10">
        <f>Z46</f>
        <v>1.58E-08</v>
      </c>
      <c r="AG46" s="2" t="s">
        <v>121</v>
      </c>
      <c r="AK46" t="s">
        <v>65</v>
      </c>
      <c r="AL46" s="10">
        <f>AF46</f>
        <v>1.58E-08</v>
      </c>
      <c r="AM46" s="2" t="s">
        <v>121</v>
      </c>
      <c r="AQ46" s="64" t="s">
        <v>181</v>
      </c>
      <c r="AR46" s="69">
        <f>AL46</f>
        <v>1.58E-08</v>
      </c>
      <c r="AS46" s="65" t="s">
        <v>255</v>
      </c>
      <c r="AT46" s="64"/>
      <c r="AU46" s="64"/>
      <c r="AV46" s="64"/>
      <c r="AW46" s="64"/>
      <c r="AX46" s="64"/>
      <c r="AY46" s="64"/>
    </row>
    <row r="47" spans="1:51" ht="12.75">
      <c r="A47" s="18" t="s">
        <v>33</v>
      </c>
      <c r="B47" s="1">
        <f>B39/(B41*B40*B42*B43*B45*B46*(1/B44))</f>
        <v>0.11437538458723066</v>
      </c>
      <c r="D47" t="s">
        <v>64</v>
      </c>
      <c r="E47" s="10">
        <f>E28</f>
        <v>1.15E-08</v>
      </c>
      <c r="F47" s="2" t="s">
        <v>63</v>
      </c>
      <c r="J47" s="43" t="s">
        <v>156</v>
      </c>
      <c r="K47" s="43">
        <v>9.08</v>
      </c>
      <c r="L47" s="43"/>
      <c r="V47" s="59" t="s">
        <v>194</v>
      </c>
      <c r="W47" s="52" t="e">
        <f>((W5)/(W7*W38*W79*W8*(1/W36)*W11*((W72*W99*W62)+(W72*W100)+(W72*W98*(1/(W53+W65*(W66/W67)))*(1/W50)))))*W37</f>
        <v>#DIV/0!</v>
      </c>
      <c r="X47" s="57" t="s">
        <v>8</v>
      </c>
      <c r="Y47" t="s">
        <v>122</v>
      </c>
      <c r="Z47">
        <v>0.683</v>
      </c>
      <c r="AA47" t="s">
        <v>127</v>
      </c>
      <c r="AE47" s="2" t="s">
        <v>166</v>
      </c>
      <c r="AF47">
        <v>8</v>
      </c>
      <c r="AG47" s="2" t="s">
        <v>54</v>
      </c>
      <c r="AK47" s="2" t="s">
        <v>166</v>
      </c>
      <c r="AL47">
        <v>8</v>
      </c>
      <c r="AM47" s="2" t="s">
        <v>54</v>
      </c>
      <c r="AQ47" s="2" t="s">
        <v>166</v>
      </c>
      <c r="AR47">
        <v>8</v>
      </c>
      <c r="AS47" s="2" t="s">
        <v>54</v>
      </c>
      <c r="AT47" s="64"/>
      <c r="AU47" s="64"/>
      <c r="AV47" s="64"/>
      <c r="AW47" s="64"/>
      <c r="AX47" s="64"/>
      <c r="AY47" s="64"/>
    </row>
    <row r="48" spans="4:51" ht="12.75">
      <c r="D48" s="79" t="s">
        <v>51</v>
      </c>
      <c r="E48" s="85">
        <v>8</v>
      </c>
      <c r="F48" s="79" t="s">
        <v>47</v>
      </c>
      <c r="J48" s="43" t="s">
        <v>157</v>
      </c>
      <c r="K48" s="43">
        <v>5.4</v>
      </c>
      <c r="L48" s="43"/>
      <c r="V48" s="59" t="s">
        <v>195</v>
      </c>
      <c r="W48" s="52" t="e">
        <f>((W5)/(W7*W38*W76*W8*(1/W36)*W11*((W73*W90*W62)+(W73*W91))))*W37</f>
        <v>#DIV/0!</v>
      </c>
      <c r="X48" s="57" t="s">
        <v>8</v>
      </c>
      <c r="AT48" s="64"/>
      <c r="AU48" s="64"/>
      <c r="AV48" s="64"/>
      <c r="AW48" s="64"/>
      <c r="AX48" s="64"/>
      <c r="AY48" s="64"/>
    </row>
    <row r="49" spans="4:24" ht="12.75">
      <c r="D49" s="77"/>
      <c r="E49" s="85">
        <v>24</v>
      </c>
      <c r="F49" s="79" t="s">
        <v>47</v>
      </c>
      <c r="J49" s="43" t="s">
        <v>158</v>
      </c>
      <c r="K49" s="43">
        <v>20.5</v>
      </c>
      <c r="L49" s="43"/>
      <c r="V49" s="59" t="s">
        <v>196</v>
      </c>
      <c r="W49" s="52" t="e">
        <f>((W5)/(W7*W38*W75*W8*(1/W36)*W11*((W74*W90*W62)+(W74*W91))))*W37</f>
        <v>#DIV/0!</v>
      </c>
      <c r="X49" s="57" t="s">
        <v>8</v>
      </c>
    </row>
    <row r="50" spans="4:24" ht="12.75">
      <c r="D50" s="79" t="s">
        <v>258</v>
      </c>
      <c r="E50" s="78">
        <v>60</v>
      </c>
      <c r="F50" s="79" t="s">
        <v>74</v>
      </c>
      <c r="J50" s="43" t="s">
        <v>159</v>
      </c>
      <c r="K50" s="43">
        <v>3.8</v>
      </c>
      <c r="L50" s="43"/>
      <c r="V50" s="59" t="s">
        <v>197</v>
      </c>
      <c r="W50" s="51">
        <v>1</v>
      </c>
      <c r="X50" s="51"/>
    </row>
    <row r="51" spans="4:24" ht="12.75">
      <c r="D51" s="17" t="s">
        <v>108</v>
      </c>
      <c r="E51" s="1">
        <f>E32</f>
        <v>2.6E-11</v>
      </c>
      <c r="F51" s="17" t="s">
        <v>109</v>
      </c>
      <c r="J51" s="43" t="s">
        <v>160</v>
      </c>
      <c r="K51" s="43">
        <v>10.4</v>
      </c>
      <c r="L51" s="43"/>
      <c r="V51" s="51" t="s">
        <v>198</v>
      </c>
      <c r="W51" s="51">
        <v>10000</v>
      </c>
      <c r="X51" s="51" t="s">
        <v>199</v>
      </c>
    </row>
    <row r="52" spans="4:24" ht="12.75">
      <c r="D52" s="83" t="s">
        <v>78</v>
      </c>
      <c r="E52" s="83">
        <v>1</v>
      </c>
      <c r="F52" s="77"/>
      <c r="J52" s="43" t="s">
        <v>58</v>
      </c>
      <c r="K52" s="43">
        <v>0.04</v>
      </c>
      <c r="L52" s="43"/>
      <c r="V52" s="51" t="s">
        <v>200</v>
      </c>
      <c r="W52" s="51">
        <v>100000</v>
      </c>
      <c r="X52" s="51" t="s">
        <v>199</v>
      </c>
    </row>
    <row r="53" spans="4:24" ht="12.75">
      <c r="D53" s="77" t="s">
        <v>189</v>
      </c>
      <c r="E53" s="1">
        <f>(E43)/((E48/E49)*E45*E46*E47*E50)</f>
        <v>0.0006956521739130435</v>
      </c>
      <c r="F53" s="77" t="s">
        <v>110</v>
      </c>
      <c r="V53" s="51" t="s">
        <v>151</v>
      </c>
      <c r="W53" s="51">
        <v>3</v>
      </c>
      <c r="X53" s="51" t="s">
        <v>57</v>
      </c>
    </row>
    <row r="54" spans="4:24" ht="12.75">
      <c r="D54" s="77" t="s">
        <v>259</v>
      </c>
      <c r="E54" s="1">
        <f>(E43)/((E48/E49)*E45*E46*E51*(1/365))</f>
        <v>6738.461538461539</v>
      </c>
      <c r="F54" s="77" t="s">
        <v>110</v>
      </c>
      <c r="V54" s="51" t="s">
        <v>201</v>
      </c>
      <c r="W54" s="51">
        <v>1</v>
      </c>
      <c r="X54" s="51"/>
    </row>
    <row r="55" spans="4:24" ht="12.75">
      <c r="D55" s="77" t="s">
        <v>189</v>
      </c>
      <c r="E55" s="1">
        <f>(E43*E44*E46)/((E48/E49)*(1-EXP(-E44*E46))*E47*E50*E45*E46)</f>
        <v>0.0006994241843707932</v>
      </c>
      <c r="F55" s="77" t="s">
        <v>80</v>
      </c>
      <c r="V55" s="51" t="s">
        <v>202</v>
      </c>
      <c r="W55" s="51">
        <f>(W12*W57+W15*W58)/W11</f>
        <v>18.235</v>
      </c>
      <c r="X55" s="51"/>
    </row>
    <row r="56" spans="4:45" ht="12.75">
      <c r="D56" s="77" t="s">
        <v>259</v>
      </c>
      <c r="E56" s="1">
        <f>(E43*E44*E46)/((E48/E49)*(1-EXP(-E44*E46))*E51*E45*E46*(1/365))</f>
        <v>6774.999262837855</v>
      </c>
      <c r="F56" s="77" t="s">
        <v>80</v>
      </c>
      <c r="V56" s="51" t="s">
        <v>203</v>
      </c>
      <c r="W56" s="51">
        <f>(W12*W59+W15*W60)/W11</f>
        <v>9.41</v>
      </c>
      <c r="X56" s="51"/>
      <c r="Y56" s="17"/>
      <c r="Z56" s="17"/>
      <c r="AA56" s="17"/>
      <c r="AE56" s="17"/>
      <c r="AF56" s="17"/>
      <c r="AG56" s="17"/>
      <c r="AK56" s="17"/>
      <c r="AL56" s="17"/>
      <c r="AM56" s="17"/>
      <c r="AQ56" s="70"/>
      <c r="AR56" s="70"/>
      <c r="AS56" s="70"/>
    </row>
    <row r="57" spans="22:45" ht="12.75">
      <c r="V57" s="51" t="s">
        <v>204</v>
      </c>
      <c r="W57" s="51">
        <v>5.4</v>
      </c>
      <c r="X57" s="51"/>
      <c r="AQ57" s="64"/>
      <c r="AR57" s="64"/>
      <c r="AS57" s="64"/>
    </row>
    <row r="58" spans="22:24" ht="12.75">
      <c r="V58" s="51" t="s">
        <v>205</v>
      </c>
      <c r="W58" s="51">
        <v>20.5</v>
      </c>
      <c r="X58" s="51"/>
    </row>
    <row r="59" spans="22:45" ht="12.75">
      <c r="V59" s="51" t="s">
        <v>206</v>
      </c>
      <c r="W59" s="51">
        <v>3.8</v>
      </c>
      <c r="X59" s="51"/>
      <c r="AQ59" s="64"/>
      <c r="AR59" s="64"/>
      <c r="AS59" s="64"/>
    </row>
    <row r="60" spans="22:45" ht="12.75">
      <c r="V60" s="51" t="s">
        <v>207</v>
      </c>
      <c r="W60" s="51">
        <v>10.4</v>
      </c>
      <c r="X60" s="51"/>
      <c r="AQ60" s="64"/>
      <c r="AR60" s="64"/>
      <c r="AS60" s="64"/>
    </row>
    <row r="61" spans="22:45" ht="12.75">
      <c r="V61" s="53" t="s">
        <v>208</v>
      </c>
      <c r="W61" s="51">
        <v>0.04</v>
      </c>
      <c r="X61" s="53" t="s">
        <v>59</v>
      </c>
      <c r="AQ61" s="64"/>
      <c r="AR61" s="64"/>
      <c r="AS61" s="64"/>
    </row>
    <row r="62" spans="22:45" ht="12.75">
      <c r="V62" s="53" t="s">
        <v>209</v>
      </c>
      <c r="W62" s="51">
        <v>0.2</v>
      </c>
      <c r="X62" s="53" t="s">
        <v>59</v>
      </c>
      <c r="AQ62" s="64"/>
      <c r="AR62" s="64"/>
      <c r="AS62" s="64"/>
    </row>
    <row r="63" spans="22:45" ht="12.75">
      <c r="V63" s="51" t="s">
        <v>210</v>
      </c>
      <c r="W63" s="51">
        <v>6.4</v>
      </c>
      <c r="X63" s="51" t="s">
        <v>211</v>
      </c>
      <c r="AQ63" s="64"/>
      <c r="AR63" s="64"/>
      <c r="AS63" s="64"/>
    </row>
    <row r="64" spans="22:45" ht="12.75">
      <c r="V64" s="51" t="s">
        <v>212</v>
      </c>
      <c r="W64" s="51">
        <v>45.8</v>
      </c>
      <c r="X64" s="51" t="s">
        <v>211</v>
      </c>
      <c r="AQ64" s="64"/>
      <c r="AR64" s="64"/>
      <c r="AS64" s="64"/>
    </row>
    <row r="65" spans="22:24" ht="12.75">
      <c r="V65" s="51" t="s">
        <v>213</v>
      </c>
      <c r="W65" s="51">
        <v>0.5</v>
      </c>
      <c r="X65" s="51"/>
    </row>
    <row r="66" spans="22:24" ht="12.75">
      <c r="V66" s="51" t="s">
        <v>214</v>
      </c>
      <c r="W66" s="51">
        <v>0.3</v>
      </c>
      <c r="X66" s="51"/>
    </row>
    <row r="67" spans="22:24" ht="12.75">
      <c r="V67" s="51" t="s">
        <v>215</v>
      </c>
      <c r="W67" s="51">
        <v>1.5</v>
      </c>
      <c r="X67" s="51" t="s">
        <v>216</v>
      </c>
    </row>
    <row r="68" spans="22:24" ht="12.75">
      <c r="V68" s="51" t="s">
        <v>217</v>
      </c>
      <c r="W68" s="51">
        <f>(W12*W63+W15*W64)/W11</f>
        <v>39.89</v>
      </c>
      <c r="X68" s="51" t="s">
        <v>211</v>
      </c>
    </row>
    <row r="69" spans="22:24" ht="12.75">
      <c r="V69" s="51" t="s">
        <v>218</v>
      </c>
      <c r="W69" s="51">
        <v>50</v>
      </c>
      <c r="X69" s="51" t="s">
        <v>219</v>
      </c>
    </row>
    <row r="70" spans="22:24" ht="12.75">
      <c r="V70" s="53" t="s">
        <v>220</v>
      </c>
      <c r="W70" s="51">
        <v>0.001</v>
      </c>
      <c r="X70" s="51"/>
    </row>
    <row r="71" spans="22:24" ht="12.75">
      <c r="V71" s="53" t="s">
        <v>221</v>
      </c>
      <c r="W71" s="51">
        <v>0.001</v>
      </c>
      <c r="X71" s="51"/>
    </row>
    <row r="72" spans="22:24" ht="12.75">
      <c r="V72" s="53" t="s">
        <v>222</v>
      </c>
      <c r="W72" s="51"/>
      <c r="X72" s="51"/>
    </row>
    <row r="73" spans="22:24" ht="12.75">
      <c r="V73" s="53" t="s">
        <v>223</v>
      </c>
      <c r="W73" s="51"/>
      <c r="X73" s="51"/>
    </row>
    <row r="74" spans="22:24" ht="12.75">
      <c r="V74" s="53" t="s">
        <v>224</v>
      </c>
      <c r="W74" s="51"/>
      <c r="X74" s="53" t="s">
        <v>225</v>
      </c>
    </row>
    <row r="75" spans="22:24" ht="12.75">
      <c r="V75" s="53" t="s">
        <v>226</v>
      </c>
      <c r="W75" s="51">
        <f>(W12*W80+W15*W81)/W11</f>
        <v>13.01</v>
      </c>
      <c r="X75" s="51"/>
    </row>
    <row r="76" spans="22:24" ht="12.75">
      <c r="V76" s="53" t="s">
        <v>227</v>
      </c>
      <c r="W76" s="51">
        <f>(W12*W82+W15*W83)/W11</f>
        <v>31.179999999999996</v>
      </c>
      <c r="X76" s="51"/>
    </row>
    <row r="77" spans="22:24" ht="12.75">
      <c r="V77" s="53" t="s">
        <v>228</v>
      </c>
      <c r="W77" s="51">
        <f>(W12*W84+W15*W85)/W11</f>
        <v>43.37500000000001</v>
      </c>
      <c r="X77" s="51"/>
    </row>
    <row r="78" spans="22:24" ht="12.75">
      <c r="V78" s="53" t="s">
        <v>229</v>
      </c>
      <c r="W78" s="51">
        <f>(W12*W86+W15*W87)/W11</f>
        <v>205.275</v>
      </c>
      <c r="X78" s="51"/>
    </row>
    <row r="79" spans="22:24" ht="12.75">
      <c r="V79" s="53" t="s">
        <v>230</v>
      </c>
      <c r="W79" s="51">
        <f>(W12*W88+W15*W89)/W11</f>
        <v>24.22</v>
      </c>
      <c r="X79" s="51"/>
    </row>
    <row r="80" spans="22:24" ht="12.75">
      <c r="V80" s="53" t="s">
        <v>231</v>
      </c>
      <c r="W80" s="51">
        <v>2.3</v>
      </c>
      <c r="X80" s="51"/>
    </row>
    <row r="81" spans="22:24" ht="12.75">
      <c r="V81" s="53" t="s">
        <v>232</v>
      </c>
      <c r="W81" s="51">
        <v>14.9</v>
      </c>
      <c r="X81" s="51"/>
    </row>
    <row r="82" spans="22:24" ht="12.75">
      <c r="V82" s="53" t="s">
        <v>233</v>
      </c>
      <c r="W82" s="51">
        <v>5</v>
      </c>
      <c r="X82" s="51"/>
    </row>
    <row r="83" spans="22:24" ht="12.75">
      <c r="V83" s="53" t="s">
        <v>234</v>
      </c>
      <c r="W83" s="51">
        <v>35.8</v>
      </c>
      <c r="X83" s="51"/>
    </row>
    <row r="84" spans="22:24" ht="12.75">
      <c r="V84" s="53" t="s">
        <v>235</v>
      </c>
      <c r="W84" s="51">
        <v>4.7</v>
      </c>
      <c r="X84" s="51"/>
    </row>
    <row r="85" spans="22:24" ht="12.75">
      <c r="V85" s="53" t="s">
        <v>236</v>
      </c>
      <c r="W85" s="51">
        <v>50.2</v>
      </c>
      <c r="X85" s="51"/>
    </row>
    <row r="86" spans="22:24" ht="12.75">
      <c r="V86" s="53" t="s">
        <v>237</v>
      </c>
      <c r="W86" s="51">
        <v>96.9</v>
      </c>
      <c r="X86" s="51"/>
    </row>
    <row r="87" spans="22:24" ht="12.75">
      <c r="V87" s="53" t="s">
        <v>238</v>
      </c>
      <c r="W87" s="51">
        <v>224.4</v>
      </c>
      <c r="X87" s="51"/>
    </row>
    <row r="88" spans="22:24" ht="12.75">
      <c r="V88" s="53" t="s">
        <v>239</v>
      </c>
      <c r="W88" s="51">
        <v>4.5</v>
      </c>
      <c r="X88" s="51"/>
    </row>
    <row r="89" spans="22:24" ht="12.75">
      <c r="V89" s="53" t="s">
        <v>240</v>
      </c>
      <c r="W89" s="51">
        <v>27.7</v>
      </c>
      <c r="X89" s="51"/>
    </row>
    <row r="90" spans="22:24" ht="12.75">
      <c r="V90" s="53" t="s">
        <v>241</v>
      </c>
      <c r="W90" s="51">
        <v>0.2</v>
      </c>
      <c r="X90" s="53" t="s">
        <v>242</v>
      </c>
    </row>
    <row r="91" spans="22:24" ht="12.75">
      <c r="V91" s="53" t="s">
        <v>243</v>
      </c>
      <c r="W91" s="51">
        <v>0.022</v>
      </c>
      <c r="X91" s="53" t="s">
        <v>242</v>
      </c>
    </row>
    <row r="92" spans="22:24" ht="12.75">
      <c r="V92" s="53" t="s">
        <v>244</v>
      </c>
      <c r="W92" s="51">
        <v>53</v>
      </c>
      <c r="X92" s="53" t="s">
        <v>61</v>
      </c>
    </row>
    <row r="93" spans="22:24" ht="12.75">
      <c r="V93" s="53" t="s">
        <v>245</v>
      </c>
      <c r="W93" s="51">
        <v>11.77</v>
      </c>
      <c r="X93" s="53" t="s">
        <v>242</v>
      </c>
    </row>
    <row r="94" spans="22:24" ht="12.75">
      <c r="V94" s="53" t="s">
        <v>246</v>
      </c>
      <c r="W94" s="51">
        <v>0.39</v>
      </c>
      <c r="X94" s="53" t="s">
        <v>242</v>
      </c>
    </row>
    <row r="95" spans="22:24" ht="12.75">
      <c r="V95" s="53" t="s">
        <v>247</v>
      </c>
      <c r="W95" s="51">
        <v>92</v>
      </c>
      <c r="X95" s="53" t="s">
        <v>61</v>
      </c>
    </row>
    <row r="96" spans="22:24" ht="12.75">
      <c r="V96" s="53" t="s">
        <v>248</v>
      </c>
      <c r="W96" s="51">
        <v>16.9</v>
      </c>
      <c r="X96" s="53" t="s">
        <v>242</v>
      </c>
    </row>
    <row r="97" spans="22:24" ht="12.75">
      <c r="V97" s="53" t="s">
        <v>249</v>
      </c>
      <c r="W97" s="51">
        <v>0.41</v>
      </c>
      <c r="X97" s="53" t="s">
        <v>242</v>
      </c>
    </row>
    <row r="98" spans="22:24" ht="12.75">
      <c r="V98" s="53" t="s">
        <v>250</v>
      </c>
      <c r="W98" s="51">
        <v>11.4</v>
      </c>
      <c r="X98" s="53" t="s">
        <v>61</v>
      </c>
    </row>
    <row r="99" spans="22:24" ht="12.75">
      <c r="V99" s="53" t="s">
        <v>251</v>
      </c>
      <c r="W99" s="51">
        <v>4.7</v>
      </c>
      <c r="X99" s="53" t="s">
        <v>242</v>
      </c>
    </row>
    <row r="100" spans="22:24" ht="12.75">
      <c r="V100" s="53" t="s">
        <v>252</v>
      </c>
      <c r="W100" s="51">
        <v>0.37</v>
      </c>
      <c r="X100" s="53" t="s">
        <v>242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bestFit="1" customWidth="1"/>
    <col min="2" max="2" width="9.00390625" style="0" bestFit="1" customWidth="1"/>
    <col min="3" max="3" width="19.00390625" style="0" bestFit="1" customWidth="1"/>
    <col min="4" max="4" width="8.57421875" style="0" bestFit="1" customWidth="1"/>
    <col min="5" max="5" width="9.57421875" style="0" bestFit="1" customWidth="1"/>
    <col min="6" max="6" width="16.8515625" style="0" bestFit="1" customWidth="1"/>
    <col min="7" max="7" width="8.28125" style="0" bestFit="1" customWidth="1"/>
    <col min="8" max="8" width="9.00390625" style="0" bestFit="1" customWidth="1"/>
    <col min="9" max="9" width="10.421875" style="0" bestFit="1" customWidth="1"/>
    <col min="10" max="10" width="9.28125" style="0" bestFit="1" customWidth="1"/>
    <col min="11" max="11" width="9.00390625" style="0" bestFit="1" customWidth="1"/>
    <col min="12" max="12" width="14.28125" style="0" bestFit="1" customWidth="1"/>
    <col min="13" max="13" width="9.28125" style="0" bestFit="1" customWidth="1"/>
    <col min="14" max="14" width="13.8515625" style="0" bestFit="1" customWidth="1"/>
    <col min="15" max="15" width="14.28125" style="0" bestFit="1" customWidth="1"/>
    <col min="16" max="16" width="9.28125" style="0" bestFit="1" customWidth="1"/>
    <col min="17" max="17" width="15.00390625" style="0" bestFit="1" customWidth="1"/>
    <col min="18" max="18" width="14.28125" style="0" bestFit="1" customWidth="1"/>
    <col min="19" max="19" width="9.28125" style="0" bestFit="1" customWidth="1"/>
    <col min="20" max="20" width="17.421875" style="0" bestFit="1" customWidth="1"/>
    <col min="21" max="21" width="14.28125" style="0" bestFit="1" customWidth="1"/>
    <col min="22" max="22" width="11.00390625" style="0" bestFit="1" customWidth="1"/>
    <col min="23" max="23" width="12.00390625" style="0" bestFit="1" customWidth="1"/>
    <col min="24" max="24" width="16.00390625" style="0" bestFit="1" customWidth="1"/>
    <col min="25" max="25" width="10.421875" style="0" bestFit="1" customWidth="1"/>
    <col min="26" max="26" width="10.140625" style="0" bestFit="1" customWidth="1"/>
    <col min="27" max="27" width="15.421875" style="0" bestFit="1" customWidth="1"/>
    <col min="28" max="28" width="10.421875" style="0" bestFit="1" customWidth="1"/>
    <col min="29" max="29" width="11.57421875" style="0" bestFit="1" customWidth="1"/>
    <col min="30" max="30" width="15.421875" style="0" bestFit="1" customWidth="1"/>
    <col min="31" max="31" width="10.421875" style="0" bestFit="1" customWidth="1"/>
    <col min="32" max="32" width="10.140625" style="0" bestFit="1" customWidth="1"/>
    <col min="33" max="33" width="15.421875" style="0" bestFit="1" customWidth="1"/>
    <col min="34" max="34" width="10.421875" style="0" bestFit="1" customWidth="1"/>
    <col min="35" max="35" width="11.57421875" style="0" bestFit="1" customWidth="1"/>
    <col min="36" max="36" width="15.421875" style="0" bestFit="1" customWidth="1"/>
    <col min="37" max="37" width="10.421875" style="0" bestFit="1" customWidth="1"/>
    <col min="38" max="38" width="10.140625" style="0" bestFit="1" customWidth="1"/>
    <col min="39" max="39" width="15.421875" style="0" bestFit="1" customWidth="1"/>
    <col min="40" max="40" width="10.421875" style="0" bestFit="1" customWidth="1"/>
    <col min="41" max="41" width="11.57421875" style="0" bestFit="1" customWidth="1"/>
    <col min="42" max="42" width="15.421875" style="0" bestFit="1" customWidth="1"/>
    <col min="43" max="43" width="9.57421875" style="0" bestFit="1" customWidth="1"/>
    <col min="44" max="44" width="10.140625" style="0" bestFit="1" customWidth="1"/>
    <col min="45" max="45" width="17.28125" style="0" bestFit="1" customWidth="1"/>
    <col min="46" max="46" width="9.57421875" style="0" bestFit="1" customWidth="1"/>
    <col min="47" max="47" width="11.57421875" style="0" bestFit="1" customWidth="1"/>
    <col min="48" max="48" width="17.28125" style="0" bestFit="1" customWidth="1"/>
    <col min="49" max="49" width="10.28125" style="0" bestFit="1" customWidth="1"/>
    <col min="50" max="50" width="9.28125" style="0" bestFit="1" customWidth="1"/>
    <col min="51" max="51" width="12.57421875" style="0" bestFit="1" customWidth="1"/>
  </cols>
  <sheetData>
    <row r="1" spans="1:51" ht="12.75">
      <c r="A1" s="12" t="s">
        <v>9</v>
      </c>
      <c r="B1" s="12"/>
      <c r="C1" s="12" t="s">
        <v>104</v>
      </c>
      <c r="D1" s="13" t="s">
        <v>11</v>
      </c>
      <c r="E1" s="4" t="s">
        <v>52</v>
      </c>
      <c r="F1" s="4" t="s">
        <v>104</v>
      </c>
      <c r="G1" s="15" t="s">
        <v>9</v>
      </c>
      <c r="H1" s="15"/>
      <c r="I1" s="15" t="s">
        <v>104</v>
      </c>
      <c r="J1" s="7" t="s">
        <v>9</v>
      </c>
      <c r="K1" s="7"/>
      <c r="L1" s="48" t="s">
        <v>104</v>
      </c>
      <c r="M1" s="22" t="s">
        <v>11</v>
      </c>
      <c r="N1" s="23" t="s">
        <v>53</v>
      </c>
      <c r="O1" s="24" t="s">
        <v>104</v>
      </c>
      <c r="P1" s="22" t="s">
        <v>11</v>
      </c>
      <c r="Q1" s="23" t="s">
        <v>102</v>
      </c>
      <c r="R1" s="24" t="s">
        <v>104</v>
      </c>
      <c r="S1" s="22" t="s">
        <v>11</v>
      </c>
      <c r="T1" s="49" t="s">
        <v>165</v>
      </c>
      <c r="U1" s="24" t="s">
        <v>104</v>
      </c>
      <c r="V1" s="63" t="s">
        <v>55</v>
      </c>
      <c r="W1" s="54"/>
      <c r="X1" s="54" t="s">
        <v>104</v>
      </c>
      <c r="Y1" s="34" t="s">
        <v>112</v>
      </c>
      <c r="Z1" s="34" t="s">
        <v>113</v>
      </c>
      <c r="AA1" s="34" t="s">
        <v>104</v>
      </c>
      <c r="AB1" s="34" t="s">
        <v>112</v>
      </c>
      <c r="AC1" s="34" t="s">
        <v>114</v>
      </c>
      <c r="AD1" s="34" t="s">
        <v>104</v>
      </c>
      <c r="AE1" s="37" t="s">
        <v>112</v>
      </c>
      <c r="AF1" s="37" t="s">
        <v>113</v>
      </c>
      <c r="AG1" s="37" t="s">
        <v>104</v>
      </c>
      <c r="AH1" s="37" t="s">
        <v>112</v>
      </c>
      <c r="AI1" s="37" t="s">
        <v>114</v>
      </c>
      <c r="AJ1" s="37" t="s">
        <v>104</v>
      </c>
      <c r="AK1" s="38" t="s">
        <v>112</v>
      </c>
      <c r="AL1" s="38" t="s">
        <v>113</v>
      </c>
      <c r="AM1" s="38" t="s">
        <v>104</v>
      </c>
      <c r="AN1" s="38" t="s">
        <v>112</v>
      </c>
      <c r="AO1" s="38" t="s">
        <v>114</v>
      </c>
      <c r="AP1" s="38" t="s">
        <v>104</v>
      </c>
      <c r="AQ1" s="73" t="s">
        <v>112</v>
      </c>
      <c r="AR1" s="73" t="s">
        <v>113</v>
      </c>
      <c r="AS1" s="73" t="s">
        <v>104</v>
      </c>
      <c r="AT1" s="73" t="s">
        <v>112</v>
      </c>
      <c r="AU1" s="73" t="s">
        <v>114</v>
      </c>
      <c r="AV1" s="73" t="s">
        <v>104</v>
      </c>
      <c r="AW1" s="66" t="s">
        <v>32</v>
      </c>
      <c r="AX1" s="66" t="s">
        <v>104</v>
      </c>
      <c r="AY1" s="66" t="s">
        <v>137</v>
      </c>
    </row>
    <row r="2" spans="1:51" ht="12.75">
      <c r="A2" s="12" t="s">
        <v>10</v>
      </c>
      <c r="B2" s="12" t="s">
        <v>32</v>
      </c>
      <c r="C2" s="12" t="s">
        <v>93</v>
      </c>
      <c r="D2" s="4" t="s">
        <v>10</v>
      </c>
      <c r="E2" s="4" t="s">
        <v>32</v>
      </c>
      <c r="F2" s="4" t="s">
        <v>93</v>
      </c>
      <c r="G2" s="15" t="s">
        <v>12</v>
      </c>
      <c r="H2" s="15" t="s">
        <v>32</v>
      </c>
      <c r="I2" s="15" t="s">
        <v>43</v>
      </c>
      <c r="J2" s="7" t="s">
        <v>13</v>
      </c>
      <c r="K2" s="7" t="s">
        <v>32</v>
      </c>
      <c r="L2" s="7" t="s">
        <v>67</v>
      </c>
      <c r="M2" s="25" t="s">
        <v>13</v>
      </c>
      <c r="N2" s="26" t="s">
        <v>32</v>
      </c>
      <c r="O2" s="27" t="s">
        <v>67</v>
      </c>
      <c r="P2" s="25" t="s">
        <v>13</v>
      </c>
      <c r="Q2" s="26" t="s">
        <v>32</v>
      </c>
      <c r="R2" s="27" t="s">
        <v>67</v>
      </c>
      <c r="S2" s="25" t="s">
        <v>13</v>
      </c>
      <c r="T2" s="26" t="s">
        <v>32</v>
      </c>
      <c r="U2" s="27" t="s">
        <v>67</v>
      </c>
      <c r="V2" s="54" t="s">
        <v>13</v>
      </c>
      <c r="W2" s="54" t="s">
        <v>167</v>
      </c>
      <c r="X2" s="54" t="s">
        <v>67</v>
      </c>
      <c r="Y2" s="34" t="s">
        <v>115</v>
      </c>
      <c r="Z2" s="34" t="s">
        <v>84</v>
      </c>
      <c r="AA2" s="35" t="s">
        <v>67</v>
      </c>
      <c r="AB2" s="34" t="s">
        <v>115</v>
      </c>
      <c r="AC2" s="34" t="s">
        <v>84</v>
      </c>
      <c r="AD2" s="35" t="s">
        <v>67</v>
      </c>
      <c r="AE2" s="37" t="s">
        <v>53</v>
      </c>
      <c r="AF2" s="37" t="s">
        <v>128</v>
      </c>
      <c r="AG2" s="39" t="s">
        <v>67</v>
      </c>
      <c r="AH2" s="37" t="s">
        <v>53</v>
      </c>
      <c r="AI2" s="37" t="s">
        <v>128</v>
      </c>
      <c r="AJ2" s="39" t="s">
        <v>67</v>
      </c>
      <c r="AK2" s="38" t="s">
        <v>52</v>
      </c>
      <c r="AL2" s="38" t="s">
        <v>128</v>
      </c>
      <c r="AM2" s="40" t="s">
        <v>67</v>
      </c>
      <c r="AN2" s="38" t="s">
        <v>52</v>
      </c>
      <c r="AO2" s="38" t="s">
        <v>128</v>
      </c>
      <c r="AP2" s="40" t="s">
        <v>67</v>
      </c>
      <c r="AQ2" s="74" t="s">
        <v>253</v>
      </c>
      <c r="AR2" s="73" t="s">
        <v>128</v>
      </c>
      <c r="AS2" s="75" t="s">
        <v>67</v>
      </c>
      <c r="AT2" s="74" t="s">
        <v>253</v>
      </c>
      <c r="AU2" s="73" t="s">
        <v>128</v>
      </c>
      <c r="AV2" s="75" t="s">
        <v>67</v>
      </c>
      <c r="AW2" s="66" t="s">
        <v>67</v>
      </c>
      <c r="AX2" s="66" t="s">
        <v>84</v>
      </c>
      <c r="AY2" s="66" t="s">
        <v>136</v>
      </c>
    </row>
    <row r="3" spans="1:51" ht="12.75">
      <c r="A3" s="12" t="s">
        <v>80</v>
      </c>
      <c r="B3" s="11">
        <f>1/((1/B19)+(1/B20))</f>
        <v>0.27564748839826153</v>
      </c>
      <c r="C3" s="3" t="s">
        <v>8</v>
      </c>
      <c r="D3" s="4" t="s">
        <v>80</v>
      </c>
      <c r="E3" s="6">
        <f>1/((1/E17)+(1/E18))</f>
        <v>801.3265348422667</v>
      </c>
      <c r="F3" s="5" t="s">
        <v>8</v>
      </c>
      <c r="G3" s="15"/>
      <c r="H3" s="16">
        <f>1/(1/H37)</f>
        <v>0.5878894767783657</v>
      </c>
      <c r="I3" s="14" t="s">
        <v>8</v>
      </c>
      <c r="J3" s="7"/>
      <c r="K3" s="8">
        <f>1/((1/K42)+(1/K41))</f>
        <v>25.36573192541324</v>
      </c>
      <c r="L3" s="9" t="s">
        <v>8</v>
      </c>
      <c r="M3" s="25"/>
      <c r="N3" s="28">
        <f>1/((1/N41)+(1/N42))</f>
        <v>92.3135026267688</v>
      </c>
      <c r="O3" s="29" t="s">
        <v>8</v>
      </c>
      <c r="P3" s="25"/>
      <c r="Q3" s="28">
        <f>1/((1/Q41)+(1/Q42))</f>
        <v>41.028225661342844</v>
      </c>
      <c r="R3" s="29" t="s">
        <v>8</v>
      </c>
      <c r="S3" s="25"/>
      <c r="T3" s="28">
        <f>1/((1/T41)+(1/T42))</f>
        <v>36.925403095208566</v>
      </c>
      <c r="U3" s="29" t="s">
        <v>8</v>
      </c>
      <c r="V3" s="54"/>
      <c r="W3" s="55">
        <f>1/((1/W41)+(1/W42))</f>
        <v>13.048030302370078</v>
      </c>
      <c r="X3" s="56" t="s">
        <v>8</v>
      </c>
      <c r="Y3" s="34" t="s">
        <v>116</v>
      </c>
      <c r="Z3" s="36">
        <f>(Z5*Z6*Z7)/((1-EXP(-Z7*Z6))*Z9*Z14*(Z8/365)*Z12*((Z13)+(Z18*Z10)))</f>
        <v>25.39504034153763</v>
      </c>
      <c r="AA3" s="35" t="s">
        <v>8</v>
      </c>
      <c r="AB3" s="34" t="s">
        <v>116</v>
      </c>
      <c r="AC3" s="36">
        <f>(AC5*AC6*AC7)/((1-EXP(-AC7*AC6))*AC9*AC14*(AC8/365)*AC12*((AC13)+(AC18*AC10)))</f>
        <v>29.95131322618068</v>
      </c>
      <c r="AD3" s="35" t="s">
        <v>8</v>
      </c>
      <c r="AE3" s="37" t="s">
        <v>116</v>
      </c>
      <c r="AF3" s="41">
        <f>(AF5*AF6*AF7)/((1-EXP(-AF7*AF6))*AF9*AF14*(AF8/365)*AF12*(AF18/24)*AF10)</f>
        <v>92.31351114552345</v>
      </c>
      <c r="AG3" s="39" t="s">
        <v>8</v>
      </c>
      <c r="AH3" s="37" t="s">
        <v>116</v>
      </c>
      <c r="AI3" s="41">
        <f>(AI5*AI6*AI7)/((1-EXP(-AI7*AI6))*AI9*AI14*(AI8/365)*AI12*(AI18/24)*AI10)</f>
        <v>108.87601870848943</v>
      </c>
      <c r="AJ3" s="39" t="s">
        <v>8</v>
      </c>
      <c r="AK3" s="38" t="s">
        <v>116</v>
      </c>
      <c r="AL3" s="50">
        <f>(AL5*AL6*AL7)/((1-EXP(-AL7*AL6))*AL9*AL14*(AL8/365)*AL12*(AL18/24)*AL11)</f>
        <v>41.028227175788196</v>
      </c>
      <c r="AM3" s="40" t="s">
        <v>8</v>
      </c>
      <c r="AN3" s="38" t="s">
        <v>116</v>
      </c>
      <c r="AO3" s="50">
        <f>(AO5*AO6*AO7)/((1-EXP(-AO7*AO6))*AO9*AO14*(AO8/365)*AO12*(AO18/24)*AO11)</f>
        <v>48.38934164821752</v>
      </c>
      <c r="AP3" s="40" t="s">
        <v>8</v>
      </c>
      <c r="AQ3" s="73"/>
      <c r="AR3" s="86">
        <f>(AR5*AR6*AR7)/((1-EXP(-AR7*AR6))*AR9*AR14*(AR8/365)*AR12*(AR18/24)*AR11)</f>
        <v>36.925404458209385</v>
      </c>
      <c r="AS3" s="75" t="s">
        <v>8</v>
      </c>
      <c r="AT3" s="73"/>
      <c r="AU3" s="86">
        <f>(AU5*AU6*AU7)/((1-EXP(-AU7*AU6))*AU9*AU14*(AU8/365)*AU12*(AU18/24)*AU11)</f>
        <v>43.55040748339577</v>
      </c>
      <c r="AV3" s="75" t="s">
        <v>8</v>
      </c>
      <c r="AW3" s="67">
        <f>(AX5*AX12*0.001*(AX13+(AX8/AX9)))*((AX10*AX7)/(1-EXP(-AX7*AX10)))</f>
        <v>2383.2</v>
      </c>
      <c r="AX3" s="68" t="s">
        <v>8</v>
      </c>
      <c r="AY3" s="66" t="s">
        <v>134</v>
      </c>
    </row>
    <row r="4" spans="1:51" ht="12.75">
      <c r="A4" s="12" t="s">
        <v>110</v>
      </c>
      <c r="B4" s="11">
        <f>1/((1/B21)+(1/B22))</f>
        <v>547.4359119589475</v>
      </c>
      <c r="C4" s="3" t="s">
        <v>8</v>
      </c>
      <c r="D4" s="4" t="s">
        <v>110</v>
      </c>
      <c r="E4" s="6">
        <f>1/((1/E15)+(1/E16))</f>
        <v>0.48418521742735154</v>
      </c>
      <c r="F4" s="5" t="s">
        <v>8</v>
      </c>
      <c r="G4" s="15"/>
      <c r="H4" s="16"/>
      <c r="I4" s="14"/>
      <c r="J4" s="7" t="s">
        <v>104</v>
      </c>
      <c r="K4" s="8" t="s">
        <v>84</v>
      </c>
      <c r="L4" s="9"/>
      <c r="M4" s="25" t="s">
        <v>104</v>
      </c>
      <c r="N4" s="28" t="s">
        <v>85</v>
      </c>
      <c r="O4" s="29"/>
      <c r="P4" s="25" t="s">
        <v>104</v>
      </c>
      <c r="Q4" s="28" t="s">
        <v>86</v>
      </c>
      <c r="R4" s="29"/>
      <c r="S4" s="25" t="s">
        <v>104</v>
      </c>
      <c r="T4" s="28" t="s">
        <v>165</v>
      </c>
      <c r="U4" s="29"/>
      <c r="V4" s="54" t="s">
        <v>104</v>
      </c>
      <c r="W4" s="55" t="s">
        <v>168</v>
      </c>
      <c r="X4" s="56"/>
      <c r="Y4" s="34"/>
      <c r="Z4" s="36"/>
      <c r="AA4" s="35"/>
      <c r="AB4" s="34"/>
      <c r="AC4" s="36"/>
      <c r="AD4" s="35"/>
      <c r="AE4" s="37" t="s">
        <v>115</v>
      </c>
      <c r="AF4" s="41"/>
      <c r="AG4" s="39"/>
      <c r="AH4" s="37" t="s">
        <v>115</v>
      </c>
      <c r="AI4" s="41"/>
      <c r="AJ4" s="39"/>
      <c r="AK4" s="38" t="s">
        <v>115</v>
      </c>
      <c r="AL4" s="42"/>
      <c r="AM4" s="40"/>
      <c r="AN4" s="38" t="s">
        <v>115</v>
      </c>
      <c r="AO4" s="42"/>
      <c r="AP4" s="40"/>
      <c r="AQ4" s="73" t="s">
        <v>115</v>
      </c>
      <c r="AR4" s="76"/>
      <c r="AS4" s="75"/>
      <c r="AT4" s="73" t="s">
        <v>115</v>
      </c>
      <c r="AU4" s="76"/>
      <c r="AV4" s="75"/>
      <c r="AW4" s="67">
        <f>(AX6*AX12*10^-3*(AX13+(AX8/AX9)))*((AX10*AX7)/(1-EXP(-AX7*AX10)))</f>
        <v>4.670194003527337</v>
      </c>
      <c r="AX4" s="68" t="s">
        <v>8</v>
      </c>
      <c r="AY4" s="66" t="s">
        <v>135</v>
      </c>
    </row>
    <row r="5" spans="1:51" ht="12.75">
      <c r="A5" t="s">
        <v>0</v>
      </c>
      <c r="B5" s="1">
        <v>1E-06</v>
      </c>
      <c r="D5" t="s">
        <v>0</v>
      </c>
      <c r="E5" s="1">
        <v>1E-06</v>
      </c>
      <c r="G5" s="18" t="s">
        <v>0</v>
      </c>
      <c r="H5" s="1">
        <v>1E-06</v>
      </c>
      <c r="J5" s="18" t="s">
        <v>0</v>
      </c>
      <c r="K5" s="1">
        <v>1E-06</v>
      </c>
      <c r="M5" s="18" t="s">
        <v>0</v>
      </c>
      <c r="N5" s="1">
        <v>1E-06</v>
      </c>
      <c r="P5" s="18" t="s">
        <v>0</v>
      </c>
      <c r="Q5" s="1">
        <v>1E-06</v>
      </c>
      <c r="S5" s="18" t="s">
        <v>0</v>
      </c>
      <c r="T5" s="1">
        <v>1E-06</v>
      </c>
      <c r="V5" s="18" t="s">
        <v>0</v>
      </c>
      <c r="W5" s="1">
        <v>1E-06</v>
      </c>
      <c r="X5" s="51"/>
      <c r="Y5" t="s">
        <v>0</v>
      </c>
      <c r="Z5" s="1">
        <v>1E-06</v>
      </c>
      <c r="AB5" t="s">
        <v>0</v>
      </c>
      <c r="AC5" s="1">
        <v>1E-06</v>
      </c>
      <c r="AE5" t="s">
        <v>0</v>
      </c>
      <c r="AF5" s="1">
        <v>1E-06</v>
      </c>
      <c r="AH5" t="s">
        <v>0</v>
      </c>
      <c r="AI5" s="1">
        <v>1E-06</v>
      </c>
      <c r="AK5" t="s">
        <v>0</v>
      </c>
      <c r="AL5" s="1">
        <v>1E-06</v>
      </c>
      <c r="AN5" t="s">
        <v>0</v>
      </c>
      <c r="AO5" s="1">
        <v>1E-06</v>
      </c>
      <c r="AQ5" t="s">
        <v>0</v>
      </c>
      <c r="AR5" s="1">
        <v>1E-06</v>
      </c>
      <c r="AT5" t="s">
        <v>0</v>
      </c>
      <c r="AU5" s="1">
        <v>1E-06</v>
      </c>
      <c r="AW5" s="71" t="s">
        <v>152</v>
      </c>
      <c r="AX5" s="65">
        <v>300</v>
      </c>
      <c r="AY5" s="70" t="s">
        <v>97</v>
      </c>
    </row>
    <row r="6" spans="1:51" ht="12.75">
      <c r="A6" s="18" t="s">
        <v>69</v>
      </c>
      <c r="B6" s="1">
        <v>66.2</v>
      </c>
      <c r="D6" s="18" t="s">
        <v>69</v>
      </c>
      <c r="E6" s="1">
        <v>66.2</v>
      </c>
      <c r="G6" s="17"/>
      <c r="H6" s="19"/>
      <c r="J6" s="17"/>
      <c r="K6" s="19">
        <v>1000</v>
      </c>
      <c r="L6" t="s">
        <v>70</v>
      </c>
      <c r="M6" s="17"/>
      <c r="N6" s="19">
        <v>1000</v>
      </c>
      <c r="O6" t="s">
        <v>70</v>
      </c>
      <c r="P6" s="17"/>
      <c r="Q6" s="19">
        <v>1000</v>
      </c>
      <c r="R6" t="s">
        <v>70</v>
      </c>
      <c r="S6" s="17"/>
      <c r="T6" s="19">
        <v>1000</v>
      </c>
      <c r="U6" t="s">
        <v>70</v>
      </c>
      <c r="V6" s="58"/>
      <c r="W6" s="60">
        <f>1/1000</f>
        <v>0.001</v>
      </c>
      <c r="X6" s="51" t="s">
        <v>70</v>
      </c>
      <c r="Y6" t="s">
        <v>117</v>
      </c>
      <c r="Z6">
        <v>30</v>
      </c>
      <c r="AA6" t="s">
        <v>5</v>
      </c>
      <c r="AB6" t="s">
        <v>117</v>
      </c>
      <c r="AC6">
        <v>30</v>
      </c>
      <c r="AD6" t="s">
        <v>5</v>
      </c>
      <c r="AE6" t="s">
        <v>117</v>
      </c>
      <c r="AF6">
        <v>25</v>
      </c>
      <c r="AG6" t="s">
        <v>5</v>
      </c>
      <c r="AH6" t="s">
        <v>117</v>
      </c>
      <c r="AI6">
        <v>25</v>
      </c>
      <c r="AJ6" t="s">
        <v>5</v>
      </c>
      <c r="AK6" t="s">
        <v>117</v>
      </c>
      <c r="AL6">
        <v>25</v>
      </c>
      <c r="AM6" t="s">
        <v>5</v>
      </c>
      <c r="AN6" t="s">
        <v>117</v>
      </c>
      <c r="AO6">
        <v>25</v>
      </c>
      <c r="AP6" t="s">
        <v>5</v>
      </c>
      <c r="AQ6" t="s">
        <v>117</v>
      </c>
      <c r="AR6">
        <v>25</v>
      </c>
      <c r="AS6" t="s">
        <v>5</v>
      </c>
      <c r="AT6" t="s">
        <v>117</v>
      </c>
      <c r="AU6">
        <v>25</v>
      </c>
      <c r="AV6" t="s">
        <v>5</v>
      </c>
      <c r="AW6" s="65" t="s">
        <v>32</v>
      </c>
      <c r="AX6" s="69">
        <f>H3</f>
        <v>0.5878894767783657</v>
      </c>
      <c r="AY6" s="70" t="s">
        <v>97</v>
      </c>
    </row>
    <row r="7" spans="1:51" ht="12.75">
      <c r="A7" t="s">
        <v>1</v>
      </c>
      <c r="B7">
        <v>350</v>
      </c>
      <c r="C7" t="s">
        <v>6</v>
      </c>
      <c r="D7" t="s">
        <v>1</v>
      </c>
      <c r="E7">
        <v>225</v>
      </c>
      <c r="F7" t="s">
        <v>6</v>
      </c>
      <c r="G7" s="18"/>
      <c r="H7" s="21"/>
      <c r="J7" s="47" t="s">
        <v>162</v>
      </c>
      <c r="K7" s="10"/>
      <c r="L7" s="18" t="s">
        <v>63</v>
      </c>
      <c r="M7" s="18"/>
      <c r="N7" s="21"/>
      <c r="P7" s="18"/>
      <c r="Q7" s="21"/>
      <c r="S7" s="18"/>
      <c r="T7" s="21"/>
      <c r="V7" s="18" t="s">
        <v>162</v>
      </c>
      <c r="W7" s="52"/>
      <c r="X7" s="18" t="s">
        <v>63</v>
      </c>
      <c r="Y7" t="s">
        <v>69</v>
      </c>
      <c r="Z7" s="10">
        <v>66.2</v>
      </c>
      <c r="AB7" t="s">
        <v>69</v>
      </c>
      <c r="AC7" s="10">
        <f>Z7</f>
        <v>66.2</v>
      </c>
      <c r="AE7" t="s">
        <v>69</v>
      </c>
      <c r="AF7" s="10">
        <f>AC7</f>
        <v>66.2</v>
      </c>
      <c r="AH7" t="s">
        <v>69</v>
      </c>
      <c r="AI7" s="10">
        <f>AF7</f>
        <v>66.2</v>
      </c>
      <c r="AK7" t="s">
        <v>69</v>
      </c>
      <c r="AL7" s="10">
        <f>AI7</f>
        <v>66.2</v>
      </c>
      <c r="AN7" t="s">
        <v>69</v>
      </c>
      <c r="AO7" s="10">
        <f>AL7</f>
        <v>66.2</v>
      </c>
      <c r="AQ7" s="64" t="s">
        <v>69</v>
      </c>
      <c r="AR7" s="69">
        <f>AL7</f>
        <v>66.2</v>
      </c>
      <c r="AS7" s="64"/>
      <c r="AT7" s="64" t="s">
        <v>69</v>
      </c>
      <c r="AU7" s="69">
        <f>AR7</f>
        <v>66.2</v>
      </c>
      <c r="AV7" s="64"/>
      <c r="AW7" s="64" t="s">
        <v>69</v>
      </c>
      <c r="AX7" s="69">
        <f>AU7</f>
        <v>66.2</v>
      </c>
      <c r="AY7" s="64"/>
    </row>
    <row r="8" spans="1:51" ht="12.75">
      <c r="A8" t="s">
        <v>2</v>
      </c>
      <c r="B8">
        <v>30</v>
      </c>
      <c r="C8" t="s">
        <v>5</v>
      </c>
      <c r="D8" t="s">
        <v>2</v>
      </c>
      <c r="E8">
        <v>25</v>
      </c>
      <c r="F8" t="s">
        <v>5</v>
      </c>
      <c r="G8" s="18" t="s">
        <v>1</v>
      </c>
      <c r="H8" s="21">
        <v>350</v>
      </c>
      <c r="I8" s="18" t="s">
        <v>14</v>
      </c>
      <c r="J8" s="18" t="s">
        <v>1</v>
      </c>
      <c r="K8" s="21">
        <v>350</v>
      </c>
      <c r="L8" s="18" t="s">
        <v>14</v>
      </c>
      <c r="M8" s="18" t="s">
        <v>92</v>
      </c>
      <c r="N8" s="21">
        <v>250</v>
      </c>
      <c r="O8" s="18" t="s">
        <v>14</v>
      </c>
      <c r="P8" s="18" t="s">
        <v>91</v>
      </c>
      <c r="Q8" s="21">
        <v>225</v>
      </c>
      <c r="R8" s="18" t="s">
        <v>14</v>
      </c>
      <c r="S8" s="18" t="s">
        <v>90</v>
      </c>
      <c r="T8" s="21">
        <v>250</v>
      </c>
      <c r="U8" s="18" t="s">
        <v>14</v>
      </c>
      <c r="V8" s="59" t="s">
        <v>169</v>
      </c>
      <c r="W8" s="62">
        <v>350</v>
      </c>
      <c r="X8" s="59" t="s">
        <v>14</v>
      </c>
      <c r="Y8" t="s">
        <v>1</v>
      </c>
      <c r="Z8">
        <v>350</v>
      </c>
      <c r="AA8" t="s">
        <v>6</v>
      </c>
      <c r="AB8" t="s">
        <v>1</v>
      </c>
      <c r="AC8">
        <v>350</v>
      </c>
      <c r="AD8" t="s">
        <v>6</v>
      </c>
      <c r="AE8" t="s">
        <v>1</v>
      </c>
      <c r="AF8">
        <v>250</v>
      </c>
      <c r="AG8" t="s">
        <v>6</v>
      </c>
      <c r="AH8" t="s">
        <v>1</v>
      </c>
      <c r="AI8">
        <v>250</v>
      </c>
      <c r="AJ8" t="s">
        <v>6</v>
      </c>
      <c r="AK8" t="s">
        <v>1</v>
      </c>
      <c r="AL8">
        <v>225</v>
      </c>
      <c r="AM8" t="s">
        <v>6</v>
      </c>
      <c r="AN8" t="s">
        <v>1</v>
      </c>
      <c r="AO8">
        <v>225</v>
      </c>
      <c r="AP8" t="s">
        <v>6</v>
      </c>
      <c r="AQ8" s="64" t="s">
        <v>1</v>
      </c>
      <c r="AR8" s="64">
        <v>250</v>
      </c>
      <c r="AS8" s="64" t="s">
        <v>6</v>
      </c>
      <c r="AT8" s="64" t="s">
        <v>1</v>
      </c>
      <c r="AU8" s="64">
        <v>250</v>
      </c>
      <c r="AV8" s="64" t="s">
        <v>6</v>
      </c>
      <c r="AW8" s="65" t="s">
        <v>130</v>
      </c>
      <c r="AX8" s="65">
        <v>0.3</v>
      </c>
      <c r="AY8" s="64"/>
    </row>
    <row r="9" spans="1:51" ht="12.75">
      <c r="A9" t="s">
        <v>64</v>
      </c>
      <c r="B9" s="10">
        <v>1.8E-11</v>
      </c>
      <c r="C9" s="2" t="s">
        <v>63</v>
      </c>
      <c r="D9" t="s">
        <v>64</v>
      </c>
      <c r="E9" s="10">
        <v>1.8E-11</v>
      </c>
      <c r="F9" s="2" t="s">
        <v>63</v>
      </c>
      <c r="G9" s="18" t="s">
        <v>16</v>
      </c>
      <c r="H9" s="1"/>
      <c r="I9" s="18" t="s">
        <v>63</v>
      </c>
      <c r="J9" s="18" t="s">
        <v>62</v>
      </c>
      <c r="K9" s="1"/>
      <c r="L9" s="18" t="s">
        <v>63</v>
      </c>
      <c r="M9" s="18" t="s">
        <v>62</v>
      </c>
      <c r="N9" s="1"/>
      <c r="O9" s="18" t="s">
        <v>63</v>
      </c>
      <c r="P9" s="18" t="s">
        <v>62</v>
      </c>
      <c r="Q9" s="1"/>
      <c r="R9" s="18" t="s">
        <v>63</v>
      </c>
      <c r="S9" s="18" t="s">
        <v>62</v>
      </c>
      <c r="T9" s="1">
        <f>Q9</f>
        <v>0</v>
      </c>
      <c r="U9" s="18" t="s">
        <v>63</v>
      </c>
      <c r="V9" s="18" t="s">
        <v>62</v>
      </c>
      <c r="W9" s="52"/>
      <c r="X9" s="18" t="s">
        <v>63</v>
      </c>
      <c r="Y9" t="s">
        <v>2</v>
      </c>
      <c r="Z9">
        <v>30</v>
      </c>
      <c r="AA9" t="s">
        <v>5</v>
      </c>
      <c r="AB9" t="s">
        <v>2</v>
      </c>
      <c r="AC9">
        <v>30</v>
      </c>
      <c r="AD9" t="s">
        <v>5</v>
      </c>
      <c r="AE9" t="s">
        <v>2</v>
      </c>
      <c r="AF9">
        <v>25</v>
      </c>
      <c r="AG9" t="s">
        <v>5</v>
      </c>
      <c r="AH9" t="s">
        <v>2</v>
      </c>
      <c r="AI9">
        <v>25</v>
      </c>
      <c r="AJ9" t="s">
        <v>5</v>
      </c>
      <c r="AK9" t="s">
        <v>2</v>
      </c>
      <c r="AL9">
        <v>25</v>
      </c>
      <c r="AM9" t="s">
        <v>5</v>
      </c>
      <c r="AN9" t="s">
        <v>2</v>
      </c>
      <c r="AO9">
        <v>25</v>
      </c>
      <c r="AP9" t="s">
        <v>5</v>
      </c>
      <c r="AQ9" t="s">
        <v>2</v>
      </c>
      <c r="AR9">
        <v>25</v>
      </c>
      <c r="AS9" t="s">
        <v>5</v>
      </c>
      <c r="AT9" t="s">
        <v>2</v>
      </c>
      <c r="AU9">
        <v>25</v>
      </c>
      <c r="AV9" t="s">
        <v>5</v>
      </c>
      <c r="AW9" s="65" t="s">
        <v>131</v>
      </c>
      <c r="AX9" s="69">
        <v>1.5</v>
      </c>
      <c r="AY9" s="64"/>
    </row>
    <row r="10" spans="1:51" ht="12.75">
      <c r="A10" s="18" t="s">
        <v>71</v>
      </c>
      <c r="B10" s="1">
        <f>(B11*B15+B12*B16)/(B15+B16)</f>
        <v>18</v>
      </c>
      <c r="C10" t="s">
        <v>74</v>
      </c>
      <c r="D10" t="s">
        <v>51</v>
      </c>
      <c r="E10" s="21">
        <v>8</v>
      </c>
      <c r="F10" s="2" t="s">
        <v>47</v>
      </c>
      <c r="G10" s="18" t="s">
        <v>18</v>
      </c>
      <c r="H10" s="19">
        <f>(H11*H12+H14*H15)/(H11+H14)</f>
        <v>1.8</v>
      </c>
      <c r="I10" s="18" t="s">
        <v>61</v>
      </c>
      <c r="J10" s="18" t="s">
        <v>26</v>
      </c>
      <c r="K10" s="19">
        <f>(K13*K12+K16*K15)/(K12+K15)</f>
        <v>120</v>
      </c>
      <c r="L10" s="18" t="s">
        <v>46</v>
      </c>
      <c r="M10" s="18"/>
      <c r="N10" s="19"/>
      <c r="O10" s="18"/>
      <c r="P10" s="18"/>
      <c r="Q10" s="19"/>
      <c r="R10" s="18"/>
      <c r="S10" s="18"/>
      <c r="T10" s="19"/>
      <c r="U10" s="18"/>
      <c r="V10" s="59" t="s">
        <v>171</v>
      </c>
      <c r="W10" s="51">
        <f>(W13*W12+W16*W15)/(W11)</f>
        <v>115</v>
      </c>
      <c r="X10" s="59" t="s">
        <v>46</v>
      </c>
      <c r="Y10" t="s">
        <v>118</v>
      </c>
      <c r="Z10">
        <v>0.4</v>
      </c>
      <c r="AB10" t="s">
        <v>118</v>
      </c>
      <c r="AC10">
        <v>0.4</v>
      </c>
      <c r="AE10" t="s">
        <v>118</v>
      </c>
      <c r="AF10">
        <v>0.4</v>
      </c>
      <c r="AH10" t="s">
        <v>118</v>
      </c>
      <c r="AI10">
        <v>0.4</v>
      </c>
      <c r="AK10" t="s">
        <v>118</v>
      </c>
      <c r="AL10">
        <v>0.4</v>
      </c>
      <c r="AN10" t="s">
        <v>118</v>
      </c>
      <c r="AO10">
        <v>0.4</v>
      </c>
      <c r="AQ10" s="64"/>
      <c r="AR10" s="64"/>
      <c r="AS10" s="64"/>
      <c r="AT10" s="64"/>
      <c r="AU10" s="64"/>
      <c r="AV10" s="64"/>
      <c r="AW10" s="65" t="s">
        <v>132</v>
      </c>
      <c r="AX10" s="65">
        <v>30</v>
      </c>
      <c r="AY10" s="64"/>
    </row>
    <row r="11" spans="1:51" ht="12.75">
      <c r="A11" s="18" t="s">
        <v>72</v>
      </c>
      <c r="B11" s="20">
        <v>10</v>
      </c>
      <c r="C11" s="20" t="s">
        <v>74</v>
      </c>
      <c r="E11" s="21">
        <v>24</v>
      </c>
      <c r="F11" s="2" t="s">
        <v>47</v>
      </c>
      <c r="G11" s="18" t="s">
        <v>4</v>
      </c>
      <c r="H11" s="19">
        <v>6</v>
      </c>
      <c r="J11" s="18" t="s">
        <v>2</v>
      </c>
      <c r="K11" s="1">
        <v>30</v>
      </c>
      <c r="L11" s="18" t="s">
        <v>68</v>
      </c>
      <c r="M11" s="18" t="s">
        <v>2</v>
      </c>
      <c r="N11" s="1">
        <v>25</v>
      </c>
      <c r="O11" s="18" t="s">
        <v>68</v>
      </c>
      <c r="P11" s="18" t="s">
        <v>2</v>
      </c>
      <c r="Q11" s="1">
        <v>25</v>
      </c>
      <c r="R11" s="18" t="s">
        <v>68</v>
      </c>
      <c r="S11" s="18" t="s">
        <v>2</v>
      </c>
      <c r="T11" s="1">
        <v>25</v>
      </c>
      <c r="U11" s="18" t="s">
        <v>68</v>
      </c>
      <c r="V11" s="59" t="s">
        <v>172</v>
      </c>
      <c r="W11" s="51">
        <v>40</v>
      </c>
      <c r="X11" s="59" t="s">
        <v>68</v>
      </c>
      <c r="Y11" t="s">
        <v>119</v>
      </c>
      <c r="Z11">
        <v>1</v>
      </c>
      <c r="AB11" t="s">
        <v>119</v>
      </c>
      <c r="AC11">
        <v>1</v>
      </c>
      <c r="AE11" t="s">
        <v>119</v>
      </c>
      <c r="AF11">
        <v>1</v>
      </c>
      <c r="AH11" t="s">
        <v>119</v>
      </c>
      <c r="AI11">
        <v>1</v>
      </c>
      <c r="AK11" t="s">
        <v>119</v>
      </c>
      <c r="AL11">
        <v>1</v>
      </c>
      <c r="AN11" t="s">
        <v>119</v>
      </c>
      <c r="AO11">
        <v>1</v>
      </c>
      <c r="AQ11" s="64" t="s">
        <v>119</v>
      </c>
      <c r="AR11" s="64">
        <v>1</v>
      </c>
      <c r="AS11" s="64"/>
      <c r="AT11" s="64" t="s">
        <v>119</v>
      </c>
      <c r="AU11" s="64">
        <v>1</v>
      </c>
      <c r="AV11" s="64"/>
      <c r="AW11" s="65"/>
      <c r="AX11" s="69"/>
      <c r="AY11" s="64"/>
    </row>
    <row r="12" spans="1:51" ht="12.75">
      <c r="A12" s="18" t="s">
        <v>73</v>
      </c>
      <c r="B12" s="20">
        <v>20</v>
      </c>
      <c r="C12" s="20" t="s">
        <v>74</v>
      </c>
      <c r="D12" t="s">
        <v>101</v>
      </c>
      <c r="E12" s="1">
        <v>60</v>
      </c>
      <c r="F12" s="2" t="s">
        <v>74</v>
      </c>
      <c r="G12" s="18" t="s">
        <v>19</v>
      </c>
      <c r="H12" s="19">
        <v>1</v>
      </c>
      <c r="J12" s="18" t="s">
        <v>4</v>
      </c>
      <c r="K12" s="19">
        <v>6</v>
      </c>
      <c r="M12" s="18"/>
      <c r="N12" s="19"/>
      <c r="P12" s="18"/>
      <c r="Q12" s="19"/>
      <c r="S12" s="18"/>
      <c r="T12" s="19"/>
      <c r="V12" s="59" t="s">
        <v>173</v>
      </c>
      <c r="W12" s="51">
        <v>6</v>
      </c>
      <c r="X12" s="51"/>
      <c r="Y12" t="s">
        <v>77</v>
      </c>
      <c r="Z12">
        <v>0.926</v>
      </c>
      <c r="AB12" t="s">
        <v>77</v>
      </c>
      <c r="AC12">
        <f>Z12</f>
        <v>0.926</v>
      </c>
      <c r="AE12" t="s">
        <v>77</v>
      </c>
      <c r="AF12">
        <f>Z12</f>
        <v>0.926</v>
      </c>
      <c r="AH12" t="s">
        <v>77</v>
      </c>
      <c r="AI12">
        <f>AC12</f>
        <v>0.926</v>
      </c>
      <c r="AK12" t="s">
        <v>77</v>
      </c>
      <c r="AL12">
        <f>AF12</f>
        <v>0.926</v>
      </c>
      <c r="AN12" t="s">
        <v>77</v>
      </c>
      <c r="AO12">
        <f>AI12</f>
        <v>0.926</v>
      </c>
      <c r="AQ12" s="64" t="s">
        <v>77</v>
      </c>
      <c r="AR12" s="64">
        <f>AO12</f>
        <v>0.926</v>
      </c>
      <c r="AS12" s="64"/>
      <c r="AT12" s="64" t="s">
        <v>77</v>
      </c>
      <c r="AU12" s="64">
        <f>AR12</f>
        <v>0.926</v>
      </c>
      <c r="AV12" s="64"/>
      <c r="AW12" s="65" t="s">
        <v>133</v>
      </c>
      <c r="AX12" s="69">
        <v>20</v>
      </c>
      <c r="AY12" s="64"/>
    </row>
    <row r="13" spans="1:51" ht="12.75">
      <c r="A13" t="s">
        <v>50</v>
      </c>
      <c r="B13">
        <v>24</v>
      </c>
      <c r="C13" t="s">
        <v>47</v>
      </c>
      <c r="D13" s="17" t="s">
        <v>108</v>
      </c>
      <c r="E13" s="1">
        <v>7.85E-09</v>
      </c>
      <c r="F13" s="17" t="s">
        <v>109</v>
      </c>
      <c r="G13" s="18"/>
      <c r="H13" s="21"/>
      <c r="I13" s="2"/>
      <c r="J13" s="18" t="s">
        <v>27</v>
      </c>
      <c r="K13" s="19">
        <v>200</v>
      </c>
      <c r="M13" s="18"/>
      <c r="N13" s="19"/>
      <c r="P13" s="18"/>
      <c r="Q13" s="19"/>
      <c r="S13" s="18"/>
      <c r="T13" s="19"/>
      <c r="V13" s="59" t="s">
        <v>174</v>
      </c>
      <c r="W13" s="51">
        <v>200</v>
      </c>
      <c r="X13" s="51"/>
      <c r="Y13" t="s">
        <v>120</v>
      </c>
      <c r="Z13">
        <v>0.073</v>
      </c>
      <c r="AA13" t="s">
        <v>127</v>
      </c>
      <c r="AB13" t="s">
        <v>120</v>
      </c>
      <c r="AC13">
        <v>0.073</v>
      </c>
      <c r="AD13" t="s">
        <v>127</v>
      </c>
      <c r="AE13" t="s">
        <v>120</v>
      </c>
      <c r="AF13">
        <v>0</v>
      </c>
      <c r="AG13" t="s">
        <v>127</v>
      </c>
      <c r="AH13" t="s">
        <v>120</v>
      </c>
      <c r="AI13">
        <v>0</v>
      </c>
      <c r="AJ13" t="s">
        <v>127</v>
      </c>
      <c r="AK13" t="s">
        <v>120</v>
      </c>
      <c r="AL13">
        <v>0.33</v>
      </c>
      <c r="AM13" t="s">
        <v>127</v>
      </c>
      <c r="AN13" t="s">
        <v>3</v>
      </c>
      <c r="AO13">
        <v>0.33</v>
      </c>
      <c r="AP13" t="s">
        <v>54</v>
      </c>
      <c r="AQ13" s="65" t="s">
        <v>166</v>
      </c>
      <c r="AR13" s="64">
        <v>8</v>
      </c>
      <c r="AS13" s="65" t="s">
        <v>254</v>
      </c>
      <c r="AT13" s="65" t="s">
        <v>166</v>
      </c>
      <c r="AU13" s="64">
        <v>8</v>
      </c>
      <c r="AV13" s="65" t="s">
        <v>254</v>
      </c>
      <c r="AW13" s="65" t="s">
        <v>129</v>
      </c>
      <c r="AX13" s="65">
        <v>0</v>
      </c>
      <c r="AY13" s="64"/>
    </row>
    <row r="14" spans="2:51" ht="12.75">
      <c r="B14">
        <v>24</v>
      </c>
      <c r="C14" t="s">
        <v>47</v>
      </c>
      <c r="D14" s="17" t="s">
        <v>78</v>
      </c>
      <c r="E14" s="17">
        <v>1</v>
      </c>
      <c r="G14" s="18" t="s">
        <v>21</v>
      </c>
      <c r="H14" s="19">
        <f>30-H11</f>
        <v>24</v>
      </c>
      <c r="J14" s="18" t="s">
        <v>20</v>
      </c>
      <c r="K14" s="21">
        <v>15</v>
      </c>
      <c r="L14" s="2"/>
      <c r="M14" s="18"/>
      <c r="N14" s="21"/>
      <c r="O14" s="2"/>
      <c r="P14" s="18"/>
      <c r="Q14" s="21"/>
      <c r="R14" s="2"/>
      <c r="S14" s="18"/>
      <c r="T14" s="21"/>
      <c r="U14" s="2"/>
      <c r="V14" s="59" t="s">
        <v>20</v>
      </c>
      <c r="W14" s="51">
        <v>15</v>
      </c>
      <c r="X14" s="53"/>
      <c r="Y14" t="s">
        <v>65</v>
      </c>
      <c r="Z14" s="10">
        <v>8.48E-06</v>
      </c>
      <c r="AA14" s="2" t="s">
        <v>121</v>
      </c>
      <c r="AB14" t="s">
        <v>65</v>
      </c>
      <c r="AC14" s="10">
        <v>7.19E-06</v>
      </c>
      <c r="AD14" s="2" t="s">
        <v>121</v>
      </c>
      <c r="AE14" t="s">
        <v>65</v>
      </c>
      <c r="AF14" s="10">
        <f>Z14</f>
        <v>8.48E-06</v>
      </c>
      <c r="AG14" s="2" t="s">
        <v>121</v>
      </c>
      <c r="AH14" t="s">
        <v>65</v>
      </c>
      <c r="AI14" s="10">
        <f>AC14</f>
        <v>7.19E-06</v>
      </c>
      <c r="AJ14" s="2" t="s">
        <v>121</v>
      </c>
      <c r="AK14" t="s">
        <v>65</v>
      </c>
      <c r="AL14" s="10">
        <f>AF14</f>
        <v>8.48E-06</v>
      </c>
      <c r="AM14" s="2" t="s">
        <v>121</v>
      </c>
      <c r="AN14" t="s">
        <v>65</v>
      </c>
      <c r="AO14" s="10">
        <f>AI14</f>
        <v>7.19E-06</v>
      </c>
      <c r="AP14" s="2" t="s">
        <v>121</v>
      </c>
      <c r="AQ14" s="64" t="s">
        <v>181</v>
      </c>
      <c r="AR14" s="69">
        <f>AL14</f>
        <v>8.48E-06</v>
      </c>
      <c r="AS14" s="65" t="s">
        <v>255</v>
      </c>
      <c r="AT14" s="64" t="s">
        <v>181</v>
      </c>
      <c r="AU14" s="69">
        <f>AO14</f>
        <v>7.19E-06</v>
      </c>
      <c r="AV14" s="65" t="s">
        <v>255</v>
      </c>
      <c r="AW14" s="65"/>
      <c r="AX14" s="69"/>
      <c r="AY14" s="64"/>
    </row>
    <row r="15" spans="1:51" ht="12.75">
      <c r="A15" t="s">
        <v>94</v>
      </c>
      <c r="B15" s="1">
        <v>6</v>
      </c>
      <c r="C15" t="s">
        <v>5</v>
      </c>
      <c r="D15" t="s">
        <v>34</v>
      </c>
      <c r="E15" s="1">
        <f>(E5)/((E10/E11)*E7*E8*E9*E12)</f>
        <v>0.49382716049382713</v>
      </c>
      <c r="F15" t="s">
        <v>110</v>
      </c>
      <c r="G15" s="18" t="s">
        <v>22</v>
      </c>
      <c r="H15" s="19">
        <v>2</v>
      </c>
      <c r="J15" s="18" t="s">
        <v>21</v>
      </c>
      <c r="K15" s="19">
        <f>30-K12</f>
        <v>24</v>
      </c>
      <c r="M15" s="18" t="s">
        <v>31</v>
      </c>
      <c r="N15" s="19">
        <v>25</v>
      </c>
      <c r="P15" s="18" t="s">
        <v>31</v>
      </c>
      <c r="Q15" s="19">
        <v>25</v>
      </c>
      <c r="S15" s="18"/>
      <c r="T15" s="19"/>
      <c r="V15" s="59" t="s">
        <v>175</v>
      </c>
      <c r="W15" s="51">
        <v>34</v>
      </c>
      <c r="X15" s="51"/>
      <c r="AQ15" s="64"/>
      <c r="AR15" s="64"/>
      <c r="AS15" s="64"/>
      <c r="AT15" s="64"/>
      <c r="AU15" s="64"/>
      <c r="AV15" s="64"/>
      <c r="AW15" s="65"/>
      <c r="AX15" s="64"/>
      <c r="AY15" s="64"/>
    </row>
    <row r="16" spans="1:51" s="17" customFormat="1" ht="12.75">
      <c r="A16" s="17" t="s">
        <v>95</v>
      </c>
      <c r="B16" s="17">
        <v>24</v>
      </c>
      <c r="C16" s="17" t="s">
        <v>5</v>
      </c>
      <c r="D16" t="s">
        <v>111</v>
      </c>
      <c r="E16" s="1">
        <f>(E5)/((E10/E11)*E7*E8*E13*(1/365))</f>
        <v>24.79830148619957</v>
      </c>
      <c r="F16" t="s">
        <v>110</v>
      </c>
      <c r="G16" s="18"/>
      <c r="H16" s="20"/>
      <c r="J16" s="18" t="s">
        <v>28</v>
      </c>
      <c r="K16" s="19">
        <v>100</v>
      </c>
      <c r="L16"/>
      <c r="M16" s="18" t="s">
        <v>87</v>
      </c>
      <c r="N16" s="19">
        <v>50</v>
      </c>
      <c r="O16"/>
      <c r="P16" s="18" t="s">
        <v>89</v>
      </c>
      <c r="Q16" s="19">
        <v>100</v>
      </c>
      <c r="R16"/>
      <c r="S16" s="18" t="s">
        <v>260</v>
      </c>
      <c r="T16" s="19">
        <v>100</v>
      </c>
      <c r="U16"/>
      <c r="V16" s="59" t="s">
        <v>176</v>
      </c>
      <c r="W16" s="51">
        <v>100</v>
      </c>
      <c r="X16" s="51"/>
      <c r="AQ16" s="70"/>
      <c r="AR16" s="70"/>
      <c r="AS16" s="70"/>
      <c r="AT16" s="70"/>
      <c r="AU16" s="70"/>
      <c r="AV16" s="70"/>
      <c r="AW16" s="70"/>
      <c r="AX16" s="70"/>
      <c r="AY16" s="70"/>
    </row>
    <row r="17" spans="1:51" ht="12.75">
      <c r="A17" s="17" t="s">
        <v>108</v>
      </c>
      <c r="B17" s="1">
        <v>7.85E-09</v>
      </c>
      <c r="C17" s="17" t="s">
        <v>109</v>
      </c>
      <c r="D17" t="s">
        <v>34</v>
      </c>
      <c r="E17" s="1">
        <f>(E5*E6*E8)/((E10/E11)*(1-EXP(-E6*E8))*E9*E12*E7*E8)</f>
        <v>817.2839506172841</v>
      </c>
      <c r="F17" t="s">
        <v>80</v>
      </c>
      <c r="G17" s="18" t="s">
        <v>24</v>
      </c>
      <c r="H17" s="20">
        <v>0.5</v>
      </c>
      <c r="I17" t="s">
        <v>25</v>
      </c>
      <c r="J17" s="18" t="s">
        <v>23</v>
      </c>
      <c r="K17" s="20">
        <v>70</v>
      </c>
      <c r="L17" s="17"/>
      <c r="M17" s="18"/>
      <c r="N17" s="20"/>
      <c r="O17" s="17"/>
      <c r="P17" s="18"/>
      <c r="Q17" s="20"/>
      <c r="R17" s="17"/>
      <c r="S17" s="18"/>
      <c r="T17" s="20"/>
      <c r="U17" s="17"/>
      <c r="V17" s="59" t="s">
        <v>23</v>
      </c>
      <c r="W17" s="51">
        <v>70</v>
      </c>
      <c r="X17" s="58"/>
      <c r="AQ17" s="64"/>
      <c r="AR17" s="64"/>
      <c r="AS17" s="64"/>
      <c r="AT17" s="64"/>
      <c r="AU17" s="64"/>
      <c r="AV17" s="64"/>
      <c r="AW17" s="65"/>
      <c r="AX17" s="65"/>
      <c r="AY17" s="64"/>
    </row>
    <row r="18" spans="1:51" ht="12.75">
      <c r="A18" s="17" t="s">
        <v>78</v>
      </c>
      <c r="B18" s="17">
        <v>1</v>
      </c>
      <c r="D18" t="s">
        <v>111</v>
      </c>
      <c r="E18" s="1">
        <f>(E5*E6*E8)/((E10/E11)*(1-EXP(-E6*E8))*E13*E7*E8*(1/365))</f>
        <v>41041.18895966029</v>
      </c>
      <c r="F18" t="s">
        <v>80</v>
      </c>
      <c r="G18" s="18" t="s">
        <v>64</v>
      </c>
      <c r="H18" s="10">
        <v>1.8E-11</v>
      </c>
      <c r="I18" s="2" t="s">
        <v>63</v>
      </c>
      <c r="J18" s="18" t="s">
        <v>71</v>
      </c>
      <c r="K18">
        <f>(K12*K19+K15*K20)/(K12+K15)</f>
        <v>18</v>
      </c>
      <c r="L18" t="s">
        <v>74</v>
      </c>
      <c r="M18" s="18"/>
      <c r="P18" s="18"/>
      <c r="S18" s="18"/>
      <c r="V18" s="59" t="s">
        <v>177</v>
      </c>
      <c r="W18" s="51">
        <f>(W12*W19+W15*W20)/(W11)</f>
        <v>18.5</v>
      </c>
      <c r="X18" s="51" t="s">
        <v>74</v>
      </c>
      <c r="Y18" t="s">
        <v>122</v>
      </c>
      <c r="Z18">
        <v>0.683</v>
      </c>
      <c r="AA18" t="s">
        <v>127</v>
      </c>
      <c r="AB18" t="s">
        <v>122</v>
      </c>
      <c r="AC18">
        <v>0.683</v>
      </c>
      <c r="AD18" t="s">
        <v>127</v>
      </c>
      <c r="AE18" s="2" t="s">
        <v>166</v>
      </c>
      <c r="AF18">
        <v>8</v>
      </c>
      <c r="AG18" s="2" t="s">
        <v>54</v>
      </c>
      <c r="AH18" s="2" t="s">
        <v>166</v>
      </c>
      <c r="AI18">
        <v>8</v>
      </c>
      <c r="AJ18" s="2" t="s">
        <v>54</v>
      </c>
      <c r="AK18" s="2" t="s">
        <v>166</v>
      </c>
      <c r="AL18">
        <v>8</v>
      </c>
      <c r="AM18" s="2" t="s">
        <v>54</v>
      </c>
      <c r="AN18" s="2" t="s">
        <v>166</v>
      </c>
      <c r="AO18">
        <v>8</v>
      </c>
      <c r="AP18" s="2" t="s">
        <v>54</v>
      </c>
      <c r="AQ18" s="2" t="s">
        <v>166</v>
      </c>
      <c r="AR18">
        <v>8</v>
      </c>
      <c r="AS18" s="2" t="s">
        <v>54</v>
      </c>
      <c r="AT18" s="2" t="s">
        <v>166</v>
      </c>
      <c r="AU18">
        <v>8</v>
      </c>
      <c r="AV18" s="2" t="s">
        <v>54</v>
      </c>
      <c r="AW18" s="64"/>
      <c r="AX18" s="64"/>
      <c r="AY18" s="64"/>
    </row>
    <row r="19" spans="1:51" ht="12.75">
      <c r="A19" t="s">
        <v>34</v>
      </c>
      <c r="B19" s="1">
        <f>(B5)/((B13/B14)*B7*B8*B9*B10)</f>
        <v>0.29394473838918284</v>
      </c>
      <c r="C19" t="s">
        <v>110</v>
      </c>
      <c r="G19" s="18" t="s">
        <v>106</v>
      </c>
      <c r="H19" s="1">
        <v>10</v>
      </c>
      <c r="I19" s="2"/>
      <c r="J19" s="18" t="s">
        <v>72</v>
      </c>
      <c r="K19" s="20">
        <v>10</v>
      </c>
      <c r="L19" s="20" t="s">
        <v>74</v>
      </c>
      <c r="M19" s="18"/>
      <c r="N19" s="20"/>
      <c r="O19" s="20"/>
      <c r="P19" s="18"/>
      <c r="Q19" s="20"/>
      <c r="R19" s="20"/>
      <c r="S19" s="18"/>
      <c r="T19" s="20"/>
      <c r="U19" s="20"/>
      <c r="V19" s="59" t="s">
        <v>178</v>
      </c>
      <c r="W19" s="61">
        <v>10</v>
      </c>
      <c r="X19" s="61" t="s">
        <v>74</v>
      </c>
      <c r="AQ19" s="64"/>
      <c r="AR19" s="64"/>
      <c r="AS19" s="64"/>
      <c r="AT19" s="64"/>
      <c r="AU19" s="64"/>
      <c r="AV19" s="64"/>
      <c r="AW19" s="64"/>
      <c r="AX19" s="64"/>
      <c r="AY19" s="64"/>
    </row>
    <row r="20" spans="1:51" ht="12.75">
      <c r="A20" t="s">
        <v>111</v>
      </c>
      <c r="B20" s="1">
        <f>(B5)/((B13/B14)*B7*B8*B17*(1/365)*B18)</f>
        <v>4.428268122535638</v>
      </c>
      <c r="C20" t="s">
        <v>110</v>
      </c>
      <c r="G20" s="18" t="s">
        <v>107</v>
      </c>
      <c r="H20" s="10">
        <v>20</v>
      </c>
      <c r="I20" s="2"/>
      <c r="J20" s="18" t="s">
        <v>73</v>
      </c>
      <c r="K20" s="20">
        <v>20</v>
      </c>
      <c r="L20" s="20" t="s">
        <v>74</v>
      </c>
      <c r="M20" s="18" t="s">
        <v>88</v>
      </c>
      <c r="N20" s="20">
        <v>60</v>
      </c>
      <c r="O20" s="20" t="s">
        <v>74</v>
      </c>
      <c r="P20" s="18" t="s">
        <v>88</v>
      </c>
      <c r="Q20" s="20">
        <v>60</v>
      </c>
      <c r="R20" s="20" t="s">
        <v>74</v>
      </c>
      <c r="S20" s="18" t="s">
        <v>88</v>
      </c>
      <c r="T20" s="20">
        <v>60</v>
      </c>
      <c r="U20" s="20" t="s">
        <v>74</v>
      </c>
      <c r="V20" s="59" t="s">
        <v>179</v>
      </c>
      <c r="W20" s="61">
        <v>20</v>
      </c>
      <c r="X20" s="61" t="s">
        <v>74</v>
      </c>
      <c r="AQ20" s="64"/>
      <c r="AR20" s="64"/>
      <c r="AS20" s="64"/>
      <c r="AT20" s="64"/>
      <c r="AU20" s="64"/>
      <c r="AV20" s="64"/>
      <c r="AW20" s="64"/>
      <c r="AX20" s="64"/>
      <c r="AY20" s="64"/>
    </row>
    <row r="21" spans="1:51" ht="12.75">
      <c r="A21" t="s">
        <v>34</v>
      </c>
      <c r="B21" s="1">
        <f>(B5*B8*B6)/((B13/B14)*B7*B8*(1-EXP(-B6*B8))*B9*B10)</f>
        <v>583.7742504409172</v>
      </c>
      <c r="C21" t="s">
        <v>80</v>
      </c>
      <c r="G21" s="18" t="s">
        <v>2</v>
      </c>
      <c r="H21" s="21">
        <v>30</v>
      </c>
      <c r="I21" s="2" t="s">
        <v>15</v>
      </c>
      <c r="J21" s="18" t="s">
        <v>78</v>
      </c>
      <c r="K21" s="20">
        <v>0.4</v>
      </c>
      <c r="L21" s="20"/>
      <c r="M21" s="18" t="s">
        <v>78</v>
      </c>
      <c r="N21" s="20">
        <v>0.4</v>
      </c>
      <c r="O21" s="20"/>
      <c r="P21" s="18" t="s">
        <v>78</v>
      </c>
      <c r="Q21" s="20">
        <v>1</v>
      </c>
      <c r="R21" s="20"/>
      <c r="S21" s="18" t="s">
        <v>78</v>
      </c>
      <c r="T21" s="20">
        <v>1</v>
      </c>
      <c r="U21" s="20"/>
      <c r="V21" s="59" t="s">
        <v>180</v>
      </c>
      <c r="W21" s="61">
        <v>0.4</v>
      </c>
      <c r="X21" s="61"/>
      <c r="Y21" s="34" t="s">
        <v>112</v>
      </c>
      <c r="Z21" s="34" t="s">
        <v>123</v>
      </c>
      <c r="AA21" s="34" t="s">
        <v>104</v>
      </c>
      <c r="AB21" s="34" t="s">
        <v>112</v>
      </c>
      <c r="AC21" s="34" t="s">
        <v>124</v>
      </c>
      <c r="AD21" s="34" t="s">
        <v>104</v>
      </c>
      <c r="AE21" s="37" t="s">
        <v>112</v>
      </c>
      <c r="AF21" s="37" t="s">
        <v>123</v>
      </c>
      <c r="AG21" s="37" t="s">
        <v>104</v>
      </c>
      <c r="AH21" s="37" t="s">
        <v>112</v>
      </c>
      <c r="AI21" s="37" t="s">
        <v>124</v>
      </c>
      <c r="AJ21" s="37" t="s">
        <v>104</v>
      </c>
      <c r="AK21" s="38" t="s">
        <v>112</v>
      </c>
      <c r="AL21" s="38" t="s">
        <v>123</v>
      </c>
      <c r="AM21" s="38" t="s">
        <v>104</v>
      </c>
      <c r="AN21" s="38" t="s">
        <v>112</v>
      </c>
      <c r="AO21" s="38" t="s">
        <v>124</v>
      </c>
      <c r="AP21" s="38" t="s">
        <v>104</v>
      </c>
      <c r="AQ21" s="73" t="s">
        <v>112</v>
      </c>
      <c r="AR21" s="73" t="s">
        <v>123</v>
      </c>
      <c r="AS21" s="73" t="s">
        <v>104</v>
      </c>
      <c r="AT21" s="73" t="s">
        <v>112</v>
      </c>
      <c r="AU21" s="73" t="s">
        <v>124</v>
      </c>
      <c r="AV21" s="73" t="s">
        <v>104</v>
      </c>
      <c r="AW21" s="66" t="s">
        <v>32</v>
      </c>
      <c r="AX21" s="66" t="s">
        <v>104</v>
      </c>
      <c r="AY21" s="66" t="s">
        <v>138</v>
      </c>
    </row>
    <row r="22" spans="1:51" ht="12.75">
      <c r="A22" t="s">
        <v>111</v>
      </c>
      <c r="B22" s="1">
        <f>(B5*B8*B6)/((B13/B14)*B7*B8*(1-EXP(-B6*B8))*B17*(1/365)*B18)</f>
        <v>8794.540491355776</v>
      </c>
      <c r="C22" t="s">
        <v>80</v>
      </c>
      <c r="G22" s="18" t="s">
        <v>71</v>
      </c>
      <c r="H22" s="21">
        <f>(H19*H11+H20*H14)/H21</f>
        <v>18</v>
      </c>
      <c r="I22" s="2"/>
      <c r="J22" s="18" t="s">
        <v>77</v>
      </c>
      <c r="K22" s="20">
        <v>0.926</v>
      </c>
      <c r="L22" s="20"/>
      <c r="M22" s="18" t="s">
        <v>77</v>
      </c>
      <c r="N22" s="20">
        <v>0.926</v>
      </c>
      <c r="O22" s="20"/>
      <c r="P22" s="18" t="s">
        <v>77</v>
      </c>
      <c r="Q22" s="20">
        <f>N22</f>
        <v>0.926</v>
      </c>
      <c r="R22" s="20"/>
      <c r="S22" s="18" t="s">
        <v>77</v>
      </c>
      <c r="T22" s="20">
        <f>Q22</f>
        <v>0.926</v>
      </c>
      <c r="U22" s="20"/>
      <c r="V22" s="59" t="s">
        <v>77</v>
      </c>
      <c r="W22" s="61">
        <f>T22</f>
        <v>0.926</v>
      </c>
      <c r="X22" s="61"/>
      <c r="Y22" s="34" t="s">
        <v>115</v>
      </c>
      <c r="Z22" s="34" t="s">
        <v>84</v>
      </c>
      <c r="AA22" s="35" t="s">
        <v>67</v>
      </c>
      <c r="AB22" s="34" t="s">
        <v>115</v>
      </c>
      <c r="AC22" s="34" t="s">
        <v>84</v>
      </c>
      <c r="AD22" s="35" t="s">
        <v>125</v>
      </c>
      <c r="AE22" s="37" t="s">
        <v>53</v>
      </c>
      <c r="AF22" s="37" t="s">
        <v>128</v>
      </c>
      <c r="AG22" s="39" t="s">
        <v>67</v>
      </c>
      <c r="AH22" s="37" t="s">
        <v>53</v>
      </c>
      <c r="AI22" s="37" t="s">
        <v>128</v>
      </c>
      <c r="AJ22" s="39" t="s">
        <v>125</v>
      </c>
      <c r="AK22" s="38" t="s">
        <v>52</v>
      </c>
      <c r="AL22" s="38" t="s">
        <v>128</v>
      </c>
      <c r="AM22" s="40" t="s">
        <v>67</v>
      </c>
      <c r="AN22" s="38" t="s">
        <v>52</v>
      </c>
      <c r="AO22" s="38" t="s">
        <v>128</v>
      </c>
      <c r="AP22" s="40" t="s">
        <v>125</v>
      </c>
      <c r="AQ22" s="74" t="s">
        <v>253</v>
      </c>
      <c r="AR22" s="73" t="s">
        <v>128</v>
      </c>
      <c r="AS22" s="75" t="s">
        <v>67</v>
      </c>
      <c r="AT22" s="74" t="s">
        <v>253</v>
      </c>
      <c r="AU22" s="73" t="s">
        <v>128</v>
      </c>
      <c r="AV22" s="75" t="s">
        <v>125</v>
      </c>
      <c r="AW22" s="66" t="s">
        <v>67</v>
      </c>
      <c r="AX22" s="66" t="s">
        <v>84</v>
      </c>
      <c r="AY22" s="66" t="s">
        <v>136</v>
      </c>
    </row>
    <row r="23" spans="7:51" ht="12.75">
      <c r="G23" s="18" t="s">
        <v>24</v>
      </c>
      <c r="H23" s="10">
        <v>0.5</v>
      </c>
      <c r="J23" s="18" t="s">
        <v>65</v>
      </c>
      <c r="K23" s="1">
        <f>N23</f>
        <v>8.48E-06</v>
      </c>
      <c r="L23" s="18" t="s">
        <v>66</v>
      </c>
      <c r="M23" s="18" t="s">
        <v>65</v>
      </c>
      <c r="N23" s="1">
        <v>8.48E-06</v>
      </c>
      <c r="O23" s="18" t="s">
        <v>66</v>
      </c>
      <c r="P23" s="18" t="s">
        <v>65</v>
      </c>
      <c r="Q23" s="1">
        <v>8.48E-06</v>
      </c>
      <c r="R23" s="18" t="s">
        <v>66</v>
      </c>
      <c r="S23" s="18" t="s">
        <v>65</v>
      </c>
      <c r="T23" s="1">
        <f>Q23</f>
        <v>8.48E-06</v>
      </c>
      <c r="U23" s="18" t="s">
        <v>66</v>
      </c>
      <c r="V23" s="18" t="s">
        <v>65</v>
      </c>
      <c r="W23" s="52">
        <f>T23</f>
        <v>8.48E-06</v>
      </c>
      <c r="X23" s="18" t="s">
        <v>66</v>
      </c>
      <c r="Y23" s="34" t="s">
        <v>116</v>
      </c>
      <c r="Z23" s="36">
        <f>(Z25*Z26*Z27)/((1-EXP(-Z27*Z26))*Z29*Z34*(Z28/365)*Z32*((Z33)+(Z38*Z30)))</f>
        <v>218629.38283882142</v>
      </c>
      <c r="AA23" s="35" t="s">
        <v>8</v>
      </c>
      <c r="AB23" s="34" t="s">
        <v>116</v>
      </c>
      <c r="AC23" s="36">
        <f>(AC25*AC26*AC27)/((1-EXP(-AC27*AC26))*AC29*AC34*(AC28/365)*AC32*((AC33)+(AC38*AC30)))</f>
        <v>139.83762473781758</v>
      </c>
      <c r="AD23" s="35" t="s">
        <v>8</v>
      </c>
      <c r="AE23" s="37" t="s">
        <v>116</v>
      </c>
      <c r="AF23" s="41">
        <f>(AF25*AF26*AF27)/((1-EXP(-AF27*AF26))*AF29*AF34*(AF28/365)*AF32*(AF38/24)*AF30)</f>
        <v>794739.6695573998</v>
      </c>
      <c r="AG23" s="39" t="s">
        <v>8</v>
      </c>
      <c r="AH23" s="37" t="s">
        <v>116</v>
      </c>
      <c r="AI23" s="41">
        <f>(AI25*AI26*AI27)/((1-EXP(-AI27*AI26))*AI29*AI34*(AI28/365)*AI32*(AI38/24)*AI30)</f>
        <v>508.3237496844408</v>
      </c>
      <c r="AJ23" s="39" t="s">
        <v>8</v>
      </c>
      <c r="AK23" s="38" t="s">
        <v>116</v>
      </c>
      <c r="AL23" s="50">
        <f>(AL25*AL26*AL27)/((1-EXP(-AL27*AL26))*AL29*AL34*(AL28/365)*AL32*(AL38/24)*AL31)</f>
        <v>353217.6309143999</v>
      </c>
      <c r="AM23" s="40" t="s">
        <v>8</v>
      </c>
      <c r="AN23" s="38" t="s">
        <v>116</v>
      </c>
      <c r="AO23" s="50">
        <f>(AO25*AO26*AO27)/((1-EXP(-AO27*AO26))*AO29*AO34*(AO28/365)*AO32*(AO38/24)*AO31)</f>
        <v>225.92166652641814</v>
      </c>
      <c r="AP23" s="40" t="s">
        <v>8</v>
      </c>
      <c r="AQ23" s="73"/>
      <c r="AR23" s="86">
        <f>(AR25*AR26*AR27)/((1-EXP(-AR27*AR26))*AR29*AR34*(AR28/365)*AR32*(AR38/24)*AR31)</f>
        <v>317895.86782295996</v>
      </c>
      <c r="AS23" s="75" t="s">
        <v>8</v>
      </c>
      <c r="AT23" s="73"/>
      <c r="AU23" s="86">
        <f>(AU25*AU26*AU27)/((1-EXP(-AU27*AU26))*AU29*AU34*(AU28/365)*AU32*(AU38/24)*AU31)</f>
        <v>203.32949987377634</v>
      </c>
      <c r="AV23" s="75" t="s">
        <v>8</v>
      </c>
      <c r="AW23" s="87">
        <f>(AX25*AX32*AX37*AX31*10^-3*AX30*AX27)/(AX29*AX40*(1-EXP(-AX27*AX30)))</f>
        <v>2416.098939789141</v>
      </c>
      <c r="AX23" s="68" t="s">
        <v>8</v>
      </c>
      <c r="AY23" s="66" t="s">
        <v>134</v>
      </c>
    </row>
    <row r="24" spans="1:51" ht="12.75">
      <c r="A24" s="7" t="s">
        <v>9</v>
      </c>
      <c r="B24" s="7"/>
      <c r="C24" s="7" t="s">
        <v>104</v>
      </c>
      <c r="D24" s="13" t="s">
        <v>11</v>
      </c>
      <c r="E24" s="4" t="s">
        <v>53</v>
      </c>
      <c r="F24" s="4" t="s">
        <v>104</v>
      </c>
      <c r="G24" s="18"/>
      <c r="I24" s="2"/>
      <c r="J24" s="18" t="s">
        <v>30</v>
      </c>
      <c r="K24" s="1">
        <v>1360000000</v>
      </c>
      <c r="L24" s="18" t="s">
        <v>7</v>
      </c>
      <c r="M24" s="18" t="s">
        <v>30</v>
      </c>
      <c r="N24" s="1">
        <v>1360000000</v>
      </c>
      <c r="O24" s="18" t="s">
        <v>7</v>
      </c>
      <c r="P24" s="18" t="s">
        <v>30</v>
      </c>
      <c r="Q24" s="1">
        <v>1360000000</v>
      </c>
      <c r="R24" s="18" t="s">
        <v>7</v>
      </c>
      <c r="S24" s="18" t="s">
        <v>30</v>
      </c>
      <c r="T24" s="1">
        <v>1360000000</v>
      </c>
      <c r="U24" s="18" t="s">
        <v>7</v>
      </c>
      <c r="V24" s="59" t="s">
        <v>30</v>
      </c>
      <c r="W24" s="52">
        <v>1360000000</v>
      </c>
      <c r="X24" s="59" t="s">
        <v>7</v>
      </c>
      <c r="Y24" s="34"/>
      <c r="Z24" s="36"/>
      <c r="AA24" s="35"/>
      <c r="AB24" s="34"/>
      <c r="AC24" s="36"/>
      <c r="AD24" s="35"/>
      <c r="AE24" s="37" t="s">
        <v>115</v>
      </c>
      <c r="AF24" s="41"/>
      <c r="AG24" s="39"/>
      <c r="AH24" s="37" t="s">
        <v>115</v>
      </c>
      <c r="AI24" s="41"/>
      <c r="AJ24" s="39"/>
      <c r="AK24" s="38" t="s">
        <v>115</v>
      </c>
      <c r="AL24" s="42"/>
      <c r="AM24" s="40"/>
      <c r="AN24" s="38" t="s">
        <v>115</v>
      </c>
      <c r="AO24" s="42"/>
      <c r="AP24" s="40"/>
      <c r="AQ24" s="73" t="s">
        <v>115</v>
      </c>
      <c r="AR24" s="76"/>
      <c r="AS24" s="75"/>
      <c r="AT24" s="73" t="s">
        <v>115</v>
      </c>
      <c r="AU24" s="76"/>
      <c r="AV24" s="75"/>
      <c r="AW24" s="87">
        <f>(AX26*AX32*AX37*AX31*10^-3*AX30*AX27)/(AX29*AX40*(1-EXP(-AX27*AX30)))</f>
        <v>94.6932761038268</v>
      </c>
      <c r="AX24" s="68" t="s">
        <v>8</v>
      </c>
      <c r="AY24" s="66" t="s">
        <v>135</v>
      </c>
    </row>
    <row r="25" spans="1:51" ht="12.75">
      <c r="A25" s="7" t="s">
        <v>44</v>
      </c>
      <c r="B25" s="7" t="s">
        <v>32</v>
      </c>
      <c r="C25" s="7" t="s">
        <v>67</v>
      </c>
      <c r="D25" s="4" t="s">
        <v>10</v>
      </c>
      <c r="E25" s="4" t="s">
        <v>32</v>
      </c>
      <c r="F25" s="4" t="s">
        <v>93</v>
      </c>
      <c r="G25" s="18" t="s">
        <v>39</v>
      </c>
      <c r="H25">
        <v>1</v>
      </c>
      <c r="I25" t="s">
        <v>41</v>
      </c>
      <c r="J25" s="18" t="s">
        <v>64</v>
      </c>
      <c r="K25" s="10">
        <f>N25</f>
        <v>1.8E-11</v>
      </c>
      <c r="L25" s="2" t="s">
        <v>63</v>
      </c>
      <c r="M25" s="18" t="s">
        <v>64</v>
      </c>
      <c r="N25" s="10">
        <v>1.8E-11</v>
      </c>
      <c r="O25" s="2" t="s">
        <v>63</v>
      </c>
      <c r="P25" s="18" t="s">
        <v>64</v>
      </c>
      <c r="Q25" s="10">
        <v>1.8E-11</v>
      </c>
      <c r="R25" s="2" t="s">
        <v>63</v>
      </c>
      <c r="S25" s="18" t="s">
        <v>64</v>
      </c>
      <c r="T25" s="10">
        <f>Q25</f>
        <v>1.8E-11</v>
      </c>
      <c r="U25" s="2" t="s">
        <v>63</v>
      </c>
      <c r="V25" s="18" t="s">
        <v>64</v>
      </c>
      <c r="W25" s="57">
        <f>T25</f>
        <v>1.8E-11</v>
      </c>
      <c r="X25" s="2" t="s">
        <v>63</v>
      </c>
      <c r="Y25" t="s">
        <v>0</v>
      </c>
      <c r="Z25" s="1">
        <v>1E-06</v>
      </c>
      <c r="AB25" t="s">
        <v>0</v>
      </c>
      <c r="AC25" s="1">
        <v>1E-06</v>
      </c>
      <c r="AE25" t="s">
        <v>0</v>
      </c>
      <c r="AF25" s="1">
        <v>1E-06</v>
      </c>
      <c r="AH25" t="s">
        <v>0</v>
      </c>
      <c r="AI25" s="1">
        <v>1E-06</v>
      </c>
      <c r="AK25" t="s">
        <v>0</v>
      </c>
      <c r="AL25" s="1">
        <v>1E-06</v>
      </c>
      <c r="AN25" t="s">
        <v>0</v>
      </c>
      <c r="AO25" s="1">
        <v>1E-06</v>
      </c>
      <c r="AQ25" t="s">
        <v>0</v>
      </c>
      <c r="AR25" s="1">
        <v>1E-06</v>
      </c>
      <c r="AT25" t="s">
        <v>0</v>
      </c>
      <c r="AU25" s="1">
        <v>1E-06</v>
      </c>
      <c r="AW25" s="71" t="s">
        <v>152</v>
      </c>
      <c r="AX25" s="69">
        <v>15</v>
      </c>
      <c r="AY25" s="70" t="s">
        <v>97</v>
      </c>
    </row>
    <row r="26" spans="1:51" ht="12.75">
      <c r="A26" s="7" t="s">
        <v>44</v>
      </c>
      <c r="B26" s="8" t="e">
        <f>B33</f>
        <v>#DIV/0!</v>
      </c>
      <c r="C26" s="9"/>
      <c r="D26" s="4" t="s">
        <v>80</v>
      </c>
      <c r="E26" s="6">
        <f>1/((1/E40)+(1/E41))</f>
        <v>721.1938813580401</v>
      </c>
      <c r="F26" s="5" t="s">
        <v>8</v>
      </c>
      <c r="G26" s="18" t="s">
        <v>40</v>
      </c>
      <c r="H26">
        <v>1</v>
      </c>
      <c r="I26" t="s">
        <v>41</v>
      </c>
      <c r="J26" s="18" t="s">
        <v>120</v>
      </c>
      <c r="K26" s="1">
        <v>0.073</v>
      </c>
      <c r="L26" s="2"/>
      <c r="N26" s="1"/>
      <c r="O26" s="2"/>
      <c r="Q26" s="1"/>
      <c r="R26" s="2"/>
      <c r="T26" s="1"/>
      <c r="U26" s="2"/>
      <c r="V26" s="59"/>
      <c r="W26" s="52"/>
      <c r="X26" s="53"/>
      <c r="Y26" t="s">
        <v>117</v>
      </c>
      <c r="Z26">
        <v>30</v>
      </c>
      <c r="AA26" t="s">
        <v>5</v>
      </c>
      <c r="AB26" t="s">
        <v>117</v>
      </c>
      <c r="AC26">
        <v>30</v>
      </c>
      <c r="AD26" t="s">
        <v>5</v>
      </c>
      <c r="AE26" t="s">
        <v>117</v>
      </c>
      <c r="AF26">
        <v>25</v>
      </c>
      <c r="AG26" t="s">
        <v>5</v>
      </c>
      <c r="AH26" t="s">
        <v>117</v>
      </c>
      <c r="AI26">
        <v>25</v>
      </c>
      <c r="AJ26" t="s">
        <v>5</v>
      </c>
      <c r="AK26" t="s">
        <v>117</v>
      </c>
      <c r="AL26">
        <v>25</v>
      </c>
      <c r="AM26" t="s">
        <v>5</v>
      </c>
      <c r="AN26" t="s">
        <v>117</v>
      </c>
      <c r="AO26">
        <v>25</v>
      </c>
      <c r="AP26" t="s">
        <v>5</v>
      </c>
      <c r="AQ26" t="s">
        <v>117</v>
      </c>
      <c r="AR26">
        <v>25</v>
      </c>
      <c r="AS26" t="s">
        <v>5</v>
      </c>
      <c r="AT26" t="s">
        <v>117</v>
      </c>
      <c r="AU26">
        <v>25</v>
      </c>
      <c r="AV26" t="s">
        <v>5</v>
      </c>
      <c r="AW26" s="65" t="s">
        <v>32</v>
      </c>
      <c r="AX26" s="69">
        <f>H3</f>
        <v>0.5878894767783657</v>
      </c>
      <c r="AY26" s="70" t="s">
        <v>97</v>
      </c>
    </row>
    <row r="27" spans="1:51" ht="12.75">
      <c r="A27" s="7"/>
      <c r="B27" s="8" t="s">
        <v>84</v>
      </c>
      <c r="C27" s="9"/>
      <c r="D27" s="4" t="s">
        <v>110</v>
      </c>
      <c r="E27" s="6">
        <f>1/((1/E38)+(1/E39))</f>
        <v>0.43576669568461635</v>
      </c>
      <c r="F27" s="5" t="s">
        <v>8</v>
      </c>
      <c r="G27" s="18"/>
      <c r="J27" s="18" t="s">
        <v>122</v>
      </c>
      <c r="K27" s="10">
        <v>0.684</v>
      </c>
      <c r="L27" s="2"/>
      <c r="M27" s="18"/>
      <c r="N27" s="10"/>
      <c r="O27" s="2"/>
      <c r="P27" s="18"/>
      <c r="Q27" s="10"/>
      <c r="R27" s="2"/>
      <c r="S27" s="18"/>
      <c r="T27" s="10"/>
      <c r="U27" s="2"/>
      <c r="V27" s="59"/>
      <c r="W27" s="57"/>
      <c r="X27" s="53"/>
      <c r="Y27" t="s">
        <v>69</v>
      </c>
      <c r="Z27" s="10">
        <f>Z7</f>
        <v>66.2</v>
      </c>
      <c r="AB27" t="s">
        <v>69</v>
      </c>
      <c r="AC27" s="10">
        <f>Z7</f>
        <v>66.2</v>
      </c>
      <c r="AE27" t="s">
        <v>69</v>
      </c>
      <c r="AF27" s="10">
        <f>AC27</f>
        <v>66.2</v>
      </c>
      <c r="AH27" t="s">
        <v>69</v>
      </c>
      <c r="AI27" s="10">
        <f>AF27</f>
        <v>66.2</v>
      </c>
      <c r="AK27" t="s">
        <v>69</v>
      </c>
      <c r="AL27" s="10">
        <f>AI27</f>
        <v>66.2</v>
      </c>
      <c r="AN27" t="s">
        <v>69</v>
      </c>
      <c r="AO27" s="10">
        <f>AL27</f>
        <v>66.2</v>
      </c>
      <c r="AQ27" s="64" t="s">
        <v>69</v>
      </c>
      <c r="AR27" s="69">
        <f>AR7</f>
        <v>66.2</v>
      </c>
      <c r="AS27" s="64"/>
      <c r="AT27" s="64" t="s">
        <v>69</v>
      </c>
      <c r="AU27" s="69">
        <f>AR7</f>
        <v>66.2</v>
      </c>
      <c r="AV27" s="64"/>
      <c r="AW27" s="64" t="s">
        <v>69</v>
      </c>
      <c r="AX27" s="69">
        <f>AX7</f>
        <v>66.2</v>
      </c>
      <c r="AY27" s="64"/>
    </row>
    <row r="28" spans="1:51" ht="14.25">
      <c r="A28" s="18" t="s">
        <v>0</v>
      </c>
      <c r="B28" s="1">
        <v>1E-06</v>
      </c>
      <c r="D28" t="s">
        <v>0</v>
      </c>
      <c r="E28" s="1">
        <v>1E-06</v>
      </c>
      <c r="H28">
        <f>1/1000</f>
        <v>0.001</v>
      </c>
      <c r="I28" t="s">
        <v>35</v>
      </c>
      <c r="J28" s="18" t="s">
        <v>2</v>
      </c>
      <c r="K28" s="21">
        <v>30</v>
      </c>
      <c r="L28" s="2" t="s">
        <v>15</v>
      </c>
      <c r="M28" s="18" t="s">
        <v>2</v>
      </c>
      <c r="N28" s="21">
        <v>25</v>
      </c>
      <c r="O28" s="2" t="s">
        <v>15</v>
      </c>
      <c r="P28" s="18" t="s">
        <v>2</v>
      </c>
      <c r="Q28" s="21">
        <v>25</v>
      </c>
      <c r="R28" s="2" t="s">
        <v>15</v>
      </c>
      <c r="S28" s="18"/>
      <c r="T28" s="21"/>
      <c r="U28" s="2"/>
      <c r="V28" s="59" t="s">
        <v>172</v>
      </c>
      <c r="W28" s="62">
        <v>40</v>
      </c>
      <c r="X28" s="53" t="s">
        <v>15</v>
      </c>
      <c r="Y28" t="s">
        <v>1</v>
      </c>
      <c r="Z28">
        <v>350</v>
      </c>
      <c r="AA28" t="s">
        <v>6</v>
      </c>
      <c r="AB28" t="s">
        <v>1</v>
      </c>
      <c r="AC28">
        <v>350</v>
      </c>
      <c r="AD28" t="s">
        <v>6</v>
      </c>
      <c r="AE28" t="s">
        <v>1</v>
      </c>
      <c r="AF28">
        <v>250</v>
      </c>
      <c r="AG28" t="s">
        <v>6</v>
      </c>
      <c r="AH28" t="s">
        <v>1</v>
      </c>
      <c r="AI28">
        <v>250</v>
      </c>
      <c r="AJ28" t="s">
        <v>6</v>
      </c>
      <c r="AK28" t="s">
        <v>1</v>
      </c>
      <c r="AL28">
        <v>225</v>
      </c>
      <c r="AM28" t="s">
        <v>6</v>
      </c>
      <c r="AN28" t="s">
        <v>1</v>
      </c>
      <c r="AO28">
        <v>225</v>
      </c>
      <c r="AP28" t="s">
        <v>6</v>
      </c>
      <c r="AQ28" s="64" t="s">
        <v>1</v>
      </c>
      <c r="AR28" s="64">
        <v>250</v>
      </c>
      <c r="AS28" s="64" t="s">
        <v>6</v>
      </c>
      <c r="AT28" s="64" t="s">
        <v>1</v>
      </c>
      <c r="AU28" s="64">
        <v>250</v>
      </c>
      <c r="AV28" s="64" t="s">
        <v>6</v>
      </c>
      <c r="AW28" s="65" t="s">
        <v>148</v>
      </c>
      <c r="AX28" s="65">
        <v>0.3</v>
      </c>
      <c r="AY28" s="64"/>
    </row>
    <row r="29" spans="1:51" ht="14.25">
      <c r="A29" s="18" t="s">
        <v>1</v>
      </c>
      <c r="B29" s="21">
        <v>350</v>
      </c>
      <c r="C29" s="18" t="s">
        <v>14</v>
      </c>
      <c r="D29" s="18" t="s">
        <v>69</v>
      </c>
      <c r="E29" s="1">
        <v>66.2</v>
      </c>
      <c r="H29">
        <v>1000</v>
      </c>
      <c r="I29" t="s">
        <v>42</v>
      </c>
      <c r="J29" s="18" t="s">
        <v>3</v>
      </c>
      <c r="K29" s="10">
        <v>24</v>
      </c>
      <c r="L29" s="2" t="s">
        <v>54</v>
      </c>
      <c r="M29" s="18" t="s">
        <v>76</v>
      </c>
      <c r="N29" s="10">
        <v>0</v>
      </c>
      <c r="O29" s="2"/>
      <c r="P29" s="18" t="s">
        <v>76</v>
      </c>
      <c r="Q29" s="10">
        <v>0.33</v>
      </c>
      <c r="R29" s="2"/>
      <c r="S29" s="18"/>
      <c r="T29" s="10"/>
      <c r="U29" s="2"/>
      <c r="V29" s="59" t="s">
        <v>184</v>
      </c>
      <c r="W29" s="57">
        <v>0.507</v>
      </c>
      <c r="X29" s="53"/>
      <c r="Y29" t="s">
        <v>2</v>
      </c>
      <c r="Z29">
        <v>30</v>
      </c>
      <c r="AA29" t="s">
        <v>5</v>
      </c>
      <c r="AB29" t="s">
        <v>2</v>
      </c>
      <c r="AC29">
        <v>30</v>
      </c>
      <c r="AD29" t="s">
        <v>5</v>
      </c>
      <c r="AE29" t="s">
        <v>2</v>
      </c>
      <c r="AF29">
        <v>25</v>
      </c>
      <c r="AG29" t="s">
        <v>5</v>
      </c>
      <c r="AH29" t="s">
        <v>2</v>
      </c>
      <c r="AI29">
        <v>25</v>
      </c>
      <c r="AJ29" t="s">
        <v>5</v>
      </c>
      <c r="AK29" t="s">
        <v>2</v>
      </c>
      <c r="AL29">
        <v>25</v>
      </c>
      <c r="AM29" t="s">
        <v>5</v>
      </c>
      <c r="AN29" t="s">
        <v>2</v>
      </c>
      <c r="AO29">
        <v>25</v>
      </c>
      <c r="AP29" t="s">
        <v>5</v>
      </c>
      <c r="AQ29" t="s">
        <v>2</v>
      </c>
      <c r="AR29">
        <v>25</v>
      </c>
      <c r="AS29" t="s">
        <v>5</v>
      </c>
      <c r="AT29" t="s">
        <v>2</v>
      </c>
      <c r="AU29">
        <v>25</v>
      </c>
      <c r="AV29" t="s">
        <v>5</v>
      </c>
      <c r="AW29" s="65" t="s">
        <v>149</v>
      </c>
      <c r="AX29" s="69">
        <v>1.5</v>
      </c>
      <c r="AY29" s="64"/>
    </row>
    <row r="30" spans="1:51" ht="12.75">
      <c r="A30" s="18" t="s">
        <v>16</v>
      </c>
      <c r="B30" s="1"/>
      <c r="C30" s="18" t="s">
        <v>17</v>
      </c>
      <c r="D30" t="s">
        <v>1</v>
      </c>
      <c r="E30">
        <v>250</v>
      </c>
      <c r="F30" t="s">
        <v>6</v>
      </c>
      <c r="J30" s="18" t="s">
        <v>163</v>
      </c>
      <c r="K30" s="10">
        <f>1/24</f>
        <v>0.041666666666666664</v>
      </c>
      <c r="L30" s="2" t="s">
        <v>164</v>
      </c>
      <c r="M30" s="18" t="s">
        <v>166</v>
      </c>
      <c r="N30" s="10">
        <v>8</v>
      </c>
      <c r="O30" s="2"/>
      <c r="P30" s="18" t="s">
        <v>166</v>
      </c>
      <c r="Q30" s="10">
        <v>8</v>
      </c>
      <c r="R30" s="2"/>
      <c r="S30" s="18" t="s">
        <v>166</v>
      </c>
      <c r="T30" s="10">
        <v>8</v>
      </c>
      <c r="U30" s="2"/>
      <c r="V30" s="59" t="s">
        <v>185</v>
      </c>
      <c r="W30" s="57">
        <v>0.417</v>
      </c>
      <c r="X30" s="53"/>
      <c r="Y30" t="s">
        <v>118</v>
      </c>
      <c r="Z30">
        <v>0.4</v>
      </c>
      <c r="AB30" t="s">
        <v>118</v>
      </c>
      <c r="AC30">
        <v>0.4</v>
      </c>
      <c r="AE30" t="s">
        <v>118</v>
      </c>
      <c r="AF30">
        <v>0.4</v>
      </c>
      <c r="AH30" t="s">
        <v>118</v>
      </c>
      <c r="AI30">
        <v>0.4</v>
      </c>
      <c r="AK30" t="s">
        <v>118</v>
      </c>
      <c r="AL30">
        <v>0.4</v>
      </c>
      <c r="AN30" t="s">
        <v>118</v>
      </c>
      <c r="AO30">
        <v>0.4</v>
      </c>
      <c r="AQ30" s="64"/>
      <c r="AR30" s="64"/>
      <c r="AS30" s="64"/>
      <c r="AT30" s="64"/>
      <c r="AU30" s="64"/>
      <c r="AV30" s="64"/>
      <c r="AW30" s="65" t="s">
        <v>117</v>
      </c>
      <c r="AX30" s="65">
        <v>30</v>
      </c>
      <c r="AY30" s="64"/>
    </row>
    <row r="31" spans="1:51" ht="12.75">
      <c r="A31" s="18" t="s">
        <v>2</v>
      </c>
      <c r="B31" s="19">
        <v>30</v>
      </c>
      <c r="D31" t="s">
        <v>2</v>
      </c>
      <c r="E31">
        <v>25</v>
      </c>
      <c r="F31" t="s">
        <v>5</v>
      </c>
      <c r="J31" s="18"/>
      <c r="K31" s="21"/>
      <c r="M31" s="18" t="s">
        <v>163</v>
      </c>
      <c r="N31" s="21">
        <f>1/24</f>
        <v>0.041666666666666664</v>
      </c>
      <c r="P31" s="18" t="s">
        <v>163</v>
      </c>
      <c r="Q31" s="21">
        <f>1/24</f>
        <v>0.041666666666666664</v>
      </c>
      <c r="S31" s="18" t="s">
        <v>163</v>
      </c>
      <c r="T31" s="21">
        <f>1/24</f>
        <v>0.041666666666666664</v>
      </c>
      <c r="V31" s="59"/>
      <c r="W31" s="62"/>
      <c r="X31" s="51"/>
      <c r="Y31" t="s">
        <v>119</v>
      </c>
      <c r="Z31">
        <v>1</v>
      </c>
      <c r="AB31" t="s">
        <v>119</v>
      </c>
      <c r="AC31">
        <v>1</v>
      </c>
      <c r="AE31" t="s">
        <v>119</v>
      </c>
      <c r="AF31">
        <v>1</v>
      </c>
      <c r="AH31" t="s">
        <v>119</v>
      </c>
      <c r="AI31">
        <v>1</v>
      </c>
      <c r="AK31" t="s">
        <v>119</v>
      </c>
      <c r="AL31">
        <v>1</v>
      </c>
      <c r="AN31" t="s">
        <v>119</v>
      </c>
      <c r="AO31">
        <v>1</v>
      </c>
      <c r="AQ31" s="64" t="s">
        <v>119</v>
      </c>
      <c r="AR31" s="64">
        <v>1</v>
      </c>
      <c r="AS31" s="64"/>
      <c r="AT31" s="64" t="s">
        <v>119</v>
      </c>
      <c r="AU31" s="64">
        <v>1</v>
      </c>
      <c r="AV31" s="64"/>
      <c r="AW31" s="65" t="s">
        <v>256</v>
      </c>
      <c r="AX31" s="69">
        <v>70</v>
      </c>
      <c r="AY31" s="64"/>
    </row>
    <row r="32" spans="1:51" ht="12.75">
      <c r="A32" s="18" t="s">
        <v>45</v>
      </c>
      <c r="B32" s="1">
        <v>54</v>
      </c>
      <c r="C32" t="s">
        <v>46</v>
      </c>
      <c r="D32" t="s">
        <v>64</v>
      </c>
      <c r="E32" s="10">
        <v>1.8E-11</v>
      </c>
      <c r="F32" s="2" t="s">
        <v>63</v>
      </c>
      <c r="G32" t="s">
        <v>36</v>
      </c>
      <c r="H32">
        <v>1</v>
      </c>
      <c r="I32" t="s">
        <v>38</v>
      </c>
      <c r="J32" s="18" t="s">
        <v>48</v>
      </c>
      <c r="K32" s="21">
        <v>24</v>
      </c>
      <c r="L32" s="21" t="s">
        <v>47</v>
      </c>
      <c r="M32" s="18" t="s">
        <v>48</v>
      </c>
      <c r="N32" s="21">
        <v>24</v>
      </c>
      <c r="O32" s="21" t="s">
        <v>47</v>
      </c>
      <c r="P32" s="18" t="s">
        <v>48</v>
      </c>
      <c r="Q32" s="21">
        <v>24</v>
      </c>
      <c r="R32" s="21" t="s">
        <v>47</v>
      </c>
      <c r="S32" s="18"/>
      <c r="T32" s="21"/>
      <c r="U32" s="21"/>
      <c r="V32" s="59" t="s">
        <v>186</v>
      </c>
      <c r="W32" s="62">
        <v>24</v>
      </c>
      <c r="X32" s="62" t="s">
        <v>47</v>
      </c>
      <c r="Y32" t="s">
        <v>77</v>
      </c>
      <c r="Z32">
        <f>Z12</f>
        <v>0.926</v>
      </c>
      <c r="AB32" t="s">
        <v>77</v>
      </c>
      <c r="AC32">
        <f>Z12</f>
        <v>0.926</v>
      </c>
      <c r="AE32" t="s">
        <v>77</v>
      </c>
      <c r="AF32">
        <f>Z32</f>
        <v>0.926</v>
      </c>
      <c r="AH32" t="s">
        <v>77</v>
      </c>
      <c r="AI32">
        <f>AC32</f>
        <v>0.926</v>
      </c>
      <c r="AK32" t="s">
        <v>77</v>
      </c>
      <c r="AL32">
        <f>AF32</f>
        <v>0.926</v>
      </c>
      <c r="AN32" t="s">
        <v>77</v>
      </c>
      <c r="AO32">
        <f>AI32</f>
        <v>0.926</v>
      </c>
      <c r="AQ32" s="64" t="s">
        <v>77</v>
      </c>
      <c r="AR32" s="64">
        <f>AR12</f>
        <v>0.926</v>
      </c>
      <c r="AS32" s="64"/>
      <c r="AT32" s="64" t="s">
        <v>77</v>
      </c>
      <c r="AU32" s="64">
        <f>AR12</f>
        <v>0.926</v>
      </c>
      <c r="AV32" s="64"/>
      <c r="AW32" s="65" t="s">
        <v>150</v>
      </c>
      <c r="AX32" s="69">
        <f>1+(AX34*AX35*AX36/AX37*AX38)</f>
        <v>1.7379506112711414</v>
      </c>
      <c r="AY32" s="64"/>
    </row>
    <row r="33" spans="1:51" ht="12.75">
      <c r="A33" s="18" t="s">
        <v>33</v>
      </c>
      <c r="B33" s="1" t="e">
        <f>B28/(B30*B29*B31*B32)</f>
        <v>#DIV/0!</v>
      </c>
      <c r="C33" s="2"/>
      <c r="D33" t="s">
        <v>51</v>
      </c>
      <c r="E33" s="21">
        <v>8</v>
      </c>
      <c r="F33" s="2" t="s">
        <v>47</v>
      </c>
      <c r="G33" t="s">
        <v>37</v>
      </c>
      <c r="H33">
        <v>0.58</v>
      </c>
      <c r="I33" t="s">
        <v>38</v>
      </c>
      <c r="K33" s="21">
        <v>24</v>
      </c>
      <c r="L33" t="s">
        <v>47</v>
      </c>
      <c r="N33" s="21">
        <v>24</v>
      </c>
      <c r="O33" t="s">
        <v>47</v>
      </c>
      <c r="Q33" s="21">
        <v>24</v>
      </c>
      <c r="R33" t="s">
        <v>47</v>
      </c>
      <c r="T33" s="21"/>
      <c r="V33" s="51"/>
      <c r="W33" s="62">
        <f>1/24</f>
        <v>0.041666666666666664</v>
      </c>
      <c r="X33" s="51" t="s">
        <v>261</v>
      </c>
      <c r="Y33" t="s">
        <v>120</v>
      </c>
      <c r="Z33">
        <v>0.073</v>
      </c>
      <c r="AA33" t="s">
        <v>127</v>
      </c>
      <c r="AB33" t="s">
        <v>120</v>
      </c>
      <c r="AC33">
        <v>0.073</v>
      </c>
      <c r="AD33" t="s">
        <v>127</v>
      </c>
      <c r="AE33" t="s">
        <v>120</v>
      </c>
      <c r="AF33">
        <v>0</v>
      </c>
      <c r="AG33" t="s">
        <v>127</v>
      </c>
      <c r="AH33" t="s">
        <v>120</v>
      </c>
      <c r="AI33">
        <v>0</v>
      </c>
      <c r="AJ33" t="s">
        <v>127</v>
      </c>
      <c r="AK33" t="s">
        <v>120</v>
      </c>
      <c r="AL33">
        <v>0.33</v>
      </c>
      <c r="AM33" t="s">
        <v>127</v>
      </c>
      <c r="AN33" t="s">
        <v>3</v>
      </c>
      <c r="AO33">
        <v>0.33</v>
      </c>
      <c r="AP33" t="s">
        <v>54</v>
      </c>
      <c r="AQ33" s="65" t="s">
        <v>166</v>
      </c>
      <c r="AR33" s="64">
        <v>8</v>
      </c>
      <c r="AS33" s="65" t="s">
        <v>254</v>
      </c>
      <c r="AT33" s="65" t="s">
        <v>166</v>
      </c>
      <c r="AU33" s="64">
        <v>8</v>
      </c>
      <c r="AV33" s="65" t="s">
        <v>254</v>
      </c>
      <c r="AW33" s="65" t="s">
        <v>151</v>
      </c>
      <c r="AX33" s="65">
        <f>AX13</f>
        <v>0</v>
      </c>
      <c r="AY33" s="64"/>
    </row>
    <row r="34" spans="3:51" ht="12.75">
      <c r="C34" s="2"/>
      <c r="E34" s="21">
        <v>24</v>
      </c>
      <c r="F34" s="2" t="s">
        <v>47</v>
      </c>
      <c r="G34" s="18" t="s">
        <v>49</v>
      </c>
      <c r="H34" s="21">
        <v>24</v>
      </c>
      <c r="I34" s="21" t="s">
        <v>47</v>
      </c>
      <c r="J34" s="21" t="s">
        <v>82</v>
      </c>
      <c r="K34" s="21">
        <v>30</v>
      </c>
      <c r="L34" s="21" t="s">
        <v>68</v>
      </c>
      <c r="M34" s="21" t="s">
        <v>60</v>
      </c>
      <c r="N34" s="21">
        <v>25</v>
      </c>
      <c r="O34" s="21" t="s">
        <v>68</v>
      </c>
      <c r="P34" s="21" t="s">
        <v>60</v>
      </c>
      <c r="Q34" s="21">
        <v>25</v>
      </c>
      <c r="R34" s="21" t="s">
        <v>68</v>
      </c>
      <c r="S34" s="21" t="s">
        <v>60</v>
      </c>
      <c r="T34" s="21">
        <v>25</v>
      </c>
      <c r="U34" s="21" t="s">
        <v>68</v>
      </c>
      <c r="V34" s="62" t="s">
        <v>187</v>
      </c>
      <c r="W34" s="62">
        <v>40</v>
      </c>
      <c r="X34" s="62" t="s">
        <v>68</v>
      </c>
      <c r="Y34" t="s">
        <v>65</v>
      </c>
      <c r="Z34" s="10">
        <v>9.85E-10</v>
      </c>
      <c r="AA34" s="2" t="s">
        <v>121</v>
      </c>
      <c r="AB34" t="s">
        <v>65</v>
      </c>
      <c r="AC34" s="10">
        <v>1.54E-06</v>
      </c>
      <c r="AD34" s="2" t="s">
        <v>121</v>
      </c>
      <c r="AE34" t="s">
        <v>65</v>
      </c>
      <c r="AF34" s="10">
        <f>Z34</f>
        <v>9.85E-10</v>
      </c>
      <c r="AG34" s="2" t="s">
        <v>121</v>
      </c>
      <c r="AH34" t="s">
        <v>65</v>
      </c>
      <c r="AI34" s="10">
        <f>AC34</f>
        <v>1.54E-06</v>
      </c>
      <c r="AJ34" s="2" t="s">
        <v>121</v>
      </c>
      <c r="AK34" t="s">
        <v>65</v>
      </c>
      <c r="AL34" s="10">
        <f>AF34</f>
        <v>9.85E-10</v>
      </c>
      <c r="AM34" s="2" t="s">
        <v>121</v>
      </c>
      <c r="AN34" t="s">
        <v>65</v>
      </c>
      <c r="AO34" s="10">
        <f>AI34</f>
        <v>1.54E-06</v>
      </c>
      <c r="AP34" s="2" t="s">
        <v>121</v>
      </c>
      <c r="AQ34" s="64" t="s">
        <v>181</v>
      </c>
      <c r="AR34" s="69">
        <f>AL34</f>
        <v>9.85E-10</v>
      </c>
      <c r="AS34" s="65" t="s">
        <v>255</v>
      </c>
      <c r="AT34" s="64" t="s">
        <v>181</v>
      </c>
      <c r="AU34" s="69">
        <f>AO34</f>
        <v>1.54E-06</v>
      </c>
      <c r="AV34" s="65" t="s">
        <v>255</v>
      </c>
      <c r="AW34" s="65" t="s">
        <v>24</v>
      </c>
      <c r="AX34" s="72">
        <v>1</v>
      </c>
      <c r="AY34" s="64" t="s">
        <v>147</v>
      </c>
    </row>
    <row r="35" spans="1:51" ht="12.75">
      <c r="A35" s="7" t="s">
        <v>9</v>
      </c>
      <c r="B35" s="7"/>
      <c r="C35" s="7" t="s">
        <v>104</v>
      </c>
      <c r="D35" t="s">
        <v>101</v>
      </c>
      <c r="E35" s="1">
        <v>60</v>
      </c>
      <c r="F35" s="2" t="s">
        <v>74</v>
      </c>
      <c r="H35" s="21">
        <v>24</v>
      </c>
      <c r="I35" t="s">
        <v>47</v>
      </c>
      <c r="J35" s="21" t="s">
        <v>69</v>
      </c>
      <c r="K35" s="21">
        <f>N35</f>
        <v>66.2</v>
      </c>
      <c r="M35" s="21" t="s">
        <v>69</v>
      </c>
      <c r="N35" s="21">
        <v>66.2</v>
      </c>
      <c r="P35" s="21" t="s">
        <v>69</v>
      </c>
      <c r="Q35" s="21">
        <v>66.2</v>
      </c>
      <c r="S35" s="21" t="s">
        <v>69</v>
      </c>
      <c r="T35" s="21">
        <f>Q35</f>
        <v>66.2</v>
      </c>
      <c r="V35" s="62" t="s">
        <v>69</v>
      </c>
      <c r="W35" s="62">
        <f>T35</f>
        <v>66.2</v>
      </c>
      <c r="X35" s="51"/>
      <c r="AQ35" s="64"/>
      <c r="AR35" s="64"/>
      <c r="AS35" s="64"/>
      <c r="AT35" s="64"/>
      <c r="AU35" s="64"/>
      <c r="AV35" s="64"/>
      <c r="AW35" s="64" t="s">
        <v>140</v>
      </c>
      <c r="AX35" s="72">
        <v>1</v>
      </c>
      <c r="AY35" s="64" t="s">
        <v>146</v>
      </c>
    </row>
    <row r="36" spans="1:51" ht="12.75">
      <c r="A36" s="7" t="s">
        <v>44</v>
      </c>
      <c r="B36" s="7" t="s">
        <v>32</v>
      </c>
      <c r="C36" s="7" t="s">
        <v>97</v>
      </c>
      <c r="D36" s="17" t="s">
        <v>108</v>
      </c>
      <c r="E36" s="1">
        <v>7.85E-09</v>
      </c>
      <c r="F36" s="17" t="s">
        <v>109</v>
      </c>
      <c r="G36" s="18" t="s">
        <v>33</v>
      </c>
      <c r="H36" s="1" t="e">
        <f>H5/(H8*H21*H9*H10)</f>
        <v>#DIV/0!</v>
      </c>
      <c r="I36" s="2"/>
      <c r="K36" s="21">
        <v>365</v>
      </c>
      <c r="L36" t="s">
        <v>79</v>
      </c>
      <c r="N36" s="21">
        <v>365</v>
      </c>
      <c r="O36" t="s">
        <v>79</v>
      </c>
      <c r="Q36" s="21">
        <v>365</v>
      </c>
      <c r="R36" t="s">
        <v>79</v>
      </c>
      <c r="T36" s="21">
        <v>365</v>
      </c>
      <c r="U36" t="s">
        <v>79</v>
      </c>
      <c r="V36" s="51"/>
      <c r="W36" s="62">
        <v>365</v>
      </c>
      <c r="X36" s="51" t="s">
        <v>79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70"/>
      <c r="AR36" s="70"/>
      <c r="AS36" s="70"/>
      <c r="AT36" s="70"/>
      <c r="AU36" s="70"/>
      <c r="AV36" s="70"/>
      <c r="AW36" s="64" t="s">
        <v>141</v>
      </c>
      <c r="AX36" s="72">
        <f>((0.0112*AX38*AX38)^0.5)+AX39*(1-EXP((-AX38*AX37)/(AX34*AX35*AX39)))</f>
        <v>0.7379506112711413</v>
      </c>
      <c r="AY36" s="64" t="s">
        <v>145</v>
      </c>
    </row>
    <row r="37" spans="1:51" ht="12.75">
      <c r="A37" s="7" t="s">
        <v>96</v>
      </c>
      <c r="B37" s="8" t="e">
        <f>B47</f>
        <v>#DIV/0!</v>
      </c>
      <c r="C37" s="9"/>
      <c r="D37" s="17" t="s">
        <v>78</v>
      </c>
      <c r="E37" s="17">
        <v>1</v>
      </c>
      <c r="G37" s="18" t="s">
        <v>34</v>
      </c>
      <c r="H37" s="1">
        <f>H5/(H8*H21*H18*H22*H23)</f>
        <v>0.5878894767783657</v>
      </c>
      <c r="I37" s="2"/>
      <c r="J37" s="2" t="s">
        <v>80</v>
      </c>
      <c r="K37">
        <f>(K34*K35)/(1-EXP(-K35*K34))</f>
        <v>1986</v>
      </c>
      <c r="M37" s="2" t="s">
        <v>80</v>
      </c>
      <c r="N37">
        <f>(N34*N35)/(1-EXP(-N35*N34))</f>
        <v>1655</v>
      </c>
      <c r="P37" s="2" t="s">
        <v>80</v>
      </c>
      <c r="Q37">
        <f>(Q34*Q35)/(1-EXP(-Q35*Q34))</f>
        <v>1655</v>
      </c>
      <c r="S37" s="2" t="s">
        <v>80</v>
      </c>
      <c r="T37">
        <f>(T34*T35)/(1-EXP(-T35*T34))</f>
        <v>1655</v>
      </c>
      <c r="V37" s="53" t="s">
        <v>80</v>
      </c>
      <c r="W37" s="51">
        <f>(W34*W35)/(1-EXP(-W35*W34))</f>
        <v>2648</v>
      </c>
      <c r="X37" s="51"/>
      <c r="AQ37" s="64"/>
      <c r="AR37" s="64"/>
      <c r="AS37" s="64"/>
      <c r="AT37" s="64"/>
      <c r="AU37" s="64"/>
      <c r="AV37" s="64"/>
      <c r="AW37" s="64" t="s">
        <v>139</v>
      </c>
      <c r="AX37" s="72">
        <v>1</v>
      </c>
      <c r="AY37" s="64" t="s">
        <v>147</v>
      </c>
    </row>
    <row r="38" spans="1:51" ht="12.75">
      <c r="A38" s="7" t="s">
        <v>56</v>
      </c>
      <c r="B38" s="8" t="s">
        <v>84</v>
      </c>
      <c r="C38" s="9"/>
      <c r="D38" t="s">
        <v>34</v>
      </c>
      <c r="E38" s="1">
        <f>(E28)/((E33/E34)*E30*E31*E32*E35)</f>
        <v>0.4444444444444445</v>
      </c>
      <c r="F38" t="s">
        <v>110</v>
      </c>
      <c r="G38" s="18"/>
      <c r="H38" s="1"/>
      <c r="I38" s="2"/>
      <c r="K38">
        <v>1000</v>
      </c>
      <c r="L38" t="s">
        <v>83</v>
      </c>
      <c r="N38">
        <v>1000</v>
      </c>
      <c r="O38" t="s">
        <v>83</v>
      </c>
      <c r="Q38">
        <v>1000</v>
      </c>
      <c r="R38" t="s">
        <v>83</v>
      </c>
      <c r="T38">
        <v>1000</v>
      </c>
      <c r="U38" t="s">
        <v>83</v>
      </c>
      <c r="V38" s="51"/>
      <c r="W38" s="51">
        <v>1000</v>
      </c>
      <c r="X38" s="51" t="s">
        <v>83</v>
      </c>
      <c r="Y38" t="s">
        <v>122</v>
      </c>
      <c r="Z38">
        <v>0.683</v>
      </c>
      <c r="AA38" t="s">
        <v>127</v>
      </c>
      <c r="AB38" s="2" t="s">
        <v>166</v>
      </c>
      <c r="AC38">
        <v>0.683</v>
      </c>
      <c r="AD38" s="2" t="s">
        <v>54</v>
      </c>
      <c r="AE38" s="2" t="s">
        <v>166</v>
      </c>
      <c r="AF38">
        <v>8</v>
      </c>
      <c r="AG38" s="2" t="s">
        <v>54</v>
      </c>
      <c r="AH38" s="2" t="s">
        <v>166</v>
      </c>
      <c r="AI38">
        <v>8</v>
      </c>
      <c r="AJ38" s="2" t="s">
        <v>54</v>
      </c>
      <c r="AK38" s="2" t="s">
        <v>166</v>
      </c>
      <c r="AL38">
        <v>8</v>
      </c>
      <c r="AM38" s="2" t="s">
        <v>54</v>
      </c>
      <c r="AN38" s="2" t="s">
        <v>166</v>
      </c>
      <c r="AO38">
        <v>8</v>
      </c>
      <c r="AP38" s="2" t="s">
        <v>54</v>
      </c>
      <c r="AQ38" s="2" t="s">
        <v>166</v>
      </c>
      <c r="AR38">
        <v>8</v>
      </c>
      <c r="AS38" s="2" t="s">
        <v>54</v>
      </c>
      <c r="AT38" s="2" t="s">
        <v>166</v>
      </c>
      <c r="AU38">
        <v>8</v>
      </c>
      <c r="AV38" s="2" t="s">
        <v>54</v>
      </c>
      <c r="AW38" s="64" t="s">
        <v>142</v>
      </c>
      <c r="AX38" s="72">
        <v>1</v>
      </c>
      <c r="AY38" s="64" t="s">
        <v>145</v>
      </c>
    </row>
    <row r="39" spans="1:51" ht="12.75">
      <c r="A39" s="18" t="s">
        <v>0</v>
      </c>
      <c r="B39" s="1">
        <v>1E-06</v>
      </c>
      <c r="D39" t="s">
        <v>111</v>
      </c>
      <c r="E39" s="1">
        <f>(E28)/((E33/E34)*E30*E31*E36*(1/365))</f>
        <v>22.318471337579616</v>
      </c>
      <c r="F39" t="s">
        <v>110</v>
      </c>
      <c r="G39" s="18"/>
      <c r="H39" s="1"/>
      <c r="I39" s="2"/>
      <c r="V39" s="51"/>
      <c r="W39" s="51"/>
      <c r="X39" s="51"/>
      <c r="AQ39" s="64"/>
      <c r="AR39" s="64"/>
      <c r="AS39" s="64"/>
      <c r="AT39" s="64"/>
      <c r="AU39" s="64"/>
      <c r="AV39" s="64"/>
      <c r="AW39" s="64" t="s">
        <v>143</v>
      </c>
      <c r="AX39" s="72">
        <v>1</v>
      </c>
      <c r="AY39" s="64" t="s">
        <v>145</v>
      </c>
    </row>
    <row r="40" spans="1:51" ht="12.75">
      <c r="A40" s="18" t="s">
        <v>1</v>
      </c>
      <c r="B40" s="21">
        <v>350</v>
      </c>
      <c r="C40" s="18" t="s">
        <v>14</v>
      </c>
      <c r="D40" t="s">
        <v>34</v>
      </c>
      <c r="E40" s="1">
        <f>(E28*E29*E31)/((E33/E34)*(1-EXP(-E29*E31))*E32*E35*E30*E31)</f>
        <v>735.5555555555557</v>
      </c>
      <c r="F40" t="s">
        <v>80</v>
      </c>
      <c r="G40" s="18"/>
      <c r="H40" s="1"/>
      <c r="I40" s="2"/>
      <c r="J40" s="18" t="s">
        <v>33</v>
      </c>
      <c r="K40" s="1" t="e">
        <f>(K5/(K9*K10*K8*K11*(1/K6)))*K37</f>
        <v>#DIV/0!</v>
      </c>
      <c r="L40" s="2" t="s">
        <v>8</v>
      </c>
      <c r="M40" s="18" t="s">
        <v>33</v>
      </c>
      <c r="N40" s="1" t="e">
        <f>(N5/(N9*N16*N8*N11*(1/N6)))*N37</f>
        <v>#DIV/0!</v>
      </c>
      <c r="O40" s="2"/>
      <c r="P40" s="18" t="s">
        <v>33</v>
      </c>
      <c r="Q40" s="1" t="e">
        <f>(Q5/(Q9*Q16*Q8*Q11*(1/Q6)))*Q37</f>
        <v>#DIV/0!</v>
      </c>
      <c r="R40" s="2"/>
      <c r="S40" s="18" t="s">
        <v>33</v>
      </c>
      <c r="T40" s="1" t="e">
        <f>(T5/(T9*T16*T8*T11*(1/T6)))*T37</f>
        <v>#DIV/0!</v>
      </c>
      <c r="U40" s="2"/>
      <c r="V40" s="59" t="s">
        <v>188</v>
      </c>
      <c r="W40" s="57" t="e">
        <f>(W5/(W9*W10*W6*W8*W11))*W37</f>
        <v>#DIV/0!</v>
      </c>
      <c r="X40" s="59" t="s">
        <v>8</v>
      </c>
      <c r="AQ40" s="64"/>
      <c r="AR40" s="64"/>
      <c r="AS40" s="64"/>
      <c r="AT40" s="64"/>
      <c r="AU40" s="64"/>
      <c r="AV40" s="64"/>
      <c r="AW40" s="64" t="s">
        <v>144</v>
      </c>
      <c r="AX40" s="72">
        <v>1</v>
      </c>
      <c r="AY40" s="64" t="s">
        <v>145</v>
      </c>
    </row>
    <row r="41" spans="1:51" ht="12.75">
      <c r="A41" s="18" t="s">
        <v>16</v>
      </c>
      <c r="B41" s="1"/>
      <c r="C41" s="18" t="s">
        <v>17</v>
      </c>
      <c r="D41" t="s">
        <v>111</v>
      </c>
      <c r="E41" s="1">
        <f>(E28*E29*E31)/((E33/E34)*(1-EXP(-E29*E31))*E36*E30*E31*(1/365))</f>
        <v>36937.070063694264</v>
      </c>
      <c r="F41" t="s">
        <v>80</v>
      </c>
      <c r="G41" s="18"/>
      <c r="H41" s="1"/>
      <c r="I41" s="2"/>
      <c r="J41" s="18" t="s">
        <v>34</v>
      </c>
      <c r="K41" s="1">
        <f>(K5/(K25*K18*K8*K11*(1/K24)*K29*K30*K38))*K37</f>
        <v>793932980.5996474</v>
      </c>
      <c r="L41" s="2" t="s">
        <v>8</v>
      </c>
      <c r="M41" s="18" t="s">
        <v>34</v>
      </c>
      <c r="N41" s="1">
        <f>(N5/(N25*N20*N8*N11*(1/N24)*N30*N31*N38))*N37</f>
        <v>1000355555.5555555</v>
      </c>
      <c r="O41" s="18" t="s">
        <v>8</v>
      </c>
      <c r="P41" s="18" t="s">
        <v>34</v>
      </c>
      <c r="Q41" s="1">
        <f>(Q5/(Q25*Q20*Q8*Q11*(1/Q24)*Q30*Q31*Q38))*Q37</f>
        <v>1111506172.8395064</v>
      </c>
      <c r="R41" s="18" t="s">
        <v>8</v>
      </c>
      <c r="S41" s="18" t="s">
        <v>34</v>
      </c>
      <c r="T41" s="1">
        <f>(T5/(T25*T20*T8*T11*(1/T24)*T30*T31*T38))*T37</f>
        <v>1000355555.5555555</v>
      </c>
      <c r="U41" s="18" t="s">
        <v>8</v>
      </c>
      <c r="V41" s="59" t="s">
        <v>189</v>
      </c>
      <c r="W41" s="52">
        <f>(W5/(W25*W18*W8*W11*(1/W24)*W32*W33*W38))*W37</f>
        <v>772475332.4753326</v>
      </c>
      <c r="X41" s="59" t="s">
        <v>8</v>
      </c>
      <c r="Y41" s="34" t="s">
        <v>112</v>
      </c>
      <c r="Z41" s="34" t="s">
        <v>126</v>
      </c>
      <c r="AA41" s="34" t="s">
        <v>104</v>
      </c>
      <c r="AE41" s="37" t="s">
        <v>112</v>
      </c>
      <c r="AF41" s="37" t="s">
        <v>126</v>
      </c>
      <c r="AG41" s="37" t="s">
        <v>104</v>
      </c>
      <c r="AK41" s="38" t="s">
        <v>112</v>
      </c>
      <c r="AL41" s="38" t="s">
        <v>126</v>
      </c>
      <c r="AM41" s="38" t="s">
        <v>104</v>
      </c>
      <c r="AQ41" s="73" t="s">
        <v>112</v>
      </c>
      <c r="AR41" s="73" t="s">
        <v>126</v>
      </c>
      <c r="AS41" s="73" t="s">
        <v>104</v>
      </c>
      <c r="AT41" s="64"/>
      <c r="AU41" s="64"/>
      <c r="AV41" s="64"/>
      <c r="AW41" s="64"/>
      <c r="AX41" s="64"/>
      <c r="AY41" s="64"/>
    </row>
    <row r="42" spans="1:51" ht="12.75">
      <c r="A42" s="18" t="s">
        <v>2</v>
      </c>
      <c r="B42" s="19">
        <v>30</v>
      </c>
      <c r="D42" s="17"/>
      <c r="E42" s="31"/>
      <c r="F42" s="32"/>
      <c r="G42" s="18"/>
      <c r="I42" s="2"/>
      <c r="J42" s="18" t="s">
        <v>75</v>
      </c>
      <c r="K42" s="1">
        <f>(K5/(K23*K22*(K26+K27*K21)*K8*(1/K36)*K11))*K37</f>
        <v>25.36573273583476</v>
      </c>
      <c r="L42" s="2" t="s">
        <v>8</v>
      </c>
      <c r="M42" s="18" t="s">
        <v>75</v>
      </c>
      <c r="N42" s="1">
        <f>(N5/(N23*N22*N30*N31*N21*N8*(1/N36)*N11))*N37</f>
        <v>92.31351114552345</v>
      </c>
      <c r="O42" s="18" t="s">
        <v>8</v>
      </c>
      <c r="P42" s="18" t="s">
        <v>75</v>
      </c>
      <c r="Q42" s="1">
        <f>(Q5/(Q23*Q22*Q30*Q31*Q21*Q8*(1/Q36)*Q11))*Q37</f>
        <v>41.0282271757882</v>
      </c>
      <c r="R42" s="18" t="s">
        <v>8</v>
      </c>
      <c r="S42" s="18" t="s">
        <v>75</v>
      </c>
      <c r="T42" s="1">
        <f>(T5/(T23*T22*T30*T31*T21*T8*(1/T36)*T11))*T37</f>
        <v>36.925404458209385</v>
      </c>
      <c r="U42" s="18" t="s">
        <v>8</v>
      </c>
      <c r="V42" s="59" t="s">
        <v>190</v>
      </c>
      <c r="W42" s="52">
        <f>(W5/(W23*W22*(W29+W30*W21)*W8*(1/W36)*W11))*W37</f>
        <v>13.048030522766888</v>
      </c>
      <c r="X42" s="59" t="s">
        <v>8</v>
      </c>
      <c r="Y42" s="34" t="s">
        <v>115</v>
      </c>
      <c r="Z42" s="34" t="s">
        <v>84</v>
      </c>
      <c r="AA42" s="35" t="s">
        <v>67</v>
      </c>
      <c r="AE42" s="37" t="s">
        <v>53</v>
      </c>
      <c r="AF42" s="37" t="s">
        <v>128</v>
      </c>
      <c r="AG42" s="39" t="s">
        <v>67</v>
      </c>
      <c r="AK42" s="38" t="s">
        <v>52</v>
      </c>
      <c r="AL42" s="38" t="s">
        <v>128</v>
      </c>
      <c r="AM42" s="40" t="s">
        <v>67</v>
      </c>
      <c r="AQ42" s="74" t="s">
        <v>253</v>
      </c>
      <c r="AR42" s="73" t="s">
        <v>128</v>
      </c>
      <c r="AS42" s="75" t="s">
        <v>67</v>
      </c>
      <c r="AT42" s="64"/>
      <c r="AU42" s="64"/>
      <c r="AV42" s="64"/>
      <c r="AW42" s="64"/>
      <c r="AX42" s="64"/>
      <c r="AY42" s="64"/>
    </row>
    <row r="43" spans="1:51" ht="12.75">
      <c r="A43" s="18" t="s">
        <v>45</v>
      </c>
      <c r="B43" s="1">
        <v>54</v>
      </c>
      <c r="C43" t="s">
        <v>46</v>
      </c>
      <c r="D43" s="82" t="s">
        <v>11</v>
      </c>
      <c r="E43" s="82" t="s">
        <v>253</v>
      </c>
      <c r="F43" s="80" t="s">
        <v>104</v>
      </c>
      <c r="G43" s="18"/>
      <c r="J43" s="46" t="s">
        <v>161</v>
      </c>
      <c r="K43" s="44" t="e">
        <f>(K5/(K7*K11*K8*(1/K36)*(K46+K47)*K38*K45*K52))*K37</f>
        <v>#DIV/0!</v>
      </c>
      <c r="L43" s="45" t="s">
        <v>8</v>
      </c>
      <c r="V43" s="59" t="s">
        <v>153</v>
      </c>
      <c r="W43" s="52" t="e">
        <f>(W5/(W11*W8*(1/W36)*(W55+W56)*W7*W38*W54*W61))*W37</f>
        <v>#DIV/0!</v>
      </c>
      <c r="X43" s="59" t="s">
        <v>8</v>
      </c>
      <c r="Y43" s="34" t="s">
        <v>116</v>
      </c>
      <c r="Z43" s="36">
        <f>(Z45*Z46*Z47)/((1-EXP(-Z47*Z46))*Z49*Z54*(Z48/365)*Z52*((Z53)+(Z58*Z50)))</f>
        <v>47.643792499167944</v>
      </c>
      <c r="AA43" s="35" t="s">
        <v>8</v>
      </c>
      <c r="AE43" s="37" t="s">
        <v>116</v>
      </c>
      <c r="AF43" s="41">
        <f>(AF45*AF46*AF47)/((1-EXP(-AF47*AF46))*AF49*AF54*(AF48/365)*AF52*(AF58/24)*AF50)</f>
        <v>173.18995011372544</v>
      </c>
      <c r="AG43" s="39" t="s">
        <v>8</v>
      </c>
      <c r="AK43" s="38" t="s">
        <v>116</v>
      </c>
      <c r="AL43" s="50">
        <f>(AL45*AL46*AL47)/((1-EXP(-AL47*AL46))*AL49*AL54*(AL48/365)*AL52*(AL58/24)*AL51)</f>
        <v>76.97331116165574</v>
      </c>
      <c r="AM43" s="40" t="s">
        <v>8</v>
      </c>
      <c r="AQ43" s="73"/>
      <c r="AR43" s="86">
        <f>(AR45*AR46*AR47)/((1-EXP(-AR47*AR46))*AR49*AR54*(AR48/365)*AR52*(AR58/24)*AR51)</f>
        <v>69.27598004549017</v>
      </c>
      <c r="AS43" s="75" t="s">
        <v>8</v>
      </c>
      <c r="AT43" s="64"/>
      <c r="AU43" s="64"/>
      <c r="AV43" s="64"/>
      <c r="AW43" s="64"/>
      <c r="AX43" s="64"/>
      <c r="AY43" s="64"/>
    </row>
    <row r="44" spans="1:51" ht="12.75">
      <c r="A44" s="18"/>
      <c r="B44" s="21">
        <v>1000</v>
      </c>
      <c r="C44" s="2" t="s">
        <v>83</v>
      </c>
      <c r="D44" s="80" t="s">
        <v>10</v>
      </c>
      <c r="E44" s="80" t="s">
        <v>167</v>
      </c>
      <c r="F44" s="80" t="s">
        <v>93</v>
      </c>
      <c r="G44" s="17"/>
      <c r="J44" s="43"/>
      <c r="K44" s="43"/>
      <c r="L44" s="43"/>
      <c r="V44" s="59" t="s">
        <v>191</v>
      </c>
      <c r="W44" s="52" t="e">
        <f>((W5)/(W68*W38*W7*(W8/365)*W11*W69*(1/(W53+W65*(W66/W67)))*(W51/W52)))*W37</f>
        <v>#DIV/0!</v>
      </c>
      <c r="X44" s="53" t="s">
        <v>8</v>
      </c>
      <c r="Y44" s="34"/>
      <c r="Z44" s="36"/>
      <c r="AA44" s="35"/>
      <c r="AE44" s="37" t="s">
        <v>115</v>
      </c>
      <c r="AF44" s="41"/>
      <c r="AG44" s="39"/>
      <c r="AK44" s="38" t="s">
        <v>115</v>
      </c>
      <c r="AL44" s="42"/>
      <c r="AM44" s="40"/>
      <c r="AQ44" s="73" t="s">
        <v>115</v>
      </c>
      <c r="AR44" s="76"/>
      <c r="AS44" s="75"/>
      <c r="AT44" s="64"/>
      <c r="AU44" s="64"/>
      <c r="AV44" s="64"/>
      <c r="AW44" s="64"/>
      <c r="AX44" s="64"/>
      <c r="AY44" s="64"/>
    </row>
    <row r="45" spans="1:51" ht="12.75">
      <c r="A45" s="18" t="s">
        <v>98</v>
      </c>
      <c r="B45" s="10">
        <v>30</v>
      </c>
      <c r="C45" s="2" t="s">
        <v>57</v>
      </c>
      <c r="D45" s="80" t="s">
        <v>80</v>
      </c>
      <c r="E45" s="6">
        <f>1/((1/E59)+(1/E60))</f>
        <v>721.1938813580401</v>
      </c>
      <c r="F45" s="81" t="s">
        <v>8</v>
      </c>
      <c r="G45" s="17"/>
      <c r="J45" s="43" t="s">
        <v>154</v>
      </c>
      <c r="K45" s="43">
        <v>0.25</v>
      </c>
      <c r="L45" s="43"/>
      <c r="V45" s="59" t="s">
        <v>192</v>
      </c>
      <c r="W45" s="52" t="e">
        <f>((W5)/(W7*W38*W77*W8*(1/W36)*W11*((W70*W93*W62)+(W70*W94)+(W70*W92*(1/(W53+W65*(W66/W67)))*(1/W50)))))*W37</f>
        <v>#DIV/0!</v>
      </c>
      <c r="X45" s="57" t="s">
        <v>8</v>
      </c>
      <c r="Y45" t="s">
        <v>0</v>
      </c>
      <c r="Z45" s="1">
        <v>1E-06</v>
      </c>
      <c r="AE45" t="s">
        <v>0</v>
      </c>
      <c r="AF45" s="1">
        <v>1E-06</v>
      </c>
      <c r="AK45" t="s">
        <v>0</v>
      </c>
      <c r="AL45" s="1">
        <v>1E-06</v>
      </c>
      <c r="AQ45" t="s">
        <v>0</v>
      </c>
      <c r="AR45" s="1">
        <v>1E-06</v>
      </c>
      <c r="AT45" s="64"/>
      <c r="AU45" s="64"/>
      <c r="AV45" s="64"/>
      <c r="AW45" s="64"/>
      <c r="AX45" s="64"/>
      <c r="AY45" s="64"/>
    </row>
    <row r="46" spans="1:51" ht="12.75">
      <c r="A46" s="18" t="s">
        <v>99</v>
      </c>
      <c r="B46">
        <v>1</v>
      </c>
      <c r="C46" s="2" t="s">
        <v>100</v>
      </c>
      <c r="D46" s="80" t="s">
        <v>110</v>
      </c>
      <c r="E46" s="6">
        <f>1/((1/E57)+(1/E58))</f>
        <v>0.43576669568461635</v>
      </c>
      <c r="F46" s="81" t="s">
        <v>8</v>
      </c>
      <c r="G46" s="17"/>
      <c r="J46" s="43" t="s">
        <v>155</v>
      </c>
      <c r="K46" s="43">
        <v>17.480000000000004</v>
      </c>
      <c r="L46" s="43"/>
      <c r="V46" s="59" t="s">
        <v>193</v>
      </c>
      <c r="W46" s="52" t="e">
        <f>((W5)/(W7*W38*W78*W8*(1/W36)*W11*((W71*W96*W62)+(W71*W97)+(W71*W95*(1/(W53+W65*(W66/W67)))*(1/W50)))))*W37</f>
        <v>#DIV/0!</v>
      </c>
      <c r="X46" s="52" t="s">
        <v>8</v>
      </c>
      <c r="Y46" t="s">
        <v>117</v>
      </c>
      <c r="Z46">
        <v>30</v>
      </c>
      <c r="AA46" t="s">
        <v>5</v>
      </c>
      <c r="AE46" t="s">
        <v>117</v>
      </c>
      <c r="AF46">
        <v>25</v>
      </c>
      <c r="AG46" t="s">
        <v>5</v>
      </c>
      <c r="AK46" t="s">
        <v>117</v>
      </c>
      <c r="AL46">
        <v>25</v>
      </c>
      <c r="AM46" t="s">
        <v>5</v>
      </c>
      <c r="AQ46" t="s">
        <v>117</v>
      </c>
      <c r="AR46">
        <v>25</v>
      </c>
      <c r="AS46" t="s">
        <v>5</v>
      </c>
      <c r="AT46" s="64"/>
      <c r="AU46" s="64"/>
      <c r="AV46" s="64"/>
      <c r="AW46" s="64"/>
      <c r="AX46" s="64"/>
      <c r="AY46" s="64"/>
    </row>
    <row r="47" spans="1:51" ht="12.75">
      <c r="A47" s="18" t="s">
        <v>33</v>
      </c>
      <c r="B47" s="1" t="e">
        <f>B39/(B41*B40*B42*B43*B45*B46*(1/B44))</f>
        <v>#DIV/0!</v>
      </c>
      <c r="D47" t="s">
        <v>0</v>
      </c>
      <c r="E47" s="1">
        <v>1E-06</v>
      </c>
      <c r="F47" s="77"/>
      <c r="G47" s="17"/>
      <c r="J47" s="43" t="s">
        <v>156</v>
      </c>
      <c r="K47" s="43">
        <v>9.08</v>
      </c>
      <c r="L47" s="43"/>
      <c r="V47" s="59" t="s">
        <v>194</v>
      </c>
      <c r="W47" s="52" t="e">
        <f>((W5)/(W7*W38*W79*W8*(1/W36)*W11*((W72*W99*W62)+(W72*W100)+(W72*W98*(1/(W53+W65*(W66/W67)))*(1/W50)))))*W37</f>
        <v>#DIV/0!</v>
      </c>
      <c r="X47" s="57" t="s">
        <v>8</v>
      </c>
      <c r="Y47" t="s">
        <v>69</v>
      </c>
      <c r="Z47" s="10">
        <f>Z7</f>
        <v>66.2</v>
      </c>
      <c r="AE47" t="s">
        <v>69</v>
      </c>
      <c r="AF47" s="10">
        <f>Z47</f>
        <v>66.2</v>
      </c>
      <c r="AK47" t="s">
        <v>69</v>
      </c>
      <c r="AL47" s="10">
        <f>AF47</f>
        <v>66.2</v>
      </c>
      <c r="AQ47" s="64" t="s">
        <v>69</v>
      </c>
      <c r="AR47" s="69">
        <f>AR7</f>
        <v>66.2</v>
      </c>
      <c r="AS47" s="64"/>
      <c r="AT47" s="64"/>
      <c r="AU47" s="64"/>
      <c r="AV47" s="64"/>
      <c r="AW47" s="64"/>
      <c r="AX47" s="64"/>
      <c r="AY47" s="64"/>
    </row>
    <row r="48" spans="4:51" ht="12.75">
      <c r="D48" s="84" t="s">
        <v>69</v>
      </c>
      <c r="E48" s="78">
        <f>E29</f>
        <v>66.2</v>
      </c>
      <c r="F48" s="77"/>
      <c r="G48" s="17"/>
      <c r="J48" s="43" t="s">
        <v>157</v>
      </c>
      <c r="K48" s="43">
        <v>5.4</v>
      </c>
      <c r="L48" s="43"/>
      <c r="V48" s="59" t="s">
        <v>195</v>
      </c>
      <c r="W48" s="52" t="e">
        <f>((W5)/(W7*W38*W76*W8*(1/W36)*W11*((W73*W90*W62)+(W73*W91))))*W37</f>
        <v>#DIV/0!</v>
      </c>
      <c r="X48" s="57" t="s">
        <v>8</v>
      </c>
      <c r="Y48" t="s">
        <v>1</v>
      </c>
      <c r="Z48">
        <v>350</v>
      </c>
      <c r="AA48" t="s">
        <v>6</v>
      </c>
      <c r="AE48" t="s">
        <v>1</v>
      </c>
      <c r="AF48">
        <v>250</v>
      </c>
      <c r="AG48" t="s">
        <v>6</v>
      </c>
      <c r="AK48" t="s">
        <v>1</v>
      </c>
      <c r="AL48">
        <v>225</v>
      </c>
      <c r="AM48" t="s">
        <v>6</v>
      </c>
      <c r="AQ48" s="64" t="s">
        <v>1</v>
      </c>
      <c r="AR48" s="64">
        <v>250</v>
      </c>
      <c r="AS48" s="64" t="s">
        <v>6</v>
      </c>
      <c r="AT48" s="64"/>
      <c r="AU48" s="64"/>
      <c r="AV48" s="64"/>
      <c r="AW48" s="64"/>
      <c r="AX48" s="64"/>
      <c r="AY48" s="64"/>
    </row>
    <row r="49" spans="4:45" ht="12.75">
      <c r="D49" s="79" t="s">
        <v>257</v>
      </c>
      <c r="E49" s="77">
        <v>250</v>
      </c>
      <c r="F49" s="77" t="s">
        <v>6</v>
      </c>
      <c r="G49" s="17"/>
      <c r="J49" s="43" t="s">
        <v>158</v>
      </c>
      <c r="K49" s="43">
        <v>20.5</v>
      </c>
      <c r="L49" s="43"/>
      <c r="V49" s="59" t="s">
        <v>196</v>
      </c>
      <c r="W49" s="52" t="e">
        <f>((W5)/(W7*W38*W75*W8*(1/W36)*W11*((W74*W90*W62)+(W74*W91))))*W37</f>
        <v>#DIV/0!</v>
      </c>
      <c r="X49" s="57" t="s">
        <v>8</v>
      </c>
      <c r="Y49" t="s">
        <v>2</v>
      </c>
      <c r="Z49">
        <v>30</v>
      </c>
      <c r="AA49" t="s">
        <v>5</v>
      </c>
      <c r="AE49" t="s">
        <v>2</v>
      </c>
      <c r="AF49">
        <v>25</v>
      </c>
      <c r="AG49" t="s">
        <v>5</v>
      </c>
      <c r="AK49" t="s">
        <v>2</v>
      </c>
      <c r="AL49">
        <v>25</v>
      </c>
      <c r="AM49" t="s">
        <v>5</v>
      </c>
      <c r="AQ49" t="s">
        <v>2</v>
      </c>
      <c r="AR49">
        <v>25</v>
      </c>
      <c r="AS49" t="s">
        <v>5</v>
      </c>
    </row>
    <row r="50" spans="4:45" ht="12.75">
      <c r="D50" s="79" t="s">
        <v>31</v>
      </c>
      <c r="E50" s="77">
        <v>25</v>
      </c>
      <c r="F50" s="77" t="s">
        <v>5</v>
      </c>
      <c r="G50" s="17"/>
      <c r="J50" s="43" t="s">
        <v>159</v>
      </c>
      <c r="K50" s="43">
        <v>3.8</v>
      </c>
      <c r="L50" s="43"/>
      <c r="V50" s="59" t="s">
        <v>197</v>
      </c>
      <c r="W50" s="51">
        <v>1</v>
      </c>
      <c r="X50" s="51"/>
      <c r="Y50" t="s">
        <v>118</v>
      </c>
      <c r="Z50">
        <v>0.4</v>
      </c>
      <c r="AE50" t="s">
        <v>118</v>
      </c>
      <c r="AF50">
        <v>0.4</v>
      </c>
      <c r="AQ50" s="64"/>
      <c r="AR50" s="64"/>
      <c r="AS50" s="64"/>
    </row>
    <row r="51" spans="4:45" ht="12.75">
      <c r="D51" t="s">
        <v>64</v>
      </c>
      <c r="E51" s="10">
        <f>E32</f>
        <v>1.8E-11</v>
      </c>
      <c r="F51" s="2" t="s">
        <v>63</v>
      </c>
      <c r="G51" s="17"/>
      <c r="J51" s="43" t="s">
        <v>160</v>
      </c>
      <c r="K51" s="43">
        <v>10.4</v>
      </c>
      <c r="L51" s="43"/>
      <c r="V51" s="51" t="s">
        <v>198</v>
      </c>
      <c r="W51" s="51">
        <v>10000</v>
      </c>
      <c r="X51" s="51" t="s">
        <v>199</v>
      </c>
      <c r="Y51" t="s">
        <v>119</v>
      </c>
      <c r="Z51">
        <v>1</v>
      </c>
      <c r="AE51" t="s">
        <v>119</v>
      </c>
      <c r="AF51">
        <v>1</v>
      </c>
      <c r="AK51" t="s">
        <v>118</v>
      </c>
      <c r="AL51">
        <v>1</v>
      </c>
      <c r="AQ51" s="64" t="s">
        <v>119</v>
      </c>
      <c r="AR51" s="64">
        <v>1</v>
      </c>
      <c r="AS51" s="64"/>
    </row>
    <row r="52" spans="4:45" ht="12.75">
      <c r="D52" s="79" t="s">
        <v>51</v>
      </c>
      <c r="E52" s="85">
        <v>8</v>
      </c>
      <c r="F52" s="79" t="s">
        <v>47</v>
      </c>
      <c r="G52" s="17"/>
      <c r="J52" s="43" t="s">
        <v>58</v>
      </c>
      <c r="K52" s="43">
        <v>0</v>
      </c>
      <c r="L52" s="43"/>
      <c r="V52" s="51" t="s">
        <v>200</v>
      </c>
      <c r="W52" s="51">
        <v>100000</v>
      </c>
      <c r="X52" s="51" t="s">
        <v>199</v>
      </c>
      <c r="Y52" t="s">
        <v>77</v>
      </c>
      <c r="Z52">
        <f>Z12</f>
        <v>0.926</v>
      </c>
      <c r="AE52" t="s">
        <v>77</v>
      </c>
      <c r="AF52">
        <f>Z52</f>
        <v>0.926</v>
      </c>
      <c r="AK52" t="s">
        <v>77</v>
      </c>
      <c r="AL52">
        <f>AF52</f>
        <v>0.926</v>
      </c>
      <c r="AQ52" s="64" t="s">
        <v>77</v>
      </c>
      <c r="AR52" s="64">
        <f>AR12</f>
        <v>0.926</v>
      </c>
      <c r="AS52" s="64"/>
    </row>
    <row r="53" spans="4:45" ht="12.75">
      <c r="D53" s="77"/>
      <c r="E53" s="85">
        <v>24</v>
      </c>
      <c r="F53" s="79" t="s">
        <v>47</v>
      </c>
      <c r="G53" s="17"/>
      <c r="V53" s="51" t="s">
        <v>151</v>
      </c>
      <c r="W53" s="51">
        <v>10</v>
      </c>
      <c r="X53" s="51" t="s">
        <v>57</v>
      </c>
      <c r="Y53" t="s">
        <v>120</v>
      </c>
      <c r="Z53">
        <v>0.073</v>
      </c>
      <c r="AA53" t="s">
        <v>127</v>
      </c>
      <c r="AE53" t="s">
        <v>120</v>
      </c>
      <c r="AF53">
        <v>0</v>
      </c>
      <c r="AG53" t="s">
        <v>127</v>
      </c>
      <c r="AK53" t="s">
        <v>120</v>
      </c>
      <c r="AL53">
        <v>0.33</v>
      </c>
      <c r="AM53" t="s">
        <v>127</v>
      </c>
      <c r="AQ53" s="65" t="s">
        <v>166</v>
      </c>
      <c r="AR53" s="64">
        <v>8</v>
      </c>
      <c r="AS53" s="65" t="s">
        <v>254</v>
      </c>
    </row>
    <row r="54" spans="4:45" ht="12.75">
      <c r="D54" s="79" t="s">
        <v>258</v>
      </c>
      <c r="E54" s="78">
        <v>60</v>
      </c>
      <c r="F54" s="79" t="s">
        <v>74</v>
      </c>
      <c r="G54" s="17"/>
      <c r="V54" s="51" t="s">
        <v>201</v>
      </c>
      <c r="W54" s="51">
        <v>1</v>
      </c>
      <c r="X54" s="51"/>
      <c r="Y54" t="s">
        <v>65</v>
      </c>
      <c r="Z54" s="10">
        <v>4.52E-06</v>
      </c>
      <c r="AA54" s="2" t="s">
        <v>121</v>
      </c>
      <c r="AE54" t="s">
        <v>65</v>
      </c>
      <c r="AF54" s="10">
        <f>Z54</f>
        <v>4.52E-06</v>
      </c>
      <c r="AG54" s="2" t="s">
        <v>121</v>
      </c>
      <c r="AK54" t="s">
        <v>65</v>
      </c>
      <c r="AL54" s="10">
        <f>AF54</f>
        <v>4.52E-06</v>
      </c>
      <c r="AM54" s="2" t="s">
        <v>121</v>
      </c>
      <c r="AQ54" s="64" t="s">
        <v>181</v>
      </c>
      <c r="AR54" s="69">
        <f>AL54</f>
        <v>4.52E-06</v>
      </c>
      <c r="AS54" s="65" t="s">
        <v>255</v>
      </c>
    </row>
    <row r="55" spans="4:45" ht="12.75">
      <c r="D55" s="17" t="s">
        <v>108</v>
      </c>
      <c r="E55" s="1">
        <f>E36</f>
        <v>7.85E-09</v>
      </c>
      <c r="F55" s="17" t="s">
        <v>109</v>
      </c>
      <c r="G55" s="17"/>
      <c r="V55" s="51" t="s">
        <v>202</v>
      </c>
      <c r="W55" s="51">
        <f>(W12*W57+W15*W58)/W11</f>
        <v>18.235</v>
      </c>
      <c r="X55" s="51"/>
      <c r="AQ55" s="64"/>
      <c r="AR55" s="64"/>
      <c r="AS55" s="64"/>
    </row>
    <row r="56" spans="4:45" ht="12.75">
      <c r="D56" s="83" t="s">
        <v>78</v>
      </c>
      <c r="E56" s="83">
        <v>1</v>
      </c>
      <c r="F56" s="77"/>
      <c r="G56" s="17"/>
      <c r="V56" s="51" t="s">
        <v>203</v>
      </c>
      <c r="W56" s="51">
        <f>(W12*W59+W15*W60)/W11</f>
        <v>9.41</v>
      </c>
      <c r="X56" s="51"/>
      <c r="Y56" s="17"/>
      <c r="Z56" s="17"/>
      <c r="AA56" s="17"/>
      <c r="AE56" s="17"/>
      <c r="AF56" s="17"/>
      <c r="AG56" s="17"/>
      <c r="AK56" s="17"/>
      <c r="AL56" s="17"/>
      <c r="AM56" s="17"/>
      <c r="AQ56" s="70"/>
      <c r="AR56" s="70"/>
      <c r="AS56" s="70"/>
    </row>
    <row r="57" spans="4:45" ht="12.75">
      <c r="D57" s="77" t="s">
        <v>189</v>
      </c>
      <c r="E57" s="1">
        <f>(E47)/((E52/E53)*E49*E50*E51*E54)</f>
        <v>0.4444444444444445</v>
      </c>
      <c r="F57" s="77" t="s">
        <v>110</v>
      </c>
      <c r="G57" s="17"/>
      <c r="V57" s="51" t="s">
        <v>204</v>
      </c>
      <c r="W57" s="51">
        <v>5.4</v>
      </c>
      <c r="X57" s="51"/>
      <c r="AQ57" s="64"/>
      <c r="AR57" s="64"/>
      <c r="AS57" s="64"/>
    </row>
    <row r="58" spans="4:45" ht="12.75">
      <c r="D58" s="77" t="s">
        <v>259</v>
      </c>
      <c r="E58" s="1">
        <f>(E47)/((E52/E53)*E49*E50*E55*(1/365))</f>
        <v>22.318471337579616</v>
      </c>
      <c r="F58" s="77" t="s">
        <v>110</v>
      </c>
      <c r="G58" s="17"/>
      <c r="V58" s="51" t="s">
        <v>205</v>
      </c>
      <c r="W58" s="51">
        <v>20.5</v>
      </c>
      <c r="X58" s="51"/>
      <c r="Y58" t="s">
        <v>122</v>
      </c>
      <c r="Z58">
        <v>0.683</v>
      </c>
      <c r="AA58" t="s">
        <v>127</v>
      </c>
      <c r="AE58" s="2" t="s">
        <v>166</v>
      </c>
      <c r="AF58">
        <v>8</v>
      </c>
      <c r="AG58" s="2" t="s">
        <v>54</v>
      </c>
      <c r="AK58" s="2" t="s">
        <v>166</v>
      </c>
      <c r="AL58">
        <v>8</v>
      </c>
      <c r="AM58" s="2" t="s">
        <v>54</v>
      </c>
      <c r="AQ58" s="2" t="s">
        <v>166</v>
      </c>
      <c r="AR58">
        <v>8</v>
      </c>
      <c r="AS58" s="2" t="s">
        <v>54</v>
      </c>
    </row>
    <row r="59" spans="4:45" ht="12.75">
      <c r="D59" s="77" t="s">
        <v>189</v>
      </c>
      <c r="E59" s="1">
        <f>(E47*E48*E50)/((E52/E53)*(1-EXP(-E48*E50))*E51*E54*E49*E50)</f>
        <v>735.5555555555557</v>
      </c>
      <c r="F59" s="77" t="s">
        <v>80</v>
      </c>
      <c r="G59" s="17"/>
      <c r="V59" s="51" t="s">
        <v>206</v>
      </c>
      <c r="W59" s="51">
        <v>3.8</v>
      </c>
      <c r="X59" s="51"/>
      <c r="AQ59" s="64"/>
      <c r="AR59" s="64"/>
      <c r="AS59" s="64"/>
    </row>
    <row r="60" spans="4:45" ht="12.75">
      <c r="D60" s="77" t="s">
        <v>259</v>
      </c>
      <c r="E60" s="1">
        <f>(E47*E48*E50)/((E52/E53)*(1-EXP(-E48*E50))*E55*E49*E50*(1/365))</f>
        <v>36937.070063694264</v>
      </c>
      <c r="F60" s="77" t="s">
        <v>80</v>
      </c>
      <c r="G60" s="17"/>
      <c r="V60" s="51" t="s">
        <v>207</v>
      </c>
      <c r="W60" s="51">
        <v>10.4</v>
      </c>
      <c r="X60" s="51"/>
      <c r="AQ60" s="64"/>
      <c r="AR60" s="64"/>
      <c r="AS60" s="64"/>
    </row>
    <row r="61" spans="7:45" ht="12.75">
      <c r="G61" s="17"/>
      <c r="V61" s="53" t="s">
        <v>208</v>
      </c>
      <c r="W61" s="51">
        <v>0.04</v>
      </c>
      <c r="X61" s="53" t="s">
        <v>59</v>
      </c>
      <c r="AQ61" s="64"/>
      <c r="AR61" s="64"/>
      <c r="AS61" s="64"/>
    </row>
    <row r="62" spans="7:45" ht="12.75">
      <c r="G62" s="17"/>
      <c r="V62" s="53" t="s">
        <v>209</v>
      </c>
      <c r="W62" s="51">
        <v>0.2</v>
      </c>
      <c r="X62" s="53" t="s">
        <v>59</v>
      </c>
      <c r="AQ62" s="64"/>
      <c r="AR62" s="64"/>
      <c r="AS62" s="64"/>
    </row>
    <row r="63" spans="7:45" ht="12.75">
      <c r="G63" s="17"/>
      <c r="V63" s="51" t="s">
        <v>210</v>
      </c>
      <c r="W63" s="51">
        <v>6.4</v>
      </c>
      <c r="X63" s="51" t="s">
        <v>211</v>
      </c>
      <c r="AQ63" s="64"/>
      <c r="AR63" s="64"/>
      <c r="AS63" s="64"/>
    </row>
    <row r="64" spans="7:45" ht="12.75">
      <c r="G64" s="17"/>
      <c r="V64" s="51" t="s">
        <v>212</v>
      </c>
      <c r="W64" s="51">
        <v>45.8</v>
      </c>
      <c r="X64" s="51" t="s">
        <v>211</v>
      </c>
      <c r="AQ64" s="64"/>
      <c r="AR64" s="64"/>
      <c r="AS64" s="64"/>
    </row>
    <row r="65" spans="7:24" ht="12.75">
      <c r="G65" s="17"/>
      <c r="V65" s="51" t="s">
        <v>213</v>
      </c>
      <c r="W65" s="51">
        <v>0.5</v>
      </c>
      <c r="X65" s="51"/>
    </row>
    <row r="66" spans="7:24" ht="12.75">
      <c r="G66" s="17"/>
      <c r="V66" s="51" t="s">
        <v>214</v>
      </c>
      <c r="W66" s="51">
        <v>0.3</v>
      </c>
      <c r="X66" s="51"/>
    </row>
    <row r="67" spans="7:24" ht="12.75">
      <c r="G67" s="17"/>
      <c r="V67" s="51" t="s">
        <v>215</v>
      </c>
      <c r="W67" s="51">
        <v>1.5</v>
      </c>
      <c r="X67" s="51" t="s">
        <v>216</v>
      </c>
    </row>
    <row r="68" spans="7:24" ht="12.75">
      <c r="G68" s="17"/>
      <c r="V68" s="51" t="s">
        <v>217</v>
      </c>
      <c r="W68" s="51">
        <f>(W12*W63+W15*W64)/W11</f>
        <v>39.89</v>
      </c>
      <c r="X68" s="51" t="s">
        <v>211</v>
      </c>
    </row>
    <row r="69" spans="7:24" ht="12.75">
      <c r="G69" s="17"/>
      <c r="V69" s="51" t="s">
        <v>218</v>
      </c>
      <c r="W69" s="51">
        <v>2000</v>
      </c>
      <c r="X69" s="51" t="s">
        <v>219</v>
      </c>
    </row>
    <row r="70" spans="7:24" ht="12.75">
      <c r="G70" s="17"/>
      <c r="V70" s="53" t="s">
        <v>220</v>
      </c>
      <c r="W70" s="51">
        <v>0.03</v>
      </c>
      <c r="X70" s="51"/>
    </row>
    <row r="71" spans="7:24" ht="12.75">
      <c r="G71" s="17"/>
      <c r="V71" s="53" t="s">
        <v>221</v>
      </c>
      <c r="W71" s="51">
        <v>0.008</v>
      </c>
      <c r="X71" s="51"/>
    </row>
    <row r="72" spans="22:24" ht="12.75">
      <c r="V72" s="53" t="s">
        <v>222</v>
      </c>
      <c r="W72" s="51">
        <v>0.24</v>
      </c>
      <c r="X72" s="51"/>
    </row>
    <row r="73" spans="22:24" ht="12.75">
      <c r="V73" s="53" t="s">
        <v>223</v>
      </c>
      <c r="W73" s="51">
        <v>10</v>
      </c>
      <c r="X73" s="51"/>
    </row>
    <row r="74" spans="22:24" ht="12.75">
      <c r="V74" s="53" t="s">
        <v>224</v>
      </c>
      <c r="W74" s="51">
        <v>0.4</v>
      </c>
      <c r="X74" s="53" t="s">
        <v>225</v>
      </c>
    </row>
    <row r="75" spans="22:24" ht="12.75">
      <c r="V75" s="53" t="s">
        <v>226</v>
      </c>
      <c r="W75" s="51">
        <f>(W12*W80+W15*W81)/W11</f>
        <v>13.01</v>
      </c>
      <c r="X75" s="51"/>
    </row>
    <row r="76" spans="22:24" ht="12.75">
      <c r="V76" s="53" t="s">
        <v>227</v>
      </c>
      <c r="W76" s="51">
        <f>(W12*W82+W15*W83)/W11</f>
        <v>31.179999999999996</v>
      </c>
      <c r="X76" s="51"/>
    </row>
    <row r="77" spans="22:24" ht="12.75">
      <c r="V77" s="53" t="s">
        <v>228</v>
      </c>
      <c r="W77" s="51">
        <f>(W12*W84+W15*W85)/W11</f>
        <v>43.37500000000001</v>
      </c>
      <c r="X77" s="51"/>
    </row>
    <row r="78" spans="22:24" ht="12.75">
      <c r="V78" s="53" t="s">
        <v>229</v>
      </c>
      <c r="W78" s="51">
        <f>(W12*W86+W15*W87)/W11</f>
        <v>205.275</v>
      </c>
      <c r="X78" s="51"/>
    </row>
    <row r="79" spans="22:24" ht="12.75">
      <c r="V79" s="53" t="s">
        <v>230</v>
      </c>
      <c r="W79" s="51">
        <f>(W12*W88+W15*W89)/W11</f>
        <v>24.22</v>
      </c>
      <c r="X79" s="51"/>
    </row>
    <row r="80" spans="22:24" ht="12.75">
      <c r="V80" s="53" t="s">
        <v>231</v>
      </c>
      <c r="W80" s="51">
        <v>2.3</v>
      </c>
      <c r="X80" s="51"/>
    </row>
    <row r="81" spans="22:24" ht="12.75">
      <c r="V81" s="53" t="s">
        <v>232</v>
      </c>
      <c r="W81" s="51">
        <v>14.9</v>
      </c>
      <c r="X81" s="51"/>
    </row>
    <row r="82" spans="22:24" ht="12.75">
      <c r="V82" s="53" t="s">
        <v>233</v>
      </c>
      <c r="W82" s="51">
        <v>5</v>
      </c>
      <c r="X82" s="51"/>
    </row>
    <row r="83" spans="22:24" ht="12.75">
      <c r="V83" s="53" t="s">
        <v>234</v>
      </c>
      <c r="W83" s="51">
        <v>35.8</v>
      </c>
      <c r="X83" s="51"/>
    </row>
    <row r="84" spans="22:24" ht="12.75">
      <c r="V84" s="53" t="s">
        <v>235</v>
      </c>
      <c r="W84" s="51">
        <v>4.7</v>
      </c>
      <c r="X84" s="51"/>
    </row>
    <row r="85" spans="22:24" ht="12.75">
      <c r="V85" s="53" t="s">
        <v>236</v>
      </c>
      <c r="W85" s="51">
        <v>50.2</v>
      </c>
      <c r="X85" s="51"/>
    </row>
    <row r="86" spans="22:24" ht="12.75">
      <c r="V86" s="53" t="s">
        <v>237</v>
      </c>
      <c r="W86" s="51">
        <v>96.9</v>
      </c>
      <c r="X86" s="51"/>
    </row>
    <row r="87" spans="22:24" ht="12.75">
      <c r="V87" s="53" t="s">
        <v>238</v>
      </c>
      <c r="W87" s="51">
        <v>224.4</v>
      </c>
      <c r="X87" s="51"/>
    </row>
    <row r="88" spans="22:24" ht="12.75">
      <c r="V88" s="53" t="s">
        <v>239</v>
      </c>
      <c r="W88" s="51">
        <v>4.5</v>
      </c>
      <c r="X88" s="51"/>
    </row>
    <row r="89" spans="22:24" ht="12.75">
      <c r="V89" s="53" t="s">
        <v>240</v>
      </c>
      <c r="W89" s="51">
        <v>27.7</v>
      </c>
      <c r="X89" s="51"/>
    </row>
    <row r="90" spans="22:24" ht="12.75">
      <c r="V90" s="53" t="s">
        <v>241</v>
      </c>
      <c r="W90" s="51">
        <v>0.2</v>
      </c>
      <c r="X90" s="53" t="s">
        <v>242</v>
      </c>
    </row>
    <row r="91" spans="22:24" ht="12.75">
      <c r="V91" s="53" t="s">
        <v>243</v>
      </c>
      <c r="W91" s="51">
        <v>0.022</v>
      </c>
      <c r="X91" s="53" t="s">
        <v>242</v>
      </c>
    </row>
    <row r="92" spans="22:24" ht="12.75">
      <c r="V92" s="53" t="s">
        <v>244</v>
      </c>
      <c r="W92" s="51">
        <v>53</v>
      </c>
      <c r="X92" s="53" t="s">
        <v>61</v>
      </c>
    </row>
    <row r="93" spans="22:24" ht="12.75">
      <c r="V93" s="53" t="s">
        <v>245</v>
      </c>
      <c r="W93" s="51">
        <v>11.77</v>
      </c>
      <c r="X93" s="53" t="s">
        <v>242</v>
      </c>
    </row>
    <row r="94" spans="22:24" ht="12.75">
      <c r="V94" s="53" t="s">
        <v>246</v>
      </c>
      <c r="W94" s="51">
        <v>0.39</v>
      </c>
      <c r="X94" s="53" t="s">
        <v>242</v>
      </c>
    </row>
    <row r="95" spans="22:24" ht="12.75">
      <c r="V95" s="53" t="s">
        <v>247</v>
      </c>
      <c r="W95" s="51">
        <v>92</v>
      </c>
      <c r="X95" s="53" t="s">
        <v>61</v>
      </c>
    </row>
    <row r="96" spans="22:24" ht="12.75">
      <c r="V96" s="53" t="s">
        <v>248</v>
      </c>
      <c r="W96" s="51">
        <v>16.9</v>
      </c>
      <c r="X96" s="53" t="s">
        <v>242</v>
      </c>
    </row>
    <row r="97" spans="22:24" ht="12.75">
      <c r="V97" s="53" t="s">
        <v>249</v>
      </c>
      <c r="W97" s="51">
        <v>0.41</v>
      </c>
      <c r="X97" s="53" t="s">
        <v>242</v>
      </c>
    </row>
    <row r="98" spans="22:24" ht="12.75">
      <c r="V98" s="53" t="s">
        <v>250</v>
      </c>
      <c r="W98" s="51">
        <v>11.4</v>
      </c>
      <c r="X98" s="53" t="s">
        <v>61</v>
      </c>
    </row>
    <row r="99" spans="22:24" ht="12.75">
      <c r="V99" s="53" t="s">
        <v>251</v>
      </c>
      <c r="W99" s="51">
        <v>4.7</v>
      </c>
      <c r="X99" s="53" t="s">
        <v>242</v>
      </c>
    </row>
    <row r="100" spans="22:24" ht="12.75">
      <c r="V100" s="53" t="s">
        <v>252</v>
      </c>
      <c r="W100" s="51">
        <v>0.37</v>
      </c>
      <c r="X100" s="53" t="s">
        <v>242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Dolislager, Fredrick G.</dc:creator>
  <cp:keywords/>
  <dc:description/>
  <cp:lastModifiedBy>Manning, Karessa L.</cp:lastModifiedBy>
  <cp:lastPrinted>2007-10-04T14:36:13Z</cp:lastPrinted>
  <dcterms:created xsi:type="dcterms:W3CDTF">2005-07-01T14:37:00Z</dcterms:created>
  <dcterms:modified xsi:type="dcterms:W3CDTF">2019-06-17T18:52:19Z</dcterms:modified>
  <cp:category/>
  <cp:version/>
  <cp:contentType/>
  <cp:contentStatus/>
</cp:coreProperties>
</file>