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60" windowWidth="11145" windowHeight="10395" activeTab="6"/>
  </bookViews>
  <sheets>
    <sheet name="Soil" sheetId="1" r:id="rId1"/>
    <sheet name="Air" sheetId="2" r:id="rId2"/>
    <sheet name="Tapwater&amp;Fish" sheetId="3" r:id="rId3"/>
    <sheet name="Soil (Manual)" sheetId="4" r:id="rId4"/>
    <sheet name="Air (Manual)" sheetId="5" r:id="rId5"/>
    <sheet name="Tapwater&amp;Fish (Manual)" sheetId="6" r:id="rId6"/>
    <sheet name="Isotope Specific Factors" sheetId="7" r:id="rId7"/>
  </sheets>
  <calcPr calcId="145621"/>
</workbook>
</file>

<file path=xl/calcChain.xml><?xml version="1.0" encoding="utf-8"?>
<calcChain xmlns="http://schemas.openxmlformats.org/spreadsheetml/2006/main">
  <c r="S49" i="6" l="1"/>
  <c r="M49" i="6"/>
  <c r="N49" i="6" s="1"/>
  <c r="O49" i="6" s="1"/>
  <c r="P49" i="6" s="1"/>
  <c r="K49" i="6"/>
  <c r="J49" i="6"/>
  <c r="I49" i="6"/>
  <c r="G49" i="6"/>
  <c r="H49" i="6" s="1"/>
  <c r="S48" i="6"/>
  <c r="M48" i="6"/>
  <c r="N48" i="6" s="1"/>
  <c r="Q48" i="6" s="1"/>
  <c r="R48" i="6" s="1"/>
  <c r="K48" i="6"/>
  <c r="J48" i="6"/>
  <c r="I48" i="6"/>
  <c r="G48" i="6"/>
  <c r="H48" i="6" s="1"/>
  <c r="S47" i="6"/>
  <c r="N47" i="6"/>
  <c r="O47" i="6" s="1"/>
  <c r="P47" i="6" s="1"/>
  <c r="M47" i="6"/>
  <c r="K47" i="6"/>
  <c r="J47" i="6"/>
  <c r="I47" i="6"/>
  <c r="G47" i="6"/>
  <c r="H47" i="6" s="1"/>
  <c r="S46" i="6"/>
  <c r="M46" i="6"/>
  <c r="N46" i="6" s="1"/>
  <c r="O46" i="6" s="1"/>
  <c r="P46" i="6" s="1"/>
  <c r="K46" i="6"/>
  <c r="J46" i="6"/>
  <c r="I46" i="6"/>
  <c r="G46" i="6"/>
  <c r="H46" i="6" s="1"/>
  <c r="S45" i="6"/>
  <c r="M45" i="6"/>
  <c r="N45" i="6" s="1"/>
  <c r="O45" i="6" s="1"/>
  <c r="P45" i="6" s="1"/>
  <c r="K45" i="6"/>
  <c r="J45" i="6"/>
  <c r="I45" i="6"/>
  <c r="G45" i="6"/>
  <c r="H45" i="6" s="1"/>
  <c r="K41" i="6"/>
  <c r="K40" i="6"/>
  <c r="K39" i="6"/>
  <c r="K38" i="6"/>
  <c r="S36" i="3"/>
  <c r="M36" i="3"/>
  <c r="N36" i="3" s="1"/>
  <c r="K36" i="3"/>
  <c r="J36" i="3"/>
  <c r="I36" i="3"/>
  <c r="G36" i="3"/>
  <c r="H36" i="3" s="1"/>
  <c r="S35" i="3"/>
  <c r="M35" i="3"/>
  <c r="N35" i="3" s="1"/>
  <c r="K35" i="3"/>
  <c r="J35" i="3"/>
  <c r="I35" i="3"/>
  <c r="G35" i="3"/>
  <c r="H35" i="3" s="1"/>
  <c r="S34" i="3"/>
  <c r="M34" i="3"/>
  <c r="N34" i="3" s="1"/>
  <c r="K34" i="3"/>
  <c r="J34" i="3"/>
  <c r="I34" i="3"/>
  <c r="G34" i="3"/>
  <c r="H34" i="3" s="1"/>
  <c r="S33" i="3"/>
  <c r="M33" i="3"/>
  <c r="N33" i="3" s="1"/>
  <c r="K33" i="3"/>
  <c r="J33" i="3"/>
  <c r="I33" i="3"/>
  <c r="G33" i="3"/>
  <c r="H33" i="3" s="1"/>
  <c r="S32" i="3"/>
  <c r="M32" i="3"/>
  <c r="N32" i="3" s="1"/>
  <c r="K32" i="3"/>
  <c r="J32" i="3"/>
  <c r="I32" i="3"/>
  <c r="G32" i="3"/>
  <c r="H32" i="3" s="1"/>
  <c r="X29" i="3"/>
  <c r="S29" i="3"/>
  <c r="X28" i="3"/>
  <c r="S28" i="3"/>
  <c r="X27" i="3"/>
  <c r="S27" i="3"/>
  <c r="X26" i="3"/>
  <c r="S26" i="3"/>
  <c r="X25" i="3"/>
  <c r="S25" i="3"/>
  <c r="X24" i="3"/>
  <c r="S24" i="3"/>
  <c r="X23" i="3"/>
  <c r="S23" i="3"/>
  <c r="X22" i="3"/>
  <c r="S22" i="3"/>
  <c r="X21" i="3"/>
  <c r="S21" i="3"/>
  <c r="X19" i="3"/>
  <c r="S19" i="3"/>
  <c r="X18" i="3"/>
  <c r="S18" i="3"/>
  <c r="X17" i="3"/>
  <c r="S17" i="3"/>
  <c r="X16" i="3"/>
  <c r="S16" i="3"/>
  <c r="X15" i="3"/>
  <c r="S15" i="3"/>
  <c r="X14" i="3"/>
  <c r="S14" i="3"/>
  <c r="X13" i="3"/>
  <c r="S13" i="3"/>
  <c r="X12" i="3"/>
  <c r="S12" i="3"/>
  <c r="X11" i="3"/>
  <c r="S11" i="3"/>
  <c r="S10" i="3"/>
  <c r="X9" i="3"/>
  <c r="X8" i="3"/>
  <c r="S8" i="3"/>
  <c r="M19" i="3"/>
  <c r="M18" i="3"/>
  <c r="M17" i="3"/>
  <c r="M16" i="3"/>
  <c r="L12" i="3"/>
  <c r="L11" i="3"/>
  <c r="L13" i="3" s="1"/>
  <c r="L9" i="3"/>
  <c r="L8" i="3"/>
  <c r="L6" i="3"/>
  <c r="L5" i="3"/>
  <c r="L3" i="3"/>
  <c r="L2" i="3"/>
  <c r="L4" i="3" s="1"/>
  <c r="V21" i="1"/>
  <c r="V20" i="1"/>
  <c r="V19" i="1"/>
  <c r="V18" i="1"/>
  <c r="V17" i="1"/>
  <c r="V16" i="1"/>
  <c r="V15" i="1"/>
  <c r="V13" i="1"/>
  <c r="V11" i="1"/>
  <c r="V10" i="1"/>
  <c r="V9" i="1"/>
  <c r="V8" i="1"/>
  <c r="V7" i="1"/>
  <c r="V6" i="1"/>
  <c r="V5" i="1"/>
  <c r="V4" i="1"/>
  <c r="V3" i="1"/>
  <c r="V2" i="1"/>
  <c r="P19" i="1"/>
  <c r="M19" i="1"/>
  <c r="K19" i="1"/>
  <c r="L19" i="1" s="1"/>
  <c r="J19" i="1"/>
  <c r="I19" i="1"/>
  <c r="G19" i="1"/>
  <c r="H19" i="1" s="1"/>
  <c r="P18" i="1"/>
  <c r="K18" i="1"/>
  <c r="J18" i="1"/>
  <c r="G18" i="1"/>
  <c r="H18" i="1" s="1"/>
  <c r="P17" i="1"/>
  <c r="M17" i="1"/>
  <c r="K17" i="1"/>
  <c r="L17" i="1" s="1"/>
  <c r="J17" i="1"/>
  <c r="I17" i="1"/>
  <c r="G17" i="1"/>
  <c r="H17" i="1" s="1"/>
  <c r="P16" i="1"/>
  <c r="M16" i="1"/>
  <c r="K16" i="1"/>
  <c r="L16" i="1" s="1"/>
  <c r="J16" i="1"/>
  <c r="I16" i="1"/>
  <c r="G16" i="1"/>
  <c r="H16" i="1" s="1"/>
  <c r="J20" i="2"/>
  <c r="I20" i="2"/>
  <c r="G20" i="2"/>
  <c r="H20" i="2" s="1"/>
  <c r="I19" i="2"/>
  <c r="G19" i="2"/>
  <c r="H19" i="2" s="1"/>
  <c r="J18" i="2"/>
  <c r="I18" i="2"/>
  <c r="G18" i="2"/>
  <c r="H18" i="2" s="1"/>
  <c r="J17" i="2"/>
  <c r="I17" i="2"/>
  <c r="G17" i="2"/>
  <c r="H17" i="2" s="1"/>
  <c r="Q33" i="3" l="1"/>
  <c r="R33" i="3" s="1"/>
  <c r="O33" i="3"/>
  <c r="P33" i="3" s="1"/>
  <c r="Q32" i="3"/>
  <c r="R32" i="3" s="1"/>
  <c r="O32" i="3"/>
  <c r="P32" i="3" s="1"/>
  <c r="Q36" i="3"/>
  <c r="R36" i="3" s="1"/>
  <c r="O36" i="3"/>
  <c r="P36" i="3" s="1"/>
  <c r="Q35" i="3"/>
  <c r="R35" i="3" s="1"/>
  <c r="O35" i="3"/>
  <c r="P35" i="3" s="1"/>
  <c r="Q34" i="3"/>
  <c r="R34" i="3" s="1"/>
  <c r="O34" i="3"/>
  <c r="P34" i="3" s="1"/>
  <c r="Q45" i="6"/>
  <c r="R45" i="6" s="1"/>
  <c r="Q46" i="6"/>
  <c r="R46" i="6" s="1"/>
  <c r="Q47" i="6"/>
  <c r="R47" i="6" s="1"/>
  <c r="Q49" i="6"/>
  <c r="R49" i="6" s="1"/>
  <c r="O48" i="6"/>
  <c r="P48" i="6" s="1"/>
  <c r="L10" i="3"/>
  <c r="L7" i="3"/>
  <c r="E37" i="6"/>
  <c r="G25" i="5"/>
  <c r="G24" i="5"/>
  <c r="G23" i="5"/>
  <c r="H22" i="5"/>
  <c r="G22" i="5"/>
  <c r="Q29" i="4"/>
  <c r="Q28" i="4"/>
  <c r="Q27" i="4"/>
  <c r="Q26" i="4"/>
  <c r="M29" i="4"/>
  <c r="M27" i="4"/>
  <c r="M26" i="4"/>
  <c r="J29" i="4"/>
  <c r="I29" i="4"/>
  <c r="J28" i="4"/>
  <c r="J27" i="4"/>
  <c r="I27" i="4"/>
  <c r="J26" i="4"/>
  <c r="I26" i="4"/>
  <c r="G26" i="4"/>
  <c r="H26" i="4" s="1"/>
  <c r="K26" i="4"/>
  <c r="L26" i="4" s="1"/>
  <c r="G27" i="4"/>
  <c r="H27" i="4" s="1"/>
  <c r="K27" i="4"/>
  <c r="L27" i="4" s="1"/>
  <c r="G28" i="4"/>
  <c r="H28" i="4" s="1"/>
  <c r="G29" i="4"/>
  <c r="H29" i="4" s="1"/>
  <c r="K29" i="4"/>
  <c r="L29" i="4" s="1"/>
  <c r="I7" i="7"/>
  <c r="H25" i="5" s="1"/>
  <c r="I4" i="7"/>
  <c r="H23" i="5" s="1"/>
  <c r="I3" i="7"/>
  <c r="B27" i="6" l="1"/>
  <c r="B26" i="6"/>
  <c r="B12" i="6"/>
  <c r="G12" i="6" s="1"/>
  <c r="B11" i="6"/>
  <c r="F9" i="6" s="1"/>
  <c r="B4" i="6"/>
  <c r="E6" i="6" s="1"/>
  <c r="E31" i="6"/>
  <c r="E40" i="6"/>
  <c r="E39" i="6"/>
  <c r="E36" i="6"/>
  <c r="E34" i="6"/>
  <c r="E33" i="6"/>
  <c r="E30" i="6"/>
  <c r="I11" i="6"/>
  <c r="G11" i="6"/>
  <c r="E11" i="6"/>
  <c r="I8" i="6"/>
  <c r="F8" i="6"/>
  <c r="E8" i="6"/>
  <c r="I5" i="6"/>
  <c r="G5" i="6"/>
  <c r="E5" i="6"/>
  <c r="I2" i="6"/>
  <c r="G2" i="6"/>
  <c r="E2" i="6"/>
  <c r="F22" i="5"/>
  <c r="E4" i="5" s="1"/>
  <c r="E3" i="2"/>
  <c r="E23" i="5"/>
  <c r="E6" i="5" s="1"/>
  <c r="E24" i="5"/>
  <c r="E9" i="5" s="1"/>
  <c r="E25" i="5"/>
  <c r="F25" i="5" s="1"/>
  <c r="E22" i="5"/>
  <c r="B9" i="5"/>
  <c r="H10" i="5" s="1"/>
  <c r="I13" i="5"/>
  <c r="J12" i="5"/>
  <c r="I12" i="5"/>
  <c r="H12" i="5"/>
  <c r="G12" i="5"/>
  <c r="J9" i="5"/>
  <c r="H9" i="5"/>
  <c r="G9" i="5"/>
  <c r="I7" i="5"/>
  <c r="H7" i="5"/>
  <c r="J6" i="5"/>
  <c r="I6" i="5"/>
  <c r="H6" i="5"/>
  <c r="G6" i="5"/>
  <c r="I4" i="5"/>
  <c r="H4" i="5"/>
  <c r="J3" i="5"/>
  <c r="I3" i="5"/>
  <c r="H3" i="5"/>
  <c r="H5" i="5" s="1"/>
  <c r="G3" i="5"/>
  <c r="F3" i="5"/>
  <c r="E3" i="5"/>
  <c r="J3" i="1"/>
  <c r="H6" i="4"/>
  <c r="K11" i="4"/>
  <c r="I11" i="4"/>
  <c r="K8" i="4"/>
  <c r="I8" i="4"/>
  <c r="K5" i="4"/>
  <c r="I5" i="4"/>
  <c r="K2" i="4"/>
  <c r="I2" i="4"/>
  <c r="G11" i="1"/>
  <c r="H2" i="1"/>
  <c r="G2" i="1"/>
  <c r="H12" i="4"/>
  <c r="B42" i="4"/>
  <c r="B12" i="4" s="1"/>
  <c r="B42" i="1"/>
  <c r="B12" i="1" s="1"/>
  <c r="B28" i="4"/>
  <c r="B27" i="4"/>
  <c r="B11" i="4"/>
  <c r="B4" i="4"/>
  <c r="B27" i="3"/>
  <c r="B26" i="3"/>
  <c r="B28" i="1"/>
  <c r="B12" i="3"/>
  <c r="G6" i="3" s="1"/>
  <c r="B11" i="3"/>
  <c r="F9" i="3" s="1"/>
  <c r="B4" i="3"/>
  <c r="E9" i="3" s="1"/>
  <c r="G11" i="3"/>
  <c r="E11" i="3"/>
  <c r="G5" i="3"/>
  <c r="F8" i="3"/>
  <c r="E8" i="3"/>
  <c r="E5" i="3"/>
  <c r="G2" i="3"/>
  <c r="E2" i="3"/>
  <c r="I13" i="2"/>
  <c r="B9" i="2"/>
  <c r="H10" i="2" s="1"/>
  <c r="B27" i="1"/>
  <c r="B11" i="1"/>
  <c r="G3" i="1" s="1"/>
  <c r="B4" i="1"/>
  <c r="F3" i="1" s="1"/>
  <c r="F13" i="2"/>
  <c r="F12" i="2"/>
  <c r="E12" i="2"/>
  <c r="I12" i="2"/>
  <c r="H12" i="2"/>
  <c r="E9" i="2"/>
  <c r="H9" i="2"/>
  <c r="G9" i="2"/>
  <c r="I7" i="2"/>
  <c r="F7" i="2"/>
  <c r="F6" i="2"/>
  <c r="E6" i="2"/>
  <c r="I6" i="2"/>
  <c r="H6" i="2"/>
  <c r="I4" i="2"/>
  <c r="I3" i="2"/>
  <c r="H3" i="2"/>
  <c r="F3" i="2"/>
  <c r="I8" i="1"/>
  <c r="I11" i="1"/>
  <c r="I5" i="1"/>
  <c r="I2" i="1"/>
  <c r="H11" i="1"/>
  <c r="H5" i="1"/>
  <c r="F2" i="1"/>
  <c r="F12" i="5" l="1"/>
  <c r="H7" i="2"/>
  <c r="E4" i="2"/>
  <c r="H4" i="2"/>
  <c r="E13" i="2"/>
  <c r="E12" i="6"/>
  <c r="G9" i="1"/>
  <c r="H8" i="5"/>
  <c r="E12" i="5"/>
  <c r="E9" i="6"/>
  <c r="E10" i="6" s="1"/>
  <c r="G3" i="6"/>
  <c r="G6" i="6"/>
  <c r="G7" i="6" s="1"/>
  <c r="H11" i="6"/>
  <c r="E32" i="6"/>
  <c r="H2" i="6"/>
  <c r="E41" i="6"/>
  <c r="E35" i="6"/>
  <c r="F13" i="5"/>
  <c r="E13" i="5"/>
  <c r="E14" i="5" s="1"/>
  <c r="F23" i="5"/>
  <c r="F6" i="5"/>
  <c r="I14" i="5"/>
  <c r="H13" i="5"/>
  <c r="H14" i="5" s="1"/>
  <c r="J13" i="5" s="1"/>
  <c r="J14" i="5" s="1"/>
  <c r="F24" i="5"/>
  <c r="E10" i="5" s="1"/>
  <c r="E11" i="5" s="1"/>
  <c r="G10" i="5" s="1"/>
  <c r="G11" i="5" s="1"/>
  <c r="F4" i="5"/>
  <c r="I12" i="4"/>
  <c r="I13" i="4" s="1"/>
  <c r="J11" i="4" s="1"/>
  <c r="G4" i="6"/>
  <c r="G13" i="6"/>
  <c r="G26" i="6"/>
  <c r="G25" i="6"/>
  <c r="E3" i="6"/>
  <c r="E4" i="6" s="1"/>
  <c r="H8" i="6"/>
  <c r="F10" i="6"/>
  <c r="I5" i="5"/>
  <c r="J4" i="5" s="1"/>
  <c r="J5" i="5" s="1"/>
  <c r="I8" i="5"/>
  <c r="F14" i="5"/>
  <c r="G2" i="4"/>
  <c r="I3" i="4"/>
  <c r="I4" i="4" s="1"/>
  <c r="J2" i="4" s="1"/>
  <c r="I9" i="4"/>
  <c r="I10" i="4" s="1"/>
  <c r="J8" i="4" s="1"/>
  <c r="F2" i="4"/>
  <c r="I6" i="4"/>
  <c r="I7" i="4" s="1"/>
  <c r="J5" i="4" s="1"/>
  <c r="H2" i="4"/>
  <c r="E3" i="3"/>
  <c r="E12" i="3"/>
  <c r="G5" i="1"/>
  <c r="J6" i="1"/>
  <c r="G8" i="1"/>
  <c r="H3" i="1"/>
  <c r="F5" i="1"/>
  <c r="F11" i="1"/>
  <c r="H5" i="6"/>
  <c r="E13" i="6"/>
  <c r="E7" i="6"/>
  <c r="E38" i="6"/>
  <c r="F4" i="2"/>
  <c r="F5" i="5"/>
  <c r="H11" i="5"/>
  <c r="J10" i="5" s="1"/>
  <c r="J11" i="5" s="1"/>
  <c r="E5" i="5"/>
  <c r="G4" i="5" s="1"/>
  <c r="G5" i="5" s="1"/>
  <c r="J9" i="1"/>
  <c r="F12" i="4"/>
  <c r="F13" i="4" s="1"/>
  <c r="F11" i="4"/>
  <c r="G9" i="4"/>
  <c r="H11" i="4"/>
  <c r="F6" i="4"/>
  <c r="H5" i="4"/>
  <c r="G6" i="4"/>
  <c r="G8" i="4"/>
  <c r="G12" i="4"/>
  <c r="J9" i="4"/>
  <c r="F5" i="4"/>
  <c r="G5" i="4"/>
  <c r="J6" i="4"/>
  <c r="G11" i="4"/>
  <c r="J12" i="4"/>
  <c r="H11" i="3"/>
  <c r="H2" i="3"/>
  <c r="H5" i="3"/>
  <c r="H8" i="3"/>
  <c r="G12" i="3"/>
  <c r="G3" i="3"/>
  <c r="E6" i="3"/>
  <c r="E10" i="2"/>
  <c r="H13" i="2"/>
  <c r="E7" i="2"/>
  <c r="I6" i="1"/>
  <c r="I3" i="1"/>
  <c r="I12" i="1"/>
  <c r="I9" i="1"/>
  <c r="J7" i="5" l="1"/>
  <c r="J8" i="5" s="1"/>
  <c r="G13" i="5"/>
  <c r="G14" i="5" s="1"/>
  <c r="G27" i="6"/>
  <c r="F7" i="5"/>
  <c r="F8" i="5" s="1"/>
  <c r="E7" i="5"/>
  <c r="E8" i="5" s="1"/>
  <c r="F20" i="6"/>
  <c r="E20" i="6"/>
  <c r="F19" i="6"/>
  <c r="G17" i="6"/>
  <c r="G16" i="6"/>
  <c r="G19" i="6"/>
  <c r="G20" i="6"/>
  <c r="E23" i="6"/>
  <c r="E22" i="6"/>
  <c r="F23" i="6"/>
  <c r="E26" i="6"/>
  <c r="F26" i="6"/>
  <c r="G22" i="6"/>
  <c r="G23" i="6"/>
  <c r="E17" i="6"/>
  <c r="F17" i="6"/>
  <c r="G13" i="4"/>
  <c r="F3" i="4"/>
  <c r="F4" i="4" s="1"/>
  <c r="H3" i="4"/>
  <c r="H4" i="4" s="1"/>
  <c r="J3" i="4"/>
  <c r="J4" i="4" s="1"/>
  <c r="G3" i="4"/>
  <c r="H6" i="1"/>
  <c r="F6" i="1"/>
  <c r="G6" i="1"/>
  <c r="G12" i="1"/>
  <c r="F12" i="1"/>
  <c r="H12" i="1"/>
  <c r="J12" i="1"/>
  <c r="E25" i="6"/>
  <c r="F25" i="6"/>
  <c r="F22" i="6"/>
  <c r="F16" i="6"/>
  <c r="E16" i="6"/>
  <c r="G10" i="4"/>
  <c r="G7" i="4"/>
  <c r="J13" i="4"/>
  <c r="G4" i="4"/>
  <c r="F7" i="4"/>
  <c r="J7" i="4"/>
  <c r="H13" i="4"/>
  <c r="H7" i="4"/>
  <c r="J10" i="4"/>
  <c r="F23" i="3"/>
  <c r="E23" i="3"/>
  <c r="E17" i="3"/>
  <c r="F17" i="3"/>
  <c r="G22" i="3"/>
  <c r="G23" i="3"/>
  <c r="G17" i="3"/>
  <c r="G16" i="3"/>
  <c r="F20" i="3"/>
  <c r="E20" i="3"/>
  <c r="F26" i="3"/>
  <c r="E26" i="3"/>
  <c r="G20" i="3"/>
  <c r="G19" i="3"/>
  <c r="G25" i="3"/>
  <c r="G26" i="3"/>
  <c r="T23" i="6"/>
  <c r="O23" i="6"/>
  <c r="T22" i="6"/>
  <c r="O22" i="6"/>
  <c r="T21" i="6"/>
  <c r="O21" i="6"/>
  <c r="T20" i="6"/>
  <c r="O20" i="6"/>
  <c r="T19" i="6"/>
  <c r="O19" i="6"/>
  <c r="T18" i="6"/>
  <c r="O18" i="6"/>
  <c r="T17" i="6"/>
  <c r="O17" i="6"/>
  <c r="T16" i="6"/>
  <c r="O16" i="6"/>
  <c r="T15" i="6"/>
  <c r="O15" i="6"/>
  <c r="T13" i="6"/>
  <c r="O13" i="6"/>
  <c r="T12" i="6"/>
  <c r="O12" i="6"/>
  <c r="T11" i="6"/>
  <c r="O11" i="6"/>
  <c r="T10" i="6"/>
  <c r="O10" i="6"/>
  <c r="T9" i="6"/>
  <c r="O9" i="6"/>
  <c r="T8" i="6"/>
  <c r="O8" i="6"/>
  <c r="T7" i="6"/>
  <c r="O7" i="6"/>
  <c r="T6" i="6"/>
  <c r="O6" i="6"/>
  <c r="T5" i="6"/>
  <c r="O5" i="6"/>
  <c r="O4" i="6"/>
  <c r="T3" i="6"/>
  <c r="T2" i="6"/>
  <c r="O2" i="6"/>
  <c r="P26" i="5"/>
  <c r="P25" i="5"/>
  <c r="P24" i="5"/>
  <c r="P23" i="5"/>
  <c r="P22" i="5"/>
  <c r="P21" i="5"/>
  <c r="P20" i="5"/>
  <c r="P18" i="5"/>
  <c r="P17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Q21" i="4"/>
  <c r="Q20" i="4"/>
  <c r="Q19" i="4"/>
  <c r="Q18" i="4"/>
  <c r="Q17" i="4"/>
  <c r="Q16" i="4"/>
  <c r="Q15" i="4"/>
  <c r="Q13" i="4"/>
  <c r="Q11" i="4"/>
  <c r="Q10" i="4"/>
  <c r="Q9" i="4"/>
  <c r="Q8" i="4"/>
  <c r="Q7" i="4"/>
  <c r="Q6" i="4"/>
  <c r="Q5" i="4"/>
  <c r="Q4" i="4"/>
  <c r="Q3" i="4"/>
  <c r="Q2" i="4"/>
  <c r="F24" i="6" l="1"/>
  <c r="F27" i="6"/>
  <c r="G7" i="5"/>
  <c r="G8" i="5" s="1"/>
  <c r="E18" i="6"/>
  <c r="F21" i="6"/>
  <c r="F18" i="6"/>
  <c r="E24" i="6"/>
  <c r="E27" i="6"/>
  <c r="E19" i="6"/>
  <c r="E21" i="6" s="1"/>
  <c r="G24" i="6"/>
  <c r="G21" i="6"/>
  <c r="G18" i="6"/>
  <c r="K12" i="4"/>
  <c r="K13" i="4" s="1"/>
  <c r="K3" i="4"/>
  <c r="K4" i="4" s="1"/>
  <c r="K9" i="4"/>
  <c r="K10" i="4" s="1"/>
  <c r="K6" i="4"/>
  <c r="K7" i="4" s="1"/>
  <c r="E25" i="3"/>
  <c r="F25" i="3"/>
  <c r="E19" i="3"/>
  <c r="F19" i="3"/>
  <c r="F16" i="3"/>
  <c r="E16" i="3"/>
  <c r="F22" i="3"/>
  <c r="E22" i="3"/>
  <c r="I11" i="3"/>
  <c r="I8" i="3"/>
  <c r="I5" i="3"/>
  <c r="I2" i="3"/>
  <c r="I14" i="2"/>
  <c r="I8" i="2"/>
  <c r="H8" i="2"/>
  <c r="Q26" i="2"/>
  <c r="Q25" i="2"/>
  <c r="Q24" i="2"/>
  <c r="Q23" i="2"/>
  <c r="Q22" i="2"/>
  <c r="Q21" i="2"/>
  <c r="Q20" i="2"/>
  <c r="Q18" i="2"/>
  <c r="Q17" i="2"/>
  <c r="Q15" i="2"/>
  <c r="Q14" i="2"/>
  <c r="H14" i="2"/>
  <c r="Q13" i="2"/>
  <c r="Q12" i="2"/>
  <c r="J12" i="2"/>
  <c r="G12" i="2"/>
  <c r="Q11" i="2"/>
  <c r="Q10" i="2"/>
  <c r="H11" i="2"/>
  <c r="J10" i="2" s="1"/>
  <c r="Q9" i="2"/>
  <c r="J9" i="2"/>
  <c r="Q8" i="2"/>
  <c r="Q7" i="2"/>
  <c r="Q6" i="2"/>
  <c r="J6" i="2"/>
  <c r="G6" i="2"/>
  <c r="Q5" i="2"/>
  <c r="Q4" i="2"/>
  <c r="I5" i="2"/>
  <c r="Q3" i="2"/>
  <c r="J3" i="2"/>
  <c r="H5" i="2"/>
  <c r="G3" i="2"/>
  <c r="K11" i="1"/>
  <c r="K5" i="1"/>
  <c r="K8" i="1"/>
  <c r="K2" i="1"/>
  <c r="H9" i="6" l="1"/>
  <c r="H10" i="6" s="1"/>
  <c r="I9" i="6" s="1"/>
  <c r="I10" i="6" s="1"/>
  <c r="H12" i="6"/>
  <c r="H13" i="6" s="1"/>
  <c r="I12" i="6" s="1"/>
  <c r="I13" i="6" s="1"/>
  <c r="H3" i="6"/>
  <c r="H4" i="6" s="1"/>
  <c r="I3" i="6" s="1"/>
  <c r="I4" i="6" s="1"/>
  <c r="H6" i="6"/>
  <c r="H7" i="6" s="1"/>
  <c r="I6" i="6" s="1"/>
  <c r="I7" i="6" s="1"/>
  <c r="E11" i="2"/>
  <c r="E5" i="2"/>
  <c r="F14" i="2"/>
  <c r="E14" i="2"/>
  <c r="F8" i="2"/>
  <c r="I7" i="1"/>
  <c r="J5" i="1" s="1"/>
  <c r="I13" i="1"/>
  <c r="J11" i="1" s="1"/>
  <c r="I4" i="1"/>
  <c r="J2" i="1" s="1"/>
  <c r="I10" i="1"/>
  <c r="J8" i="1" s="1"/>
  <c r="G4" i="3"/>
  <c r="G7" i="3"/>
  <c r="E18" i="3"/>
  <c r="E4" i="3"/>
  <c r="E7" i="3"/>
  <c r="F18" i="3"/>
  <c r="E10" i="3"/>
  <c r="E13" i="3"/>
  <c r="F10" i="3"/>
  <c r="G13" i="3"/>
  <c r="G18" i="3"/>
  <c r="J4" i="2"/>
  <c r="J5" i="2" s="1"/>
  <c r="F5" i="2"/>
  <c r="J11" i="2"/>
  <c r="J13" i="2"/>
  <c r="J14" i="2" s="1"/>
  <c r="J7" i="2"/>
  <c r="J8" i="2" s="1"/>
  <c r="H3" i="3" l="1"/>
  <c r="H4" i="3" s="1"/>
  <c r="I3" i="3" s="1"/>
  <c r="H4" i="1"/>
  <c r="F4" i="1"/>
  <c r="J7" i="1"/>
  <c r="H7" i="1"/>
  <c r="F7" i="1"/>
  <c r="H13" i="1"/>
  <c r="F13" i="1"/>
  <c r="G13" i="1"/>
  <c r="J10" i="1"/>
  <c r="G10" i="2"/>
  <c r="G11" i="2" s="1"/>
  <c r="G13" i="2"/>
  <c r="G14" i="2" s="1"/>
  <c r="G4" i="2"/>
  <c r="G5" i="2" s="1"/>
  <c r="E8" i="2"/>
  <c r="G7" i="2" s="1"/>
  <c r="G8" i="2" s="1"/>
  <c r="J13" i="1"/>
  <c r="G10" i="1"/>
  <c r="G4" i="1"/>
  <c r="G7" i="1"/>
  <c r="J4" i="1"/>
  <c r="G24" i="3"/>
  <c r="K9" i="1" l="1"/>
  <c r="K10" i="1" s="1"/>
  <c r="K12" i="1"/>
  <c r="K13" i="1" s="1"/>
  <c r="K3" i="1"/>
  <c r="K4" i="1" s="1"/>
  <c r="K6" i="1"/>
  <c r="K7" i="1" s="1"/>
  <c r="E24" i="3"/>
  <c r="F24" i="3"/>
  <c r="G21" i="3"/>
  <c r="I4" i="3"/>
  <c r="F27" i="3"/>
  <c r="E27" i="3"/>
  <c r="G27" i="3"/>
  <c r="F21" i="3"/>
  <c r="E21" i="3"/>
  <c r="H12" i="3" l="1"/>
  <c r="H13" i="3" s="1"/>
  <c r="I12" i="3" s="1"/>
  <c r="H6" i="3"/>
  <c r="H7" i="3" s="1"/>
  <c r="I6" i="3" s="1"/>
  <c r="H9" i="3"/>
  <c r="H10" i="3" s="1"/>
  <c r="I9" i="3" s="1"/>
  <c r="I10" i="3" s="1"/>
  <c r="I7" i="3" l="1"/>
  <c r="I13" i="3"/>
</calcChain>
</file>

<file path=xl/sharedStrings.xml><?xml version="1.0" encoding="utf-8"?>
<sst xmlns="http://schemas.openxmlformats.org/spreadsheetml/2006/main" count="811" uniqueCount="151">
  <si>
    <t>Ingestion</t>
  </si>
  <si>
    <t>Inhalation</t>
  </si>
  <si>
    <t>External</t>
  </si>
  <si>
    <t>Total</t>
  </si>
  <si>
    <t>Calculated</t>
  </si>
  <si>
    <t>PRG</t>
  </si>
  <si>
    <t>% Differ.</t>
  </si>
  <si>
    <t>Am-241</t>
  </si>
  <si>
    <t>Co-60</t>
  </si>
  <si>
    <t>H-3</t>
  </si>
  <si>
    <t>Pu-238</t>
  </si>
  <si>
    <t>Halflife (y)</t>
  </si>
  <si>
    <t>Consump.</t>
  </si>
  <si>
    <t>Consump</t>
  </si>
  <si>
    <t>With Halflife Decay</t>
  </si>
  <si>
    <t>Without Halflife Decay</t>
  </si>
  <si>
    <t>Immersion</t>
  </si>
  <si>
    <t>Fruits &amp; Veg.</t>
  </si>
  <si>
    <t>Lambda i</t>
  </si>
  <si>
    <t>Lambda B</t>
  </si>
  <si>
    <t>Lambda E</t>
  </si>
  <si>
    <t>Irr(rup)</t>
  </si>
  <si>
    <t>Irr(res)</t>
  </si>
  <si>
    <t>Irr(dep)</t>
  </si>
  <si>
    <t>F &amp; V</t>
  </si>
  <si>
    <t>Ingestion of Tapwater</t>
  </si>
  <si>
    <t>Fish</t>
  </si>
  <si>
    <t>Variables</t>
  </si>
  <si>
    <t>Defaults</t>
  </si>
  <si>
    <t>TR</t>
  </si>
  <si>
    <t>t(r )</t>
  </si>
  <si>
    <t>IFS(r-adj)</t>
  </si>
  <si>
    <t>EF(r-c)</t>
  </si>
  <si>
    <t>ED(r-c)</t>
  </si>
  <si>
    <t>IRS(c )</t>
  </si>
  <si>
    <t>EF(r-a)</t>
  </si>
  <si>
    <t>ED(r-a)</t>
  </si>
  <si>
    <t>IRS(a)</t>
  </si>
  <si>
    <t>Substitutes</t>
  </si>
  <si>
    <t>IFA(r-adj)</t>
  </si>
  <si>
    <t>PEF</t>
  </si>
  <si>
    <t>ET(r-c)</t>
  </si>
  <si>
    <t>IRA(c )</t>
  </si>
  <si>
    <t>ET(r-a)</t>
  </si>
  <si>
    <t>IRA(a)</t>
  </si>
  <si>
    <t>EF(r )</t>
  </si>
  <si>
    <t>ED(r )</t>
  </si>
  <si>
    <t>ET(r-o)</t>
  </si>
  <si>
    <t>GSF(o)</t>
  </si>
  <si>
    <t>ET(r-i)</t>
  </si>
  <si>
    <t>GSF(i)</t>
  </si>
  <si>
    <t>ACF(ext-sv)</t>
  </si>
  <si>
    <t>R(upv)</t>
  </si>
  <si>
    <t>R(es)</t>
  </si>
  <si>
    <t>IFF(r-adj)</t>
  </si>
  <si>
    <t>IFV(r-adj)</t>
  </si>
  <si>
    <t>CPF(r )</t>
  </si>
  <si>
    <t>IRF(r-c)</t>
  </si>
  <si>
    <t>IRF(r-a)</t>
  </si>
  <si>
    <t>IRV(r-c)</t>
  </si>
  <si>
    <t>IRV(r-a)</t>
  </si>
  <si>
    <t>Bv(wet)</t>
  </si>
  <si>
    <t>U(m)</t>
  </si>
  <si>
    <t>A(s)</t>
  </si>
  <si>
    <t>U(t)</t>
  </si>
  <si>
    <t>V</t>
  </si>
  <si>
    <t>A</t>
  </si>
  <si>
    <t>B</t>
  </si>
  <si>
    <t>F(x)</t>
  </si>
  <si>
    <t>Q/C(wind)</t>
  </si>
  <si>
    <t>C</t>
  </si>
  <si>
    <t>at 10cm</t>
  </si>
  <si>
    <t>at 1m(2)</t>
  </si>
  <si>
    <t>ET(r )</t>
  </si>
  <si>
    <t>GSF(a)</t>
  </si>
  <si>
    <t>IFW(r-adj)</t>
  </si>
  <si>
    <t>IRW(c )</t>
  </si>
  <si>
    <t>IRW(a)</t>
  </si>
  <si>
    <t>DFA(r-adj)</t>
  </si>
  <si>
    <t>EV(r-c)</t>
  </si>
  <si>
    <t>EV(r-a)</t>
  </si>
  <si>
    <t>F</t>
  </si>
  <si>
    <t>I(f)</t>
  </si>
  <si>
    <t>I(r )</t>
  </si>
  <si>
    <t>K</t>
  </si>
  <si>
    <t>Lambda HL</t>
  </si>
  <si>
    <t>P</t>
  </si>
  <si>
    <t>T</t>
  </si>
  <si>
    <t>t(a-event)</t>
  </si>
  <si>
    <t>t(b)</t>
  </si>
  <si>
    <t>t(c-event)</t>
  </si>
  <si>
    <t>t(v)</t>
  </si>
  <si>
    <t>t(w)</t>
  </si>
  <si>
    <t>Y(v)</t>
  </si>
  <si>
    <t>IRF(a)</t>
  </si>
  <si>
    <t>λ</t>
  </si>
  <si>
    <t>SF(s)</t>
  </si>
  <si>
    <t>SF(i)</t>
  </si>
  <si>
    <t>SF(ext-sv)</t>
  </si>
  <si>
    <t>SF(f)</t>
  </si>
  <si>
    <r>
      <t>1-exp(-</t>
    </r>
    <r>
      <rPr>
        <sz val="10"/>
        <color theme="1"/>
        <rFont val="Calibri"/>
        <family val="2"/>
      </rPr>
      <t>λt(r ))</t>
    </r>
  </si>
  <si>
    <t>MLF</t>
  </si>
  <si>
    <t>1-exp(-λt(r ))</t>
  </si>
  <si>
    <t>SF(sub)</t>
  </si>
  <si>
    <t>Q/C</t>
  </si>
  <si>
    <t>A(VF)</t>
  </si>
  <si>
    <t>B(VF)</t>
  </si>
  <si>
    <t>C(VF)</t>
  </si>
  <si>
    <t>SF(w)</t>
  </si>
  <si>
    <t>SF(imm)</t>
  </si>
  <si>
    <r>
      <rPr>
        <sz val="10"/>
        <color theme="1"/>
        <rFont val="Calibri"/>
        <family val="2"/>
      </rPr>
      <t>λ</t>
    </r>
    <r>
      <rPr>
        <sz val="10"/>
        <color theme="1"/>
        <rFont val="Calibri"/>
        <family val="2"/>
        <scheme val="minor"/>
      </rPr>
      <t>(HL)</t>
    </r>
  </si>
  <si>
    <t>Halflife (d)</t>
  </si>
  <si>
    <t>λ(i)</t>
  </si>
  <si>
    <t>λ(B)</t>
  </si>
  <si>
    <t>λ( E)</t>
  </si>
  <si>
    <r>
      <t>1-exp(-</t>
    </r>
    <r>
      <rPr>
        <sz val="10"/>
        <color theme="1"/>
        <rFont val="Calibri"/>
        <family val="2"/>
      </rPr>
      <t>λ(B)t(b))</t>
    </r>
  </si>
  <si>
    <r>
      <t>1-exp(-</t>
    </r>
    <r>
      <rPr>
        <sz val="10"/>
        <color theme="1"/>
        <rFont val="Calibri"/>
        <family val="2"/>
      </rPr>
      <t>λ(E)t(v))</t>
    </r>
  </si>
  <si>
    <t>CF(fish)</t>
  </si>
  <si>
    <t>GSF @ 10cm</t>
  </si>
  <si>
    <t>External Exposure</t>
  </si>
  <si>
    <t>Type</t>
  </si>
  <si>
    <t>Ground Plane</t>
  </si>
  <si>
    <t>Soil Volume</t>
  </si>
  <si>
    <t>1cm</t>
  </si>
  <si>
    <t>5cm</t>
  </si>
  <si>
    <t>15cm</t>
  </si>
  <si>
    <t>M</t>
  </si>
  <si>
    <t>Ground Plane, Area Correction Factor</t>
  </si>
  <si>
    <t>1m^2</t>
  </si>
  <si>
    <t>2m^2</t>
  </si>
  <si>
    <t>5m^2</t>
  </si>
  <si>
    <t>10m^2</t>
  </si>
  <si>
    <t>20m^2</t>
  </si>
  <si>
    <t>50m^2</t>
  </si>
  <si>
    <t>100m^2</t>
  </si>
  <si>
    <t>200m^2</t>
  </si>
  <si>
    <t>500m^2</t>
  </si>
  <si>
    <t>1000m^2</t>
  </si>
  <si>
    <t>2000m^2</t>
  </si>
  <si>
    <t>5000m^2</t>
  </si>
  <si>
    <t>10000m^2</t>
  </si>
  <si>
    <t>20000m^2</t>
  </si>
  <si>
    <t>50000m^2</t>
  </si>
  <si>
    <t>100000m^2</t>
  </si>
  <si>
    <t>Infinite</t>
  </si>
  <si>
    <t>Soil Worker</t>
  </si>
  <si>
    <t>Form</t>
  </si>
  <si>
    <t>S</t>
  </si>
  <si>
    <t>G(elemental)</t>
  </si>
  <si>
    <t>G(organic)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</si>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</sst>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9" fontId="3" fillId="0" borderId="1" xfId="1" applyFon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0" fillId="0" borderId="3" xfId="0" applyNumberFormat="1" applyBorder="1"/>
    <xf numFmtId="164" fontId="0" fillId="0" borderId="4" xfId="0" applyNumberFormat="1" applyBorder="1"/>
    <xf numFmtId="11" fontId="0" fillId="0" borderId="7" xfId="0" applyNumberFormat="1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1" fontId="0" fillId="0" borderId="7" xfId="0" applyNumberFormat="1" applyBorder="1"/>
    <xf numFmtId="164" fontId="0" fillId="0" borderId="8" xfId="0" applyNumberFormat="1" applyBorder="1"/>
    <xf numFmtId="11" fontId="0" fillId="2" borderId="11" xfId="0" applyNumberFormat="1" applyFill="1" applyBorder="1" applyAlignment="1">
      <alignment horizontal="center" vertical="center"/>
    </xf>
    <xf numFmtId="11" fontId="0" fillId="2" borderId="12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1" fontId="0" fillId="0" borderId="11" xfId="0" applyNumberFormat="1" applyBorder="1"/>
    <xf numFmtId="164" fontId="0" fillId="0" borderId="12" xfId="0" applyNumberFormat="1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11" fontId="0" fillId="0" borderId="1" xfId="0" applyNumberFormat="1" applyBorder="1"/>
    <xf numFmtId="11" fontId="0" fillId="0" borderId="14" xfId="0" applyNumberFormat="1" applyBorder="1" applyAlignment="1">
      <alignment horizontal="center" vertical="center"/>
    </xf>
    <xf numFmtId="11" fontId="0" fillId="0" borderId="15" xfId="0" applyNumberFormat="1" applyBorder="1" applyAlignment="1">
      <alignment horizontal="center" vertical="center"/>
    </xf>
    <xf numFmtId="11" fontId="0" fillId="2" borderId="16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1" fontId="0" fillId="0" borderId="0" xfId="0" applyNumberForma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1" fontId="0" fillId="0" borderId="19" xfId="0" applyNumberFormat="1" applyBorder="1"/>
    <xf numFmtId="11" fontId="0" fillId="0" borderId="20" xfId="0" applyNumberFormat="1" applyBorder="1"/>
    <xf numFmtId="11" fontId="0" fillId="0" borderId="4" xfId="0" applyNumberFormat="1" applyBorder="1"/>
    <xf numFmtId="164" fontId="0" fillId="0" borderId="4" xfId="1" applyNumberFormat="1" applyFont="1" applyBorder="1"/>
    <xf numFmtId="11" fontId="0" fillId="0" borderId="21" xfId="0" applyNumberFormat="1" applyBorder="1"/>
    <xf numFmtId="11" fontId="0" fillId="0" borderId="22" xfId="0" applyNumberFormat="1" applyBorder="1"/>
    <xf numFmtId="11" fontId="0" fillId="0" borderId="8" xfId="0" applyNumberFormat="1" applyBorder="1"/>
    <xf numFmtId="164" fontId="0" fillId="0" borderId="8" xfId="1" applyNumberFormat="1" applyFont="1" applyBorder="1"/>
    <xf numFmtId="11" fontId="0" fillId="2" borderId="11" xfId="0" applyNumberFormat="1" applyFill="1" applyBorder="1"/>
    <xf numFmtId="11" fontId="2" fillId="3" borderId="23" xfId="0" applyNumberFormat="1" applyFont="1" applyFill="1" applyBorder="1"/>
    <xf numFmtId="11" fontId="0" fillId="2" borderId="24" xfId="0" applyNumberFormat="1" applyFill="1" applyBorder="1"/>
    <xf numFmtId="11" fontId="2" fillId="3" borderId="12" xfId="0" applyNumberFormat="1" applyFont="1" applyFill="1" applyBorder="1"/>
    <xf numFmtId="164" fontId="0" fillId="0" borderId="12" xfId="1" applyNumberFormat="1" applyFont="1" applyBorder="1"/>
    <xf numFmtId="0" fontId="3" fillId="0" borderId="25" xfId="0" applyFont="1" applyBorder="1" applyAlignment="1">
      <alignment horizontal="center" vertical="center" wrapText="1"/>
    </xf>
    <xf numFmtId="11" fontId="0" fillId="0" borderId="26" xfId="0" applyNumberFormat="1" applyBorder="1"/>
    <xf numFmtId="11" fontId="0" fillId="0" borderId="27" xfId="0" applyNumberFormat="1" applyBorder="1"/>
    <xf numFmtId="0" fontId="3" fillId="0" borderId="28" xfId="0" applyFont="1" applyBorder="1" applyAlignment="1">
      <alignment horizontal="center" vertical="center"/>
    </xf>
    <xf numFmtId="11" fontId="0" fillId="0" borderId="28" xfId="0" applyNumberFormat="1" applyBorder="1"/>
    <xf numFmtId="164" fontId="0" fillId="0" borderId="29" xfId="1" applyNumberFormat="1" applyFont="1" applyBorder="1"/>
    <xf numFmtId="11" fontId="2" fillId="3" borderId="30" xfId="0" applyNumberFormat="1" applyFont="1" applyFill="1" applyBorder="1"/>
    <xf numFmtId="11" fontId="0" fillId="2" borderId="1" xfId="0" applyNumberFormat="1" applyFill="1" applyBorder="1"/>
    <xf numFmtId="11" fontId="2" fillId="3" borderId="31" xfId="0" applyNumberFormat="1" applyFont="1" applyFill="1" applyBorder="1"/>
    <xf numFmtId="11" fontId="0" fillId="0" borderId="16" xfId="0" applyNumberFormat="1" applyFill="1" applyBorder="1" applyAlignment="1">
      <alignment horizontal="center" vertical="center"/>
    </xf>
    <xf numFmtId="11" fontId="2" fillId="4" borderId="7" xfId="0" applyNumberFormat="1" applyFont="1" applyFill="1" applyBorder="1"/>
    <xf numFmtId="164" fontId="0" fillId="0" borderId="33" xfId="1" applyNumberFormat="1" applyFont="1" applyBorder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1" fontId="0" fillId="0" borderId="0" xfId="0" applyNumberFormat="1"/>
    <xf numFmtId="0" fontId="3" fillId="0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1" fontId="0" fillId="6" borderId="3" xfId="0" applyNumberFormat="1" applyFill="1" applyBorder="1"/>
    <xf numFmtId="164" fontId="0" fillId="6" borderId="4" xfId="0" applyNumberFormat="1" applyFill="1" applyBorder="1"/>
    <xf numFmtId="11" fontId="0" fillId="6" borderId="7" xfId="0" applyNumberFormat="1" applyFill="1" applyBorder="1"/>
    <xf numFmtId="164" fontId="0" fillId="6" borderId="8" xfId="0" applyNumberFormat="1" applyFill="1" applyBorder="1"/>
    <xf numFmtId="11" fontId="0" fillId="6" borderId="3" xfId="0" applyNumberFormat="1" applyFill="1" applyBorder="1" applyAlignment="1">
      <alignment horizontal="center" vertical="center"/>
    </xf>
    <xf numFmtId="11" fontId="0" fillId="6" borderId="7" xfId="0" applyNumberFormat="1" applyFill="1" applyBorder="1" applyAlignment="1">
      <alignment horizontal="center" vertical="center"/>
    </xf>
    <xf numFmtId="11" fontId="0" fillId="6" borderId="11" xfId="0" applyNumberFormat="1" applyFill="1" applyBorder="1" applyAlignment="1">
      <alignment horizontal="center" vertical="center"/>
    </xf>
    <xf numFmtId="11" fontId="0" fillId="6" borderId="11" xfId="0" applyNumberFormat="1" applyFill="1" applyBorder="1"/>
    <xf numFmtId="164" fontId="0" fillId="6" borderId="8" xfId="1" applyNumberFormat="1" applyFont="1" applyFill="1" applyBorder="1"/>
    <xf numFmtId="11" fontId="0" fillId="6" borderId="1" xfId="0" applyNumberFormat="1" applyFill="1" applyBorder="1"/>
    <xf numFmtId="11" fontId="0" fillId="6" borderId="28" xfId="0" applyNumberFormat="1" applyFill="1" applyBorder="1"/>
    <xf numFmtId="164" fontId="0" fillId="6" borderId="29" xfId="1" applyNumberFormat="1" applyFont="1" applyFill="1" applyBorder="1"/>
    <xf numFmtId="0" fontId="0" fillId="0" borderId="32" xfId="0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6" borderId="7" xfId="0" applyFill="1" applyBorder="1"/>
    <xf numFmtId="165" fontId="0" fillId="0" borderId="7" xfId="0" applyNumberFormat="1" applyBorder="1"/>
    <xf numFmtId="165" fontId="0" fillId="0" borderId="7" xfId="0" applyNumberFormat="1" applyFill="1" applyBorder="1" applyAlignment="1">
      <alignment horizontal="center" vertical="center"/>
    </xf>
    <xf numFmtId="165" fontId="0" fillId="0" borderId="0" xfId="0" applyNumberFormat="1"/>
    <xf numFmtId="11" fontId="5" fillId="0" borderId="7" xfId="0" applyNumberFormat="1" applyFont="1" applyBorder="1"/>
    <xf numFmtId="11" fontId="0" fillId="0" borderId="0" xfId="2" applyNumberFormat="1" applyFont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1" fontId="0" fillId="0" borderId="7" xfId="0" applyNumberFormat="1" applyFill="1" applyBorder="1"/>
    <xf numFmtId="0" fontId="6" fillId="0" borderId="7" xfId="0" applyFont="1" applyFill="1" applyBorder="1" applyAlignment="1">
      <alignment horizontal="center" vertical="center"/>
    </xf>
    <xf numFmtId="11" fontId="0" fillId="7" borderId="11" xfId="0" applyNumberFormat="1" applyFill="1" applyBorder="1"/>
    <xf numFmtId="11" fontId="0" fillId="7" borderId="12" xfId="0" applyNumberFormat="1" applyFill="1" applyBorder="1"/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1" fontId="0" fillId="0" borderId="0" xfId="0" applyNumberFormat="1" applyFill="1" applyBorder="1"/>
    <xf numFmtId="0" fontId="3" fillId="0" borderId="11" xfId="0" applyFont="1" applyBorder="1" applyAlignment="1">
      <alignment horizontal="center" vertical="center" wrapText="1"/>
    </xf>
    <xf numFmtId="0" fontId="0" fillId="8" borderId="38" xfId="0" applyFill="1" applyBorder="1"/>
    <xf numFmtId="0" fontId="3" fillId="8" borderId="0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0" fillId="0" borderId="38" xfId="0" applyBorder="1"/>
    <xf numFmtId="11" fontId="0" fillId="0" borderId="39" xfId="0" applyNumberFormat="1" applyBorder="1"/>
    <xf numFmtId="0" fontId="0" fillId="9" borderId="38" xfId="0" applyFill="1" applyBorder="1"/>
    <xf numFmtId="0" fontId="3" fillId="9" borderId="0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0" fillId="0" borderId="40" xfId="0" applyBorder="1"/>
    <xf numFmtId="0" fontId="0" fillId="0" borderId="41" xfId="0" applyBorder="1" applyAlignment="1">
      <alignment horizontal="center" vertical="center"/>
    </xf>
    <xf numFmtId="11" fontId="0" fillId="0" borderId="41" xfId="0" applyNumberFormat="1" applyBorder="1"/>
    <xf numFmtId="11" fontId="0" fillId="0" borderId="42" xfId="0" applyNumberFormat="1" applyBorder="1"/>
    <xf numFmtId="0" fontId="0" fillId="10" borderId="38" xfId="0" applyFill="1" applyBorder="1"/>
    <xf numFmtId="0" fontId="3" fillId="10" borderId="0" xfId="0" applyFon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center" vertical="center"/>
    </xf>
    <xf numFmtId="0" fontId="0" fillId="11" borderId="38" xfId="0" applyFill="1" applyBorder="1"/>
    <xf numFmtId="0" fontId="3" fillId="11" borderId="0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0" fillId="2" borderId="38" xfId="0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1" fontId="0" fillId="0" borderId="39" xfId="0" applyNumberFormat="1" applyFont="1" applyFill="1" applyBorder="1" applyAlignment="1">
      <alignment horizontal="right" vertical="center"/>
    </xf>
    <xf numFmtId="11" fontId="0" fillId="0" borderId="39" xfId="0" applyNumberFormat="1" applyBorder="1" applyAlignment="1">
      <alignment horizontal="right" vertical="center"/>
    </xf>
    <xf numFmtId="0" fontId="0" fillId="0" borderId="3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0" xfId="0" applyFill="1" applyBorder="1"/>
    <xf numFmtId="0" fontId="3" fillId="0" borderId="43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0" fillId="0" borderId="43" xfId="0" applyBorder="1"/>
    <xf numFmtId="0" fontId="3" fillId="0" borderId="0" xfId="0" applyFont="1" applyFill="1" applyBorder="1" applyAlignment="1">
      <alignment horizontal="center" vertical="center"/>
    </xf>
    <xf numFmtId="9" fontId="3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textRotation="90"/>
    </xf>
    <xf numFmtId="164" fontId="0" fillId="0" borderId="0" xfId="0" applyNumberForma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/>
    <xf numFmtId="11" fontId="5" fillId="0" borderId="0" xfId="0" applyNumberFormat="1" applyFont="1" applyFill="1" applyBorder="1"/>
    <xf numFmtId="164" fontId="0" fillId="0" borderId="0" xfId="1" applyNumberFormat="1" applyFont="1" applyFill="1" applyBorder="1"/>
    <xf numFmtId="11" fontId="2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165" fontId="0" fillId="0" borderId="43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44"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90052</xdr:colOff>
      <xdr:row>21</xdr:row>
      <xdr:rowOff>182705</xdr:rowOff>
    </xdr:from>
    <xdr:ext cx="12372977" cy="3939022"/>
    <xdr:sp macro="" textlink="">
      <xdr:nvSpPr>
        <xdr:cNvPr id="2" name="TextBox 1"/>
        <xdr:cNvSpPr txBox="1"/>
      </xdr:nvSpPr>
      <xdr:spPr>
        <a:xfrm>
          <a:off x="1302325" y="4321750"/>
          <a:ext cx="12372977" cy="393902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>
              <a:latin typeface="+mn-lt"/>
            </a:rPr>
            <a:t>Incidental</a:t>
          </a:r>
          <a:r>
            <a:rPr lang="en-US" sz="1100" b="1" u="sng" baseline="0">
              <a:latin typeface="+mn-lt"/>
            </a:rPr>
            <a:t> ingestion of soil</a:t>
          </a:r>
          <a:endParaRPr lang="en-US" sz="1100" b="1" u="sng">
            <a:latin typeface="+mn-lt"/>
          </a:endParaRPr>
        </a:p>
        <a:p>
          <a:pPr algn="l"/>
          <a:r>
            <a:rPr lang="en-US" sz="1200" b="0" i="0">
              <a:latin typeface="Cambria Math"/>
            </a:rPr>
            <a:t>"PRG</a:t>
          </a:r>
          <a:r>
            <a:rPr lang="en-US" sz="1200" b="0" i="0" baseline="-25000">
              <a:latin typeface="Cambria Math"/>
            </a:rPr>
            <a:t>res−soil−ing</a:t>
          </a:r>
          <a:r>
            <a:rPr lang="en-US" sz="1200" b="0" i="0">
              <a:latin typeface="Cambria Math"/>
            </a:rPr>
            <a:t> " (</a:t>
          </a:r>
          <a:r>
            <a:rPr lang="en-US" sz="1200" b="0" i="0">
              <a:latin typeface="+mn-lt"/>
            </a:rPr>
            <a:t>"pCi</a:t>
          </a:r>
          <a:r>
            <a:rPr lang="en-US" sz="1200" b="0" i="0">
              <a:latin typeface="Cambria Math"/>
            </a:rPr>
            <a:t>" ∕</a:t>
          </a:r>
          <a:r>
            <a:rPr lang="en-US" sz="1200" b="0" i="0">
              <a:latin typeface="+mn-lt"/>
            </a:rPr>
            <a:t>"g</a:t>
          </a:r>
          <a:r>
            <a:rPr lang="en-US" sz="1200" b="0" i="0">
              <a:latin typeface="Cambria Math"/>
            </a:rPr>
            <a:t>" )"=</a:t>
          </a:r>
          <a:r>
            <a:rPr lang="en-US" sz="1200" b="0" i="0">
              <a:latin typeface="Cambria Math"/>
              <a:ea typeface="Cambria Math"/>
            </a:rPr>
            <a:t>" </a:t>
          </a:r>
          <a:r>
            <a:rPr lang="en-US" sz="1200" b="0" i="0">
              <a:latin typeface="Cambria Math"/>
            </a:rPr>
            <a:t> ├ </a:t>
          </a:r>
          <a:r>
            <a:rPr lang="en-US" sz="1200" b="0" i="0">
              <a:latin typeface="+mn-lt"/>
            </a:rPr>
            <a:t>"TR x tr </a:t>
          </a:r>
          <a:r>
            <a:rPr lang="en-US" sz="1200" b="0" i="0">
              <a:latin typeface="Cambria Math"/>
            </a:rPr>
            <a:t>" (</a:t>
          </a:r>
          <a:r>
            <a:rPr lang="en-US" sz="1200" b="0" i="0">
              <a:latin typeface="+mn-lt"/>
            </a:rPr>
            <a:t>"yr</a:t>
          </a:r>
          <a:r>
            <a:rPr lang="en-US" sz="1200" b="0" i="0">
              <a:latin typeface="Cambria Math"/>
            </a:rPr>
            <a:t>" )</a:t>
          </a:r>
          <a:r>
            <a:rPr lang="en-US" sz="1200" b="0" i="0">
              <a:latin typeface="+mn-lt"/>
            </a:rPr>
            <a:t>" x </a:t>
          </a:r>
          <a:r>
            <a:rPr lang="en-US" sz="1200" b="0" i="0">
              <a:latin typeface="+mn-lt"/>
              <a:ea typeface="Cambria Math"/>
            </a:rPr>
            <a:t>λ </a:t>
          </a:r>
          <a:r>
            <a:rPr lang="en-US" sz="1200" b="0" i="0">
              <a:latin typeface="Cambria Math"/>
              <a:ea typeface="Cambria Math"/>
            </a:rPr>
            <a:t>" (</a:t>
          </a:r>
          <a:r>
            <a:rPr lang="en-US" sz="1200" b="0" i="0">
              <a:latin typeface="+mn-lt"/>
              <a:ea typeface="Cambria Math"/>
            </a:rPr>
            <a:t>"1</a:t>
          </a:r>
          <a:r>
            <a:rPr lang="en-US" sz="1200" b="0" i="0">
              <a:latin typeface="Cambria Math"/>
              <a:ea typeface="Cambria Math"/>
            </a:rPr>
            <a:t>" /</a:t>
          </a:r>
          <a:r>
            <a:rPr lang="en-US" sz="1200" b="0" i="0">
              <a:latin typeface="+mn-lt"/>
              <a:ea typeface="Cambria Math"/>
            </a:rPr>
            <a:t>"yr</a:t>
          </a:r>
          <a:r>
            <a:rPr lang="en-US" sz="1200" b="0" i="0">
              <a:latin typeface="Cambria Math"/>
              <a:ea typeface="Cambria Math"/>
            </a:rPr>
            <a:t>" )┤/(</a:t>
          </a:r>
          <a:r>
            <a:rPr lang="en-US" sz="1200" b="0" i="0">
              <a:latin typeface="+mn-lt"/>
              <a:ea typeface="Cambria Math"/>
            </a:rPr>
            <a:t>"1−</a:t>
          </a:r>
          <a:r>
            <a:rPr lang="en-US" sz="1200" b="0" i="0">
              <a:latin typeface="Cambria Math"/>
              <a:ea typeface="Cambria Math"/>
            </a:rPr>
            <a:t>" </a:t>
          </a:r>
          <a:r>
            <a:rPr lang="en-US" sz="1200" b="0" i="0">
              <a:latin typeface="+mn-lt"/>
              <a:ea typeface="Cambria Math"/>
            </a:rPr>
            <a:t>"e</a:t>
          </a:r>
          <a:r>
            <a:rPr lang="en-US" sz="1200" b="0" i="0">
              <a:latin typeface="Cambria Math"/>
              <a:ea typeface="Cambria Math"/>
            </a:rPr>
            <a:t>" ^</a:t>
          </a:r>
          <a:r>
            <a:rPr lang="en-US" sz="1200" b="0" i="0">
              <a:latin typeface="+mn-lt"/>
              <a:ea typeface="Cambria Math"/>
            </a:rPr>
            <a:t>"−λtr</a:t>
          </a:r>
          <a:r>
            <a:rPr lang="en-US" sz="1200" b="0" i="0">
              <a:latin typeface="Cambria Math"/>
              <a:ea typeface="Cambria Math"/>
            </a:rPr>
            <a:t>"  )</a:t>
          </a:r>
          <a:r>
            <a:rPr lang="en-US" sz="1200" b="0" i="0">
              <a:latin typeface="+mn-lt"/>
              <a:ea typeface="Cambria Math"/>
            </a:rPr>
            <a:t>" x SFs </a:t>
          </a:r>
          <a:r>
            <a:rPr lang="en-US" sz="1200" b="0" i="0">
              <a:latin typeface="Cambria Math"/>
              <a:ea typeface="Cambria Math"/>
            </a:rPr>
            <a:t>" (</a:t>
          </a:r>
          <a:r>
            <a:rPr lang="en-US" sz="1200" b="0" i="0">
              <a:latin typeface="+mn-lt"/>
              <a:ea typeface="Cambria Math"/>
            </a:rPr>
            <a:t>"risk</a:t>
          </a:r>
          <a:r>
            <a:rPr lang="en-US" sz="1200" b="0" i="0">
              <a:latin typeface="Cambria Math"/>
              <a:ea typeface="Cambria Math"/>
            </a:rPr>
            <a:t>" /</a:t>
          </a:r>
          <a:r>
            <a:rPr lang="en-US" sz="1200" b="0" i="0">
              <a:latin typeface="+mn-lt"/>
              <a:ea typeface="Cambria Math"/>
            </a:rPr>
            <a:t>"pCi</a:t>
          </a:r>
          <a:r>
            <a:rPr lang="en-US" sz="1200" b="0" i="0">
              <a:latin typeface="Cambria Math"/>
              <a:ea typeface="Cambria Math"/>
            </a:rPr>
            <a:t>" )</a:t>
          </a:r>
          <a:r>
            <a:rPr lang="en-US" sz="1200" b="0" i="0">
              <a:latin typeface="+mn-lt"/>
              <a:ea typeface="Cambria Math"/>
            </a:rPr>
            <a:t>" x IFSr</a:t>
          </a:r>
          <a:r>
            <a:rPr lang="en-US" sz="1200" b="0" i="0" baseline="-25000">
              <a:latin typeface="+mn-lt"/>
              <a:ea typeface="Cambria Math"/>
            </a:rPr>
            <a:t>−adj</a:t>
          </a:r>
          <a:r>
            <a:rPr lang="en-US" sz="1200" b="0" i="0" baseline="-25000">
              <a:latin typeface="Cambria Math"/>
              <a:ea typeface="Cambria Math"/>
            </a:rPr>
            <a:t>" (</a:t>
          </a:r>
          <a:r>
            <a:rPr lang="en-US" sz="1200" b="0" i="0" baseline="-25000">
              <a:latin typeface="+mn-lt"/>
              <a:ea typeface="Cambria Math"/>
            </a:rPr>
            <a:t>"</a:t>
          </a:r>
          <a:r>
            <a:rPr lang="en-US" sz="1200" b="0" i="0">
              <a:latin typeface="+mn-lt"/>
              <a:ea typeface="Cambria Math"/>
            </a:rPr>
            <a:t>1,120,00 mg</a:t>
          </a:r>
          <a:r>
            <a:rPr lang="en-US" sz="1200" b="0" i="0">
              <a:latin typeface="Cambria Math"/>
              <a:ea typeface="Cambria Math"/>
            </a:rPr>
            <a:t>" )</a:t>
          </a:r>
          <a:r>
            <a:rPr lang="en-US" sz="1200" b="0" i="0">
              <a:latin typeface="+mn-lt"/>
              <a:ea typeface="Cambria Math"/>
            </a:rPr>
            <a:t>" x </a:t>
          </a:r>
          <a:r>
            <a:rPr lang="en-US" sz="1200" b="0" i="0">
              <a:latin typeface="Cambria Math"/>
              <a:ea typeface="Cambria Math"/>
            </a:rPr>
            <a:t>" (</a:t>
          </a:r>
          <a:r>
            <a:rPr lang="en-US" sz="1200" b="0" i="0">
              <a:latin typeface="+mn-lt"/>
              <a:ea typeface="Cambria Math"/>
            </a:rPr>
            <a:t>"g</a:t>
          </a:r>
          <a:r>
            <a:rPr lang="en-US" sz="1200" b="0" i="0">
              <a:latin typeface="Cambria Math"/>
              <a:ea typeface="Cambria Math"/>
            </a:rPr>
            <a:t>" /</a:t>
          </a:r>
          <a:r>
            <a:rPr lang="en-US" sz="1200" b="0" i="0">
              <a:latin typeface="+mn-lt"/>
              <a:ea typeface="Cambria Math"/>
            </a:rPr>
            <a:t>"1000 mg</a:t>
          </a:r>
          <a:r>
            <a:rPr lang="en-US" sz="1200" b="0" i="0">
              <a:latin typeface="Cambria Math"/>
              <a:ea typeface="Cambria Math"/>
            </a:rPr>
            <a:t>" ) </a:t>
          </a:r>
          <a:r>
            <a:rPr lang="en-US" sz="1100">
              <a:latin typeface="+mn-lt"/>
            </a:rPr>
            <a:t>     </a:t>
          </a:r>
        </a:p>
        <a:p>
          <a:pPr algn="l"/>
          <a:r>
            <a:rPr lang="en-US" sz="1100" b="0" i="0">
              <a:latin typeface="Cambria Math"/>
            </a:rPr>
            <a:t>"IFS</a:t>
          </a:r>
          <a:r>
            <a:rPr lang="en-US" sz="1100" b="0" i="0" baseline="-25000">
              <a:latin typeface="Cambria Math"/>
            </a:rPr>
            <a:t>r−adj" </a:t>
          </a:r>
          <a:r>
            <a:rPr lang="en-US" sz="1100" b="0" i="0">
              <a:latin typeface="Cambria Math"/>
            </a:rPr>
            <a:t>(</a:t>
          </a:r>
          <a:r>
            <a:rPr lang="en-US" sz="1100" b="0" i="0">
              <a:latin typeface="+mn-lt"/>
            </a:rPr>
            <a:t>"1,120,000 mg</a:t>
          </a:r>
          <a:r>
            <a:rPr lang="en-US" sz="1100" b="0" i="0">
              <a:latin typeface="Cambria Math"/>
            </a:rPr>
            <a:t>" )"=" (</a:t>
          </a:r>
          <a:r>
            <a:rPr lang="en-US" sz="1100" b="0" i="0">
              <a:latin typeface="+mn-lt"/>
            </a:rPr>
            <a:t>"EF</a:t>
          </a:r>
          <a:r>
            <a:rPr lang="en-US" sz="1100" b="0" i="0" baseline="-25000">
              <a:latin typeface="+mn-lt"/>
            </a:rPr>
            <a:t>r−c </a:t>
          </a:r>
          <a:r>
            <a:rPr lang="en-US" sz="1100" b="0" i="0" baseline="-25000">
              <a:latin typeface="Cambria Math"/>
            </a:rPr>
            <a:t>" (</a:t>
          </a:r>
          <a:r>
            <a:rPr lang="en-US" sz="1100" b="0" i="0" baseline="-25000">
              <a:latin typeface="+mn-lt"/>
            </a:rPr>
            <a:t>"</a:t>
          </a:r>
          <a:r>
            <a:rPr lang="en-US" sz="1100" b="0" i="0">
              <a:latin typeface="+mn-lt"/>
            </a:rPr>
            <a:t>350 day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"yr</a:t>
          </a:r>
          <a:r>
            <a:rPr lang="en-US" sz="1100" b="0" i="0">
              <a:latin typeface="Cambria Math"/>
            </a:rPr>
            <a:t>" )</a:t>
          </a:r>
          <a:r>
            <a:rPr lang="en-US" sz="1100" b="0" i="0">
              <a:latin typeface="+mn-lt"/>
            </a:rPr>
            <a:t>" x EDr</a:t>
          </a:r>
          <a:r>
            <a:rPr lang="en-US" sz="1100" b="0" i="0" baseline="-25000">
              <a:latin typeface="+mn-lt"/>
            </a:rPr>
            <a:t>−c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 (</a:t>
          </a:r>
          <a:r>
            <a:rPr lang="en-US" sz="1100" b="0" i="0">
              <a:latin typeface="+mn-lt"/>
            </a:rPr>
            <a:t>"6 yr</a:t>
          </a:r>
          <a:r>
            <a:rPr lang="en-US" sz="1100" b="0" i="0">
              <a:latin typeface="Cambria Math"/>
            </a:rPr>
            <a:t>" )</a:t>
          </a:r>
          <a:r>
            <a:rPr lang="en-US" sz="1100" b="0" i="0">
              <a:latin typeface="+mn-lt"/>
            </a:rPr>
            <a:t>" x IRSc </a:t>
          </a:r>
          <a:r>
            <a:rPr lang="en-US" sz="1100" b="0" i="0">
              <a:latin typeface="Cambria Math"/>
            </a:rPr>
            <a:t>" (</a:t>
          </a:r>
          <a:r>
            <a:rPr lang="en-US" sz="1100" b="0" i="0">
              <a:latin typeface="+mn-lt"/>
            </a:rPr>
            <a:t>"200 mg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"day</a:t>
          </a:r>
          <a:r>
            <a:rPr lang="en-US" sz="1100" b="0" i="0">
              <a:latin typeface="Cambria Math"/>
            </a:rPr>
            <a:t>" )</a:t>
          </a:r>
          <a:r>
            <a:rPr lang="en-US" sz="1100" b="0" i="0">
              <a:latin typeface="+mn-lt"/>
            </a:rPr>
            <a:t>" </a:t>
          </a:r>
          <a:r>
            <a:rPr lang="en-US" sz="1100" b="0" i="0">
              <a:latin typeface="Cambria Math"/>
            </a:rPr>
            <a:t>" )"+" (</a:t>
          </a:r>
          <a:r>
            <a:rPr lang="en-US" sz="1100" b="0" i="0">
              <a:latin typeface="+mn-lt"/>
            </a:rPr>
            <a:t>"EF</a:t>
          </a:r>
          <a:r>
            <a:rPr lang="en-US" sz="1100" b="0" i="0" baseline="-25000">
              <a:latin typeface="+mn-lt"/>
            </a:rPr>
            <a:t>r−a</a:t>
          </a:r>
          <a:r>
            <a:rPr lang="en-US" sz="1100" b="0" i="0" baseline="-25000">
              <a:latin typeface="Cambria Math"/>
            </a:rPr>
            <a:t>" (</a:t>
          </a:r>
          <a:r>
            <a:rPr lang="en-US" sz="1100" b="0" i="0" baseline="-25000">
              <a:latin typeface="+mn-lt"/>
            </a:rPr>
            <a:t>"</a:t>
          </a:r>
          <a:r>
            <a:rPr lang="en-US" sz="1100" b="0" i="0">
              <a:latin typeface="+mn-lt"/>
            </a:rPr>
            <a:t>350 day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"yr</a:t>
          </a:r>
          <a:r>
            <a:rPr lang="en-US" sz="1100" b="0" i="0">
              <a:latin typeface="Cambria Math"/>
            </a:rPr>
            <a:t>" )</a:t>
          </a:r>
          <a:r>
            <a:rPr lang="en-US" sz="1100" b="0" i="0">
              <a:latin typeface="+mn-lt"/>
            </a:rPr>
            <a:t>" x EDr</a:t>
          </a:r>
          <a:r>
            <a:rPr lang="en-US" sz="1100" b="0" i="0" baseline="-25000">
              <a:latin typeface="+mn-lt"/>
            </a:rPr>
            <a:t>−a</a:t>
          </a:r>
          <a:r>
            <a:rPr lang="en-US" sz="1100" b="0" i="0">
              <a:latin typeface="+mn-lt"/>
            </a:rPr>
            <a:t> </a:t>
          </a:r>
          <a:r>
            <a:rPr lang="en-US" sz="1100" b="0" i="0">
              <a:latin typeface="Cambria Math"/>
            </a:rPr>
            <a:t>" (</a:t>
          </a:r>
          <a:r>
            <a:rPr lang="en-US" sz="1100" b="0" i="0">
              <a:latin typeface="+mn-lt"/>
            </a:rPr>
            <a:t>"20 yr</a:t>
          </a:r>
          <a:r>
            <a:rPr lang="en-US" sz="1100" b="0" i="0">
              <a:latin typeface="Cambria Math"/>
            </a:rPr>
            <a:t>" )</a:t>
          </a:r>
          <a:r>
            <a:rPr lang="en-US" sz="1100" b="0" i="0">
              <a:latin typeface="+mn-lt"/>
            </a:rPr>
            <a:t>" x IRSa</a:t>
          </a:r>
          <a:r>
            <a:rPr lang="en-US" sz="1100" b="0" i="0" baseline="-25000">
              <a:latin typeface="+mn-lt"/>
            </a:rPr>
            <a:t> </a:t>
          </a:r>
          <a:r>
            <a:rPr lang="en-US" sz="1100" b="0" i="0" baseline="-25000">
              <a:latin typeface="Cambria Math"/>
            </a:rPr>
            <a:t>" (</a:t>
          </a:r>
          <a:r>
            <a:rPr lang="en-US" sz="1100" b="0" i="0" baseline="-25000">
              <a:latin typeface="+mn-lt"/>
            </a:rPr>
            <a:t>"</a:t>
          </a:r>
          <a:r>
            <a:rPr lang="en-US" sz="1100" b="0" i="0">
              <a:latin typeface="+mn-lt"/>
            </a:rPr>
            <a:t>100 mg</a:t>
          </a:r>
          <a:r>
            <a:rPr lang="en-US" sz="1100" b="0" i="0">
              <a:latin typeface="Cambria Math"/>
            </a:rPr>
            <a:t>" /</a:t>
          </a:r>
          <a:r>
            <a:rPr lang="en-US" sz="1100" b="0" i="0">
              <a:latin typeface="+mn-lt"/>
            </a:rPr>
            <a:t>"day</a:t>
          </a:r>
          <a:r>
            <a:rPr lang="en-US" sz="1100" b="0" i="0">
              <a:latin typeface="Cambria Math"/>
            </a:rPr>
            <a:t>" ))</a:t>
          </a:r>
          <a:endParaRPr lang="en-US" sz="1100">
            <a:latin typeface="+mn-lt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Inhalation of particulates emitted from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soil</a:t>
          </a:r>
          <a:endParaRPr lang="en-US">
            <a:effectLst/>
          </a:endParaRPr>
        </a:p>
        <a:p>
          <a:pPr algn="l"/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</a:t>
          </a:r>
          <a:r>
            <a:rPr lang="en-US" sz="1100" b="0" i="0" baseline="-2500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res−soil−ing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tr " ("yr" )" x λ " ("1" /"yr" )┤/("1−" "e" ^"−λtr"  )" x SFi " ("risk" /"pCi" )" x IFAr</a:t>
          </a:r>
          <a:r>
            <a:rPr lang="en-US" sz="1100" b="0" i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−adj" ("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161,00 m3" )" x " ("1" /"PEF" ("m" ^"3" /"kg" ) )" x " ("1000g" /"kg" )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"IFA</a:t>
          </a:r>
          <a:r>
            <a:rPr lang="en-US" sz="1100" b="0" i="0" baseline="-2500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r−adj</a:t>
          </a:r>
          <a:r>
            <a:rPr lang="en-US" sz="1100" b="0" i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("161,000 " 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("EF</a:t>
          </a:r>
          <a:r>
            <a:rPr lang="en-US" sz="1100" b="0" i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r−c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("350 day" /"yr" )" x EDr</a:t>
          </a:r>
          <a:r>
            <a:rPr lang="en-US" sz="1100" b="0" i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−c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("6 yr" )" x ETr</a:t>
          </a:r>
          <a:r>
            <a:rPr lang="en-US" sz="1100" b="0" i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−c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("24 hr" /"day" )" x " ("1 day" /"24 hrs" )" x IRAc " (("10 " "m" ^"3" )/"day"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("EF</a:t>
          </a:r>
          <a:r>
            <a:rPr lang="en-US" sz="1100" b="0" i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r−a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("350 day" /"yr" )" x EDr</a:t>
          </a:r>
          <a:r>
            <a:rPr lang="en-US" sz="1100" b="0" i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−a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("20 yr" )" x ETr</a:t>
          </a:r>
          <a:r>
            <a:rPr lang="en-US" sz="1100" b="0" i="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−a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" ("24 hr" /"day" )" x " ("1 day" /"24 hrs" )" x IRAa " (("20" 〖" m" 〗^"3" )/"day"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 to ionizing 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"PRGres−soil−ext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_"r"  " " ("yr" )" x λ " ("1" /"yr" )┤/(("1−" "e" ^("−λ" "t" _"r"  ) )" x S" "F" _"ext−sv"  " " (("risk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)/├ 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"g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┤ )" x E" "F" _"r"  " " ("350 day" /"yr" )" x " ("1yr" /"365 days" )" x E" "D" _"r"  " " ("26 yr" )" x " [("E" "T" _"r−o"  " " ("1.752 hr" /"day" )" x " ("1 day" /"24 hr" )" x GS" "F" _"o"  " " ("1.0" ))"+" ("E" "T" _"r−i"  " " ("16.416 hr" /"day" )" x " ("1 day" /"24 hr" )" x GS" "F" _"i"  " " ("0.4" ))]" x AC" "F" _"ext−sv" 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Consumption of fruits and vegetables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_"res−prod−ing"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/("SFf " ("risk" /"pCi" )" x " ("IF" "F" _"r−adj"  " " ("1,389,710 g" )"+IF" "V" _"r−adj"  " " ("970,970 g" ))" x CP" "F" _"r"  " " ("0.25" ) 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"F" _"r−adj"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("1,389,710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_"r−c"  " " ("350 day" /"yr" )" x E" "D" _"r−c"  " " ("6 yr" )" x IR" "F" _"r−c"  " " ("68.1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_"r−a"  " " ("350 day" /"yr" )" x E" "D" _"r−a"  " " ("20 yr" )" x IR" "F" _"r−a"  " " ("178.1 g" /"day" ))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"F" _"r−adj"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("970,970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_"r−c"  " " ("350 day" /"yr" )" x E" "D" _"r−c"  " " ("6 yr" )" x IR" "V" _"r−c"  " " ("41.7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_"r−a"  " " ("350 day" /"yr" )" x E" "D" _"r−a"  " " ("20 yr" )" x IR" "V" _"r−a"  " " ("126.2 g" /"day" ))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Consumption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Fruits and Vegetables back-calculated to soil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_"res−soil−prod−ing" 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("PR" "G" _"res−prod−ing"  " " ("pCi" /"g" ))/(("R" _"upv"  "+" "R" _"es"  ) 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x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(("t" _"r"  " " ("yr" )" x λ " ("1" /"yr" ))/(("1−" "e" ^("−λ" "t" _"r"  ) ) ))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"R" _"upv"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"=B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"v" _"wet"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;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〖" R" 〗_"es"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"=MLF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("0.26" 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_"res−soil−tot"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_"res−soil−ing"  ))"+" ("1" /("PR" "G" _"res−soil−inh"  ))"+" ("1" /("PR" "G" _"res−soil−ext"  ))"+" ("1" /("PR" "G" _"res−soil−prod−ing"  )) </a:t>
          </a:r>
          <a:endParaRPr lang="en-US">
            <a:effectLst/>
          </a:endParaRPr>
        </a:p>
      </xdr:txBody>
    </xdr:sp>
    <xdr:clientData/>
  </xdr:oneCellAnchor>
  <xdr:oneCellAnchor>
    <xdr:from>
      <xdr:col>18</xdr:col>
      <xdr:colOff>295275</xdr:colOff>
      <xdr:row>11</xdr:row>
      <xdr:rowOff>142875</xdr:rowOff>
    </xdr:from>
    <xdr:ext cx="184731" cy="264560"/>
    <xdr:sp macro="" textlink="">
      <xdr:nvSpPr>
        <xdr:cNvPr id="4" name="TextBox 3"/>
        <xdr:cNvSpPr txBox="1"/>
      </xdr:nvSpPr>
      <xdr:spPr>
        <a:xfrm>
          <a:off x="1139190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40</xdr:col>
      <xdr:colOff>0</xdr:colOff>
      <xdr:row>1</xdr:row>
      <xdr:rowOff>0</xdr:rowOff>
    </xdr:from>
    <xdr:ext cx="4876800" cy="16167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24507825" y="200025"/>
              <a:ext cx="4876800" cy="1616725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1" u="sng"/>
                <a:t>Particulate Emission Factor</a:t>
              </a:r>
              <a:r>
                <a:rPr lang="en-US" sz="1100" b="1" u="sng" baseline="0"/>
                <a:t> - Wind</a:t>
              </a: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PE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</a:rPr>
                        </m:ctrlPr>
                      </m:sSubPr>
                      <m:e>
                        <m:r>
                          <m:rPr>
                            <m:nor/>
                          </m:rPr>
                          <a:rPr lang="en-US" sz="1100" b="0" i="0">
                            <a:latin typeface="+mn-lt"/>
                          </a:rPr>
                          <m:t>F</m:t>
                        </m:r>
                      </m:e>
                      <m:sub>
                        <m:r>
                          <m:rPr>
                            <m:nor/>
                          </m:rPr>
                          <a:rPr lang="en-US" sz="1100" b="0" i="0">
                            <a:latin typeface="+mn-lt"/>
                          </a:rPr>
                          <m:t>w</m:t>
                        </m:r>
                      </m:sub>
                    </m:sSub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 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SupPr>
                              <m:e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m</m:t>
                                </m:r>
                              </m:e>
                              <m:sub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air</m:t>
                                </m:r>
                              </m:sub>
                              <m:sup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3</m:t>
                                </m:r>
                              </m:sup>
                            </m:sSubSup>
                          </m:num>
                          <m:den>
                            <m:r>
                              <m:rPr>
                                <m:nor/>
                              </m:rPr>
                              <a:rPr lang="en-US" sz="1100" b="0" i="0">
                                <a:latin typeface="+mn-lt"/>
                              </a:rPr>
                              <m:t>k</m:t>
                            </m:r>
                            <m:sSub>
                              <m:sSub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g</m:t>
                                </m:r>
                              </m:e>
                              <m:sub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soil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100" b="0" i="0">
                            <a:latin typeface="+mn-lt"/>
                          </a:rPr>
                          <m:t>Q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100" b="0" i="0">
                                <a:latin typeface="+mn-lt"/>
                              </a:rPr>
                              <m:t>C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n-US" sz="1100" b="0" i="0">
                                <a:latin typeface="+mn-lt"/>
                              </a:rPr>
                              <m:t>wind</m:t>
                            </m:r>
                          </m:sub>
                        </m:sSub>
                      </m:den>
                    </m:f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 </m:t>
                    </m:r>
                    <m:d>
                      <m:dPr>
                        <m:ctrlPr>
                          <a:rPr lang="en-US" sz="11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fPr>
                          <m:num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g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n-US" sz="1100" b="0" i="0">
                                        <a:latin typeface="+mn-lt"/>
                                      </a:rPr>
                                      <m:t>m</m:t>
                                    </m:r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n-US" sz="1100" b="0" i="0">
                                        <a:latin typeface="+mn-lt"/>
                                      </a:rPr>
                                      <m:t>2</m:t>
                                    </m:r>
                                  </m:sup>
                                </m:sSup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−</m:t>
                                </m:r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s</m:t>
                                </m:r>
                              </m:den>
                            </m:f>
                          </m:num>
                          <m:den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kg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r>
                                      <m:rPr>
                                        <m:nor/>
                                      </m:rPr>
                                      <a:rPr lang="en-US" sz="1100" b="0" i="0">
                                        <a:latin typeface="+mn-lt"/>
                                      </a:rPr>
                                      <m:t>m</m:t>
                                    </m:r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n-US" sz="1100" b="0" i="0">
                                        <a:latin typeface="+mn-lt"/>
                                      </a:rPr>
                                      <m:t>3</m:t>
                                    </m:r>
                                  </m:sup>
                                </m:sSup>
                              </m:den>
                            </m:f>
                          </m:den>
                        </m:f>
                      </m:e>
                    </m:d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 </m:t>
                    </m:r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x</m:t>
                    </m:r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 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100" b="0" i="0">
                            <a:latin typeface="+mn-lt"/>
                          </a:rPr>
                          <m:t>3600 </m:t>
                        </m:r>
                        <m:d>
                          <m:d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s</m:t>
                                </m:r>
                              </m:num>
                              <m:den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hour</m:t>
                                </m:r>
                              </m:den>
                            </m:f>
                          </m:e>
                        </m:d>
                      </m:num>
                      <m:den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0.036 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d>
                          <m:d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r>
                              <m:rPr>
                                <m:nor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1−</m:t>
                            </m:r>
                            <m:r>
                              <m:rPr>
                                <m:nor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V</m:t>
                            </m:r>
                          </m:e>
                        </m:d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nor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U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nor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m</m:t>
                                        </m:r>
                                      </m:sub>
                                    </m:sSub>
                                    <m:r>
                                      <m:rPr>
                                        <m:nor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m:rPr>
                                                <m:nor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+mn-lt"/>
                                                <a:ea typeface="+mn-ea"/>
                                                <a:cs typeface="+mn-cs"/>
                                              </a:rPr>
                                              <m:t>m</m:t>
                                            </m:r>
                                          </m:num>
                                          <m:den>
                                            <m:r>
                                              <m:rPr>
                                                <m:nor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+mn-lt"/>
                                                <a:ea typeface="+mn-ea"/>
                                                <a:cs typeface="+mn-cs"/>
                                              </a:rPr>
                                              <m:t>s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m:rPr>
                                            <m:nor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U</m:t>
                                        </m:r>
                                      </m:e>
                                      <m:sub>
                                        <m:r>
                                          <m:rPr>
                                            <m:nor/>
                                          </m:rPr>
                                          <a:rPr lang="en-US" sz="1100" b="0" i="0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+mn-lt"/>
                                            <a:ea typeface="+mn-ea"/>
                                            <a:cs typeface="+mn-cs"/>
                                          </a:rPr>
                                          <m:t>t</m:t>
                                        </m:r>
                                      </m:sub>
                                    </m:sSub>
                                    <m:r>
                                      <m:rPr>
                                        <m:nor/>
                                      </m:rPr>
                                      <a:rPr lang="en-US" sz="1100" b="0" i="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+mn-lt"/>
                                        <a:ea typeface="+mn-ea"/>
                                        <a:cs typeface="+mn-cs"/>
                                      </a:rPr>
                                      <m:t> </m:t>
                                    </m:r>
                                    <m:d>
                                      <m:d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en-US" sz="1100" b="0" i="1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Cambria Math"/>
                                                <a:ea typeface="+mn-ea"/>
                                                <a:cs typeface="+mn-cs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m:rPr>
                                                <m:nor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+mn-lt"/>
                                                <a:ea typeface="+mn-ea"/>
                                                <a:cs typeface="+mn-cs"/>
                                              </a:rPr>
                                              <m:t>m</m:t>
                                            </m:r>
                                          </m:num>
                                          <m:den>
                                            <m:r>
                                              <m:rPr>
                                                <m:nor/>
                                              </m:rPr>
                                              <a:rPr lang="en-US" sz="1100" b="0" i="0">
                                                <a:solidFill>
                                                  <a:schemeClr val="tx1"/>
                                                </a:solidFill>
                                                <a:effectLst/>
                                                <a:latin typeface="+mn-lt"/>
                                                <a:ea typeface="+mn-ea"/>
                                                <a:cs typeface="+mn-cs"/>
                                              </a:rPr>
                                              <m:t>s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den>
                                </m:f>
                              </m:e>
                            </m:d>
                          </m:e>
                          <m:sup>
                            <m:r>
                              <m:rPr>
                                <m:nor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+mn-lt"/>
                                <a:ea typeface="+mn-ea"/>
                                <a:cs typeface="+mn-cs"/>
                              </a:rPr>
                              <m:t>3</m:t>
                            </m:r>
                          </m:sup>
                        </m:sSup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F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10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 b="0">
                <a:latin typeface="+mn-lt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100" b="0" i="0">
                            <a:latin typeface="+mn-lt"/>
                          </a:rPr>
                          <m:t>Q</m:t>
                        </m:r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m:rPr>
                                <m:nor/>
                              </m:rPr>
                              <a:rPr lang="en-US" sz="1100" b="0" i="0">
                                <a:latin typeface="+mn-lt"/>
                              </a:rPr>
                              <m:t>C</m:t>
                            </m:r>
                          </m:e>
                          <m:sub>
                            <m:r>
                              <m:rPr>
                                <m:nor/>
                              </m:rPr>
                              <a:rPr lang="en-US" sz="1100" b="0" i="0">
                                <a:latin typeface="+mn-lt"/>
                              </a:rPr>
                              <m:t>wind</m:t>
                            </m:r>
                          </m:sub>
                        </m:sSub>
                      </m:den>
                    </m:f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=</m:t>
                    </m:r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A</m:t>
                    </m:r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 </m:t>
                    </m:r>
                    <m:r>
                      <m:rPr>
                        <m:nor/>
                      </m:rPr>
                      <a:rPr lang="en-US" sz="1100" b="0" i="0">
                        <a:latin typeface="+mn-lt"/>
                      </a:rPr>
                      <m:t>x</m:t>
                    </m:r>
                    <m:func>
                      <m:funcPr>
                        <m:ctrlPr>
                          <a:rPr lang="en-US" sz="1100" b="0" i="1">
                            <a:latin typeface="Cambria Math"/>
                          </a:rPr>
                        </m:ctrlPr>
                      </m:funcPr>
                      <m:fName>
                        <m:r>
                          <m:rPr>
                            <m:nor/>
                          </m:rPr>
                          <a:rPr lang="en-US" sz="1100" b="0" i="0">
                            <a:latin typeface="+mn-lt"/>
                          </a:rPr>
                          <m:t>exp</m:t>
                        </m:r>
                      </m:fName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1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1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sSup>
                                  <m:sSupPr>
                                    <m:ctrlPr>
                                      <a:rPr lang="en-US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en-US" sz="1100" b="0" i="1">
                                            <a:latin typeface="Cambria Math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m:rPr>
                                            <m:nor/>
                                          </m:rPr>
                                          <a:rPr lang="en-US" sz="1100" b="0" i="0">
                                            <a:latin typeface="+mn-lt"/>
                                          </a:rPr>
                                          <m:t>ln</m:t>
                                        </m:r>
                                        <m:sSub>
                                          <m:sSubPr>
                                            <m:ctrlPr>
                                              <a:rPr lang="en-US" sz="1100" b="0" i="1">
                                                <a:latin typeface="Cambria Math"/>
                                              </a:rPr>
                                            </m:ctrlPr>
                                          </m:sSubPr>
                                          <m:e>
                                            <m:r>
                                              <m:rPr>
                                                <m:nor/>
                                              </m:rPr>
                                              <a:rPr lang="en-US" sz="1100" b="0" i="0">
                                                <a:latin typeface="+mn-lt"/>
                                              </a:rPr>
                                              <m:t>A</m:t>
                                            </m:r>
                                          </m:e>
                                          <m:sub>
                                            <m:r>
                                              <m:rPr>
                                                <m:nor/>
                                              </m:rPr>
                                              <a:rPr lang="en-US" sz="1100" b="0" i="0">
                                                <a:latin typeface="+mn-lt"/>
                                              </a:rPr>
                                              <m:t>s</m:t>
                                            </m:r>
                                          </m:sub>
                                        </m:sSub>
                                        <m:r>
                                          <m:rPr>
                                            <m:nor/>
                                          </m:rPr>
                                          <a:rPr lang="en-US" sz="1100" b="0" i="0">
                                            <a:latin typeface="+mn-lt"/>
                                          </a:rPr>
                                          <m:t> </m:t>
                                        </m:r>
                                        <m:d>
                                          <m:dPr>
                                            <m:ctrlPr>
                                              <a:rPr lang="en-US" sz="1100" b="0" i="1">
                                                <a:latin typeface="Cambria Math"/>
                                              </a:rPr>
                                            </m:ctrlPr>
                                          </m:dPr>
                                          <m:e>
                                            <m:r>
                                              <m:rPr>
                                                <m:nor/>
                                              </m:rPr>
                                              <a:rPr lang="en-US" sz="1100" b="0" i="0">
                                                <a:latin typeface="+mn-lt"/>
                                              </a:rPr>
                                              <m:t>acre</m:t>
                                            </m:r>
                                          </m:e>
                                        </m:d>
                                        <m:r>
                                          <m:rPr>
                                            <m:nor/>
                                          </m:rPr>
                                          <a:rPr lang="en-US" sz="1100" b="0" i="0">
                                            <a:latin typeface="+mn-lt"/>
                                          </a:rPr>
                                          <m:t>−</m:t>
                                        </m:r>
                                        <m:r>
                                          <m:rPr>
                                            <m:nor/>
                                          </m:rPr>
                                          <a:rPr lang="en-US" sz="1100" b="0" i="0">
                                            <a:latin typeface="+mn-lt"/>
                                          </a:rPr>
                                          <m:t>B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m:rPr>
                                        <m:nor/>
                                      </m:rPr>
                                      <a:rPr lang="en-US" sz="1100" b="0" i="0">
                                        <a:latin typeface="+mn-lt"/>
                                      </a:rPr>
                                      <m:t>2</m:t>
                                    </m:r>
                                  </m:sup>
                                </m:sSup>
                              </m:num>
                              <m:den>
                                <m:r>
                                  <m:rPr>
                                    <m:nor/>
                                  </m:rPr>
                                  <a:rPr lang="en-US" sz="1100" b="0" i="0">
                                    <a:latin typeface="+mn-lt"/>
                                  </a:rPr>
                                  <m:t>C</m:t>
                                </m:r>
                              </m:den>
                            </m:f>
                          </m:e>
                        </m:d>
                      </m:e>
                    </m:func>
                  </m:oMath>
                </m:oMathPara>
              </a14:m>
              <a:endParaRPr lang="en-US" sz="1100">
                <a:latin typeface="+mn-lt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24507825" y="200025"/>
              <a:ext cx="4876800" cy="1616725"/>
            </a:xfrm>
            <a:prstGeom prst="rect">
              <a:avLst/>
            </a:prstGeom>
            <a:solidFill>
              <a:sysClr val="window" lastClr="FFFFFF"/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1" u="sng"/>
                <a:t>Particulate Emission Factor</a:t>
              </a:r>
              <a:r>
                <a:rPr lang="en-US" sz="1100" b="1" u="sng" baseline="0"/>
                <a:t> - Wind</a:t>
              </a:r>
            </a:p>
            <a:p>
              <a:r>
                <a:rPr lang="en-US" sz="1100" b="0" i="0">
                  <a:latin typeface="Cambria Math"/>
                </a:rPr>
                <a:t>"PE" </a:t>
              </a:r>
              <a:r>
                <a:rPr lang="en-US" sz="1100" b="0" i="0">
                  <a:latin typeface="+mn-lt"/>
                </a:rPr>
                <a:t>"F</a:t>
              </a:r>
              <a:r>
                <a:rPr lang="en-US" sz="1100" b="0" i="0">
                  <a:latin typeface="Cambria Math"/>
                </a:rPr>
                <a:t>" _</a:t>
              </a:r>
              <a:r>
                <a:rPr lang="en-US" sz="1100" b="0" i="0">
                  <a:latin typeface="+mn-lt"/>
                </a:rPr>
                <a:t>"w</a:t>
              </a:r>
              <a:r>
                <a:rPr lang="en-US" sz="1100" b="0" i="0">
                  <a:latin typeface="Cambria Math"/>
                </a:rPr>
                <a:t>" </a:t>
              </a:r>
              <a:r>
                <a:rPr lang="en-US" sz="1100" b="0" i="0">
                  <a:latin typeface="+mn-lt"/>
                </a:rPr>
                <a:t> </a:t>
              </a:r>
              <a:r>
                <a:rPr lang="en-US" sz="1100" b="0" i="0">
                  <a:latin typeface="Cambria Math"/>
                </a:rPr>
                <a:t>" " ((</a:t>
              </a:r>
              <a:r>
                <a:rPr lang="en-US" sz="1100" b="0" i="0">
                  <a:latin typeface="+mn-lt"/>
                </a:rPr>
                <a:t>"m</a:t>
              </a:r>
              <a:r>
                <a:rPr lang="en-US" sz="1100" b="0" i="0">
                  <a:latin typeface="Cambria Math"/>
                </a:rPr>
                <a:t>" _</a:t>
              </a:r>
              <a:r>
                <a:rPr lang="en-US" sz="1100" b="0" i="0">
                  <a:latin typeface="+mn-lt"/>
                </a:rPr>
                <a:t>"air</a:t>
              </a:r>
              <a:r>
                <a:rPr lang="en-US" sz="1100" b="0" i="0">
                  <a:latin typeface="Cambria Math"/>
                </a:rPr>
                <a:t>" ^</a:t>
              </a:r>
              <a:r>
                <a:rPr lang="en-US" sz="1100" b="0" i="0">
                  <a:latin typeface="+mn-lt"/>
                </a:rPr>
                <a:t>"3</a:t>
              </a:r>
              <a:r>
                <a:rPr lang="en-US" sz="1100" b="0" i="0">
                  <a:latin typeface="Cambria Math"/>
                </a:rPr>
                <a:t>" )/(</a:t>
              </a:r>
              <a:r>
                <a:rPr lang="en-US" sz="1100" b="0" i="0">
                  <a:latin typeface="+mn-lt"/>
                </a:rPr>
                <a:t>"k</a:t>
              </a:r>
              <a:r>
                <a:rPr lang="en-US" sz="1100" b="0" i="0">
                  <a:latin typeface="Cambria Math"/>
                </a:rPr>
                <a:t>" </a:t>
              </a:r>
              <a:r>
                <a:rPr lang="en-US" sz="1100" b="0" i="0">
                  <a:latin typeface="+mn-lt"/>
                </a:rPr>
                <a:t>"g</a:t>
              </a:r>
              <a:r>
                <a:rPr lang="en-US" sz="1100" b="0" i="0">
                  <a:latin typeface="Cambria Math"/>
                </a:rPr>
                <a:t>" _</a:t>
              </a:r>
              <a:r>
                <a:rPr lang="en-US" sz="1100" b="0" i="0">
                  <a:latin typeface="+mn-lt"/>
                </a:rPr>
                <a:t>"soil</a:t>
              </a:r>
              <a:r>
                <a:rPr lang="en-US" sz="1100" b="0" i="0">
                  <a:latin typeface="Cambria Math"/>
                </a:rPr>
                <a:t>"  ))"=" </a:t>
              </a:r>
              <a:r>
                <a:rPr lang="en-US" sz="1100" b="0" i="0">
                  <a:latin typeface="+mn-lt"/>
                </a:rPr>
                <a:t> "Q</a:t>
              </a:r>
              <a:r>
                <a:rPr lang="en-US" sz="1100" b="0" i="0">
                  <a:latin typeface="Cambria Math"/>
                </a:rPr>
                <a:t>" /</a:t>
              </a:r>
              <a:r>
                <a:rPr lang="en-US" sz="1100" b="0" i="0">
                  <a:latin typeface="+mn-lt"/>
                </a:rPr>
                <a:t>"C</a:t>
              </a:r>
              <a:r>
                <a:rPr lang="en-US" sz="1100" b="0" i="0">
                  <a:latin typeface="Cambria Math"/>
                </a:rPr>
                <a:t>" _</a:t>
              </a:r>
              <a:r>
                <a:rPr lang="en-US" sz="1100" b="0" i="0">
                  <a:latin typeface="+mn-lt"/>
                </a:rPr>
                <a:t>"wind</a:t>
              </a:r>
              <a:r>
                <a:rPr lang="en-US" sz="1100" b="0" i="0">
                  <a:latin typeface="Cambria Math"/>
                </a:rPr>
                <a:t>"  </a:t>
              </a:r>
              <a:r>
                <a:rPr lang="en-US" sz="1100" b="0" i="0">
                  <a:latin typeface="+mn-lt"/>
                </a:rPr>
                <a:t> </a:t>
              </a:r>
              <a:r>
                <a:rPr lang="en-US" sz="1100" b="0" i="0">
                  <a:latin typeface="Cambria Math"/>
                </a:rPr>
                <a:t>" " ((</a:t>
              </a:r>
              <a:r>
                <a:rPr lang="en-US" sz="1100" b="0" i="0">
                  <a:latin typeface="+mn-lt"/>
                </a:rPr>
                <a:t>"g</a:t>
              </a:r>
              <a:r>
                <a:rPr lang="en-US" sz="1100" b="0" i="0">
                  <a:latin typeface="Cambria Math"/>
                </a:rPr>
                <a:t>" /(</a:t>
              </a:r>
              <a:r>
                <a:rPr lang="en-US" sz="1100" b="0" i="0">
                  <a:latin typeface="+mn-lt"/>
                </a:rPr>
                <a:t>"m</a:t>
              </a:r>
              <a:r>
                <a:rPr lang="en-US" sz="1100" b="0" i="0">
                  <a:latin typeface="Cambria Math"/>
                </a:rPr>
                <a:t>" ^</a:t>
              </a:r>
              <a:r>
                <a:rPr lang="en-US" sz="1100" b="0" i="0">
                  <a:latin typeface="+mn-lt"/>
                </a:rPr>
                <a:t>"2</a:t>
              </a:r>
              <a:r>
                <a:rPr lang="en-US" sz="1100" b="0" i="0">
                  <a:latin typeface="Cambria Math"/>
                </a:rPr>
                <a:t>" </a:t>
              </a:r>
              <a:r>
                <a:rPr lang="en-US" sz="1100" b="0" i="0">
                  <a:latin typeface="+mn-lt"/>
                </a:rPr>
                <a:t> "−s</a:t>
              </a:r>
              <a:r>
                <a:rPr lang="en-US" sz="1100" b="0" i="0">
                  <a:latin typeface="Cambria Math"/>
                </a:rPr>
                <a:t>" ))/(</a:t>
              </a:r>
              <a:r>
                <a:rPr lang="en-US" sz="1100" b="0" i="0">
                  <a:latin typeface="+mn-lt"/>
                </a:rPr>
                <a:t>"kg</a:t>
              </a:r>
              <a:r>
                <a:rPr lang="en-US" sz="1100" b="0" i="0">
                  <a:latin typeface="Cambria Math"/>
                </a:rPr>
                <a:t>" /</a:t>
              </a:r>
              <a:r>
                <a:rPr lang="en-US" sz="1100" b="0" i="0">
                  <a:latin typeface="+mn-lt"/>
                </a:rPr>
                <a:t>"m</a:t>
              </a:r>
              <a:r>
                <a:rPr lang="en-US" sz="1100" b="0" i="0">
                  <a:latin typeface="Cambria Math"/>
                </a:rPr>
                <a:t>" ^</a:t>
              </a:r>
              <a:r>
                <a:rPr lang="en-US" sz="1100" b="0" i="0">
                  <a:latin typeface="+mn-lt"/>
                </a:rPr>
                <a:t>"3</a:t>
              </a:r>
              <a:r>
                <a:rPr lang="en-US" sz="1100" b="0" i="0">
                  <a:latin typeface="Cambria Math"/>
                </a:rPr>
                <a:t>"  ))" x " </a:t>
              </a:r>
              <a:r>
                <a:rPr lang="en-US" sz="1100" b="0" i="0">
                  <a:latin typeface="+mn-lt"/>
                </a:rPr>
                <a:t> "3600 </a:t>
              </a:r>
              <a:r>
                <a:rPr lang="en-US" sz="1100" b="0" i="0">
                  <a:latin typeface="Cambria Math"/>
                </a:rPr>
                <a:t>" (</a:t>
              </a:r>
              <a:r>
                <a:rPr lang="en-US" sz="1100" b="0" i="0">
                  <a:latin typeface="+mn-lt"/>
                </a:rPr>
                <a:t>"s</a:t>
              </a:r>
              <a:r>
                <a:rPr lang="en-US" sz="1100" b="0" i="0">
                  <a:latin typeface="Cambria Math"/>
                </a:rPr>
                <a:t>" /</a:t>
              </a:r>
              <a:r>
                <a:rPr lang="en-US" sz="1100" b="0" i="0">
                  <a:latin typeface="+mn-lt"/>
                </a:rPr>
                <a:t>"hour</a:t>
              </a:r>
              <a:r>
                <a:rPr lang="en-US" sz="1100" b="0" i="0">
                  <a:latin typeface="Cambria Math"/>
                </a:rPr>
                <a:t>" )/(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"0.036 x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"1−V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"x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((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"U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"m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"m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"s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))/(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"U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"t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"m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"s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) ))^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"3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 x F(x)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)</a:t>
              </a:r>
              <a:endParaRPr lang="en-US" sz="1100" b="0">
                <a:latin typeface="+mn-lt"/>
              </a:endParaRPr>
            </a:p>
            <a:p>
              <a:r>
                <a:rPr lang="en-US" sz="1100" b="0" i="0">
                  <a:latin typeface="+mn-lt"/>
                </a:rPr>
                <a:t>"Q</a:t>
              </a:r>
              <a:r>
                <a:rPr lang="en-US" sz="1100" b="0" i="0">
                  <a:latin typeface="Cambria Math"/>
                </a:rPr>
                <a:t>" /</a:t>
              </a:r>
              <a:r>
                <a:rPr lang="en-US" sz="1100" b="0" i="0">
                  <a:latin typeface="+mn-lt"/>
                </a:rPr>
                <a:t>"C</a:t>
              </a:r>
              <a:r>
                <a:rPr lang="en-US" sz="1100" b="0" i="0">
                  <a:latin typeface="Cambria Math"/>
                </a:rPr>
                <a:t>" _</a:t>
              </a:r>
              <a:r>
                <a:rPr lang="en-US" sz="1100" b="0" i="0">
                  <a:latin typeface="+mn-lt"/>
                </a:rPr>
                <a:t>"wind</a:t>
              </a:r>
              <a:r>
                <a:rPr lang="en-US" sz="1100" b="0" i="0">
                  <a:latin typeface="Cambria Math"/>
                </a:rPr>
                <a:t>"  </a:t>
              </a:r>
              <a:r>
                <a:rPr lang="en-US" sz="1100" b="0" i="0">
                  <a:latin typeface="+mn-lt"/>
                </a:rPr>
                <a:t> </a:t>
              </a:r>
              <a:r>
                <a:rPr lang="en-US" sz="1100" b="0" i="0">
                  <a:latin typeface="Cambria Math"/>
                </a:rPr>
                <a:t>"=A x" </a:t>
              </a:r>
              <a:r>
                <a:rPr lang="en-US" sz="1100" b="0" i="0">
                  <a:latin typeface="+mn-lt"/>
                </a:rPr>
                <a:t> "exp</a:t>
              </a:r>
              <a:r>
                <a:rPr lang="en-US" sz="1100" b="0" i="0">
                  <a:latin typeface="Cambria Math"/>
                </a:rPr>
                <a:t>" ⁡[(</a:t>
              </a:r>
              <a:r>
                <a:rPr lang="en-US" sz="1100" b="0" i="0">
                  <a:latin typeface="+mn-lt"/>
                </a:rPr>
                <a:t>"ln</a:t>
              </a:r>
              <a:r>
                <a:rPr lang="en-US" sz="1100" b="0" i="0">
                  <a:latin typeface="Cambria Math"/>
                </a:rPr>
                <a:t>" </a:t>
              </a:r>
              <a:r>
                <a:rPr lang="en-US" sz="1100" b="0" i="0">
                  <a:latin typeface="+mn-lt"/>
                </a:rPr>
                <a:t>"A</a:t>
              </a:r>
              <a:r>
                <a:rPr lang="en-US" sz="1100" b="0" i="0">
                  <a:latin typeface="Cambria Math"/>
                </a:rPr>
                <a:t>" _</a:t>
              </a:r>
              <a:r>
                <a:rPr lang="en-US" sz="1100" b="0" i="0">
                  <a:latin typeface="+mn-lt"/>
                </a:rPr>
                <a:t>"s</a:t>
              </a:r>
              <a:r>
                <a:rPr lang="en-US" sz="1100" b="0" i="0">
                  <a:latin typeface="Cambria Math"/>
                </a:rPr>
                <a:t>" </a:t>
              </a:r>
              <a:r>
                <a:rPr lang="en-US" sz="1100" b="0" i="0">
                  <a:latin typeface="+mn-lt"/>
                </a:rPr>
                <a:t> " </a:t>
              </a:r>
              <a:r>
                <a:rPr lang="en-US" sz="1100" b="0" i="0">
                  <a:latin typeface="Cambria Math"/>
                </a:rPr>
                <a:t>" (</a:t>
              </a:r>
              <a:r>
                <a:rPr lang="en-US" sz="1100" b="0" i="0">
                  <a:latin typeface="+mn-lt"/>
                </a:rPr>
                <a:t>"acre</a:t>
              </a:r>
              <a:r>
                <a:rPr lang="en-US" sz="1100" b="0" i="0">
                  <a:latin typeface="Cambria Math"/>
                </a:rPr>
                <a:t>" )</a:t>
              </a:r>
              <a:r>
                <a:rPr lang="en-US" sz="1100" b="0" i="0">
                  <a:latin typeface="+mn-lt"/>
                </a:rPr>
                <a:t>"−B</a:t>
              </a:r>
              <a:r>
                <a:rPr lang="en-US" sz="1100" b="0" i="0">
                  <a:latin typeface="Cambria Math"/>
                </a:rPr>
                <a:t>" )^</a:t>
              </a:r>
              <a:r>
                <a:rPr lang="en-US" sz="1100" b="0" i="0">
                  <a:latin typeface="+mn-lt"/>
                </a:rPr>
                <a:t>"2</a:t>
              </a:r>
              <a:r>
                <a:rPr lang="en-US" sz="1100" b="0" i="0">
                  <a:latin typeface="Cambria Math"/>
                </a:rPr>
                <a:t>" /</a:t>
              </a:r>
              <a:r>
                <a:rPr lang="en-US" sz="1100" b="0" i="0">
                  <a:latin typeface="+mn-lt"/>
                </a:rPr>
                <a:t>"C</a:t>
              </a:r>
              <a:r>
                <a:rPr lang="en-US" sz="1100" b="0" i="0">
                  <a:latin typeface="Cambria Math"/>
                </a:rPr>
                <a:t>" ]</a:t>
              </a:r>
              <a:endParaRPr lang="en-US" sz="1100">
                <a:latin typeface="+mn-lt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225137</xdr:colOff>
      <xdr:row>20</xdr:row>
      <xdr:rowOff>138543</xdr:rowOff>
    </xdr:from>
    <xdr:ext cx="6979227" cy="2736276"/>
    <xdr:sp macro="" textlink="">
      <xdr:nvSpPr>
        <xdr:cNvPr id="2" name="TextBox 1"/>
        <xdr:cNvSpPr txBox="1"/>
      </xdr:nvSpPr>
      <xdr:spPr>
        <a:xfrm>
          <a:off x="225137" y="4190998"/>
          <a:ext cx="6979227" cy="273627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Inhalation (with half-life</a:t>
          </a:r>
          <a:r>
            <a:rPr lang="en-US" sz="1100" b="1" u="sng" baseline="0"/>
            <a:t> decay)</a:t>
          </a:r>
        </a:p>
        <a:p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res−air−inh−decay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</a:t>
          </a:r>
          <a:r>
            <a:rPr lang="en-US" sz="1100" b="0" i="0">
              <a:latin typeface="Cambria Math"/>
              <a:ea typeface="Cambria Math"/>
            </a:rPr>
            <a:t>" </a:t>
          </a:r>
          <a:r>
            <a:rPr lang="en-US" sz="1100" b="0" i="0">
              <a:latin typeface="Cambria Math"/>
            </a:rPr>
            <a:t> ├ "</a:t>
          </a:r>
          <a:r>
            <a:rPr lang="en-US" sz="1100" b="0" i="0">
              <a:latin typeface="Calibri" panose="020F0502020204030204" pitchFamily="34" charset="0"/>
            </a:rPr>
            <a:t>TR x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t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λ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yr</a:t>
          </a:r>
          <a:r>
            <a:rPr lang="en-US" sz="1100" b="0" i="0">
              <a:latin typeface="Cambria Math"/>
              <a:ea typeface="Cambria Math"/>
            </a:rPr>
            <a:t>" )┤/(("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1−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e</a:t>
          </a:r>
          <a:r>
            <a:rPr lang="en-US" sz="1100" b="0" i="0">
              <a:latin typeface="Cambria Math"/>
              <a:ea typeface="Cambria Math"/>
            </a:rPr>
            <a:t>" ^("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−λ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t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</a:t>
          </a:r>
          <a:r>
            <a:rPr lang="en-US" sz="1100" b="0" i="0">
              <a:latin typeface="Cambria Math"/>
              <a:ea typeface="Cambria Math"/>
            </a:rPr>
            <a:t>"  )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SFi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IF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A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r−adj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161,000 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m</a:t>
          </a:r>
          <a:r>
            <a:rPr lang="en-US" sz="1100" b="0" i="0">
              <a:latin typeface="Cambria Math"/>
              <a:ea typeface="Cambria Math"/>
            </a:rPr>
            <a:t>" ^"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3</a:t>
          </a:r>
          <a:r>
            <a:rPr lang="en-US" sz="1100" b="0" i="0">
              <a:latin typeface="Cambria Math"/>
              <a:ea typeface="Cambria Math"/>
            </a:rPr>
            <a:t>" 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0" i="0">
              <a:latin typeface="Cambria Math"/>
            </a:rPr>
            <a:t>"IF" </a:t>
          </a:r>
          <a:r>
            <a:rPr lang="en-US" sz="1100" b="0" i="0">
              <a:latin typeface="Calibri" panose="020F0502020204030204" pitchFamily="34" charset="0"/>
            </a:rPr>
            <a:t>"A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r−adj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161,000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)"=" ("</a:t>
          </a:r>
          <a:r>
            <a:rPr lang="en-US" sz="1100" b="0" i="0">
              <a:latin typeface="Calibri" panose="020F0502020204030204" pitchFamily="34" charset="0"/>
            </a:rPr>
            <a:t>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D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6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T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24 hr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1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24 hrs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IR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A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</a:rPr>
            <a:t>10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))"+" (〖"</a:t>
          </a:r>
          <a:r>
            <a:rPr lang="en-US" sz="1100" b="0" i="0">
              <a:latin typeface="Calibri" panose="020F0502020204030204" pitchFamily="34" charset="0"/>
            </a:rPr>
            <a:t>EF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ED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20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ET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24 hr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1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24 hrs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IRA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</a:rPr>
            <a:t>20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 to ionizing radiation (with half-life decay)</a:t>
          </a:r>
          <a:endParaRPr lang="en-US" sz="1100" b="0" u="non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_"res−air−sub−decay"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 x " "t" _"r"  " " ("yr" )" x λ " ("1" /"yr" )┤/(("1−" "e" ^("−λ" "t" _"r"  ) )" x S" "F" _"sub"  " " (("risk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)/("pCi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"m" ^"3"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))" x E" "F" _"r"  " " ("350 day" /"yr" )" x " (├ "1 yr" ┤/"365 days" )" x E" "D" _"r"  " " ("26 yr" )" x E" "T" _"r"  " " ("24 hr" /"day" )" x " ("1 day" /"24 hrs" )" x GS" "F" _"a"  " " ("1.0"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_"res−air−tot−decay"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_"res−air−inh−decay"  ) "+"  "1" /("PR" "G" _"res−air−sub−decay"  ) " " )</a:t>
          </a:r>
          <a:endParaRPr lang="en-US" sz="1100">
            <a:latin typeface="Calibri" panose="020F0502020204030204" pitchFamily="34" charset="0"/>
          </a:endParaRPr>
        </a:p>
      </xdr:txBody>
    </xdr:sp>
    <xdr:clientData/>
  </xdr:oneCellAnchor>
  <xdr:oneCellAnchor>
    <xdr:from>
      <xdr:col>0</xdr:col>
      <xdr:colOff>113434</xdr:colOff>
      <xdr:row>35</xdr:row>
      <xdr:rowOff>61479</xdr:rowOff>
    </xdr:from>
    <xdr:ext cx="10260157" cy="2120611"/>
    <xdr:sp macro="" textlink="">
      <xdr:nvSpPr>
        <xdr:cNvPr id="5" name="TextBox 4"/>
        <xdr:cNvSpPr txBox="1"/>
      </xdr:nvSpPr>
      <xdr:spPr>
        <a:xfrm>
          <a:off x="113434" y="7006070"/>
          <a:ext cx="10260157" cy="212061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Inhalation (without half-life</a:t>
          </a:r>
          <a:r>
            <a:rPr lang="en-US" sz="1100" b="1" u="sng" baseline="0"/>
            <a:t> decay)</a:t>
          </a:r>
        </a:p>
        <a:p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res−air−inh−nodecay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</a:t>
          </a:r>
          <a:r>
            <a:rPr lang="en-US" sz="1100" b="0" i="0">
              <a:latin typeface="Cambria Math"/>
              <a:ea typeface="Cambria Math"/>
            </a:rPr>
            <a:t>" </a:t>
          </a:r>
          <a:r>
            <a:rPr lang="en-US" sz="1100" b="0" i="0">
              <a:latin typeface="Cambria Math"/>
            </a:rPr>
            <a:t> ├ "</a:t>
          </a:r>
          <a:r>
            <a:rPr lang="en-US" sz="1100" b="0" i="0">
              <a:latin typeface="Calibri" panose="020F0502020204030204" pitchFamily="34" charset="0"/>
            </a:rPr>
            <a:t>TR</a:t>
          </a:r>
          <a:r>
            <a:rPr lang="en-US" sz="1100" b="0" i="0">
              <a:latin typeface="Cambria Math"/>
            </a:rPr>
            <a:t>" ┤</a:t>
          </a:r>
          <a:r>
            <a:rPr lang="en-US" sz="1100" b="0" i="0">
              <a:latin typeface="Cambria Math"/>
              <a:ea typeface="Cambria Math"/>
            </a:rPr>
            <a:t>/("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SFi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risk</a:t>
          </a:r>
          <a:r>
            <a:rPr lang="en-US" sz="1100" b="0" i="0">
              <a:latin typeface="Cambria Math"/>
              <a:ea typeface="Cambria Math"/>
            </a:rPr>
            <a:t>" /"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pCi</a:t>
          </a:r>
          <a:r>
            <a:rPr lang="en-US" sz="1100" b="0" i="0">
              <a:latin typeface="Cambria Math"/>
              <a:ea typeface="Cambria Math"/>
            </a:rPr>
            <a:t>" )"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x IF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A</a:t>
          </a:r>
          <a:r>
            <a:rPr lang="en-US" sz="1100" b="0" i="0">
              <a:latin typeface="Cambria Math"/>
              <a:ea typeface="Cambria Math"/>
            </a:rPr>
            <a:t>" _"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r−adj</a:t>
          </a:r>
          <a:r>
            <a:rPr lang="en-US" sz="1100" b="0" i="0">
              <a:latin typeface="Cambria Math"/>
              <a:ea typeface="Cambria Math"/>
            </a:rPr>
            <a:t>" 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 </a:t>
          </a:r>
          <a:r>
            <a:rPr lang="en-US" sz="1100" b="0" i="0">
              <a:latin typeface="Cambria Math"/>
              <a:ea typeface="Cambria Math"/>
            </a:rPr>
            <a:t>" ("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161,000 </a:t>
          </a:r>
          <a:r>
            <a:rPr lang="en-US" sz="1100" b="0" i="0">
              <a:latin typeface="Cambria Math"/>
              <a:ea typeface="Cambria Math"/>
            </a:rPr>
            <a:t>" 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m</a:t>
          </a:r>
          <a:r>
            <a:rPr lang="en-US" sz="1100" b="0" i="0">
              <a:latin typeface="Cambria Math"/>
              <a:ea typeface="Cambria Math"/>
            </a:rPr>
            <a:t>" ^"</a:t>
          </a:r>
          <a:r>
            <a:rPr lang="en-US" sz="1100" b="0" i="0">
              <a:latin typeface="Calibri" panose="020F0502020204030204" pitchFamily="34" charset="0"/>
              <a:ea typeface="Cambria Math"/>
            </a:rPr>
            <a:t>3</a:t>
          </a:r>
          <a:r>
            <a:rPr lang="en-US" sz="1100" b="0" i="0">
              <a:latin typeface="Cambria Math"/>
              <a:ea typeface="Cambria Math"/>
            </a:rPr>
            <a:t>" 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0" i="0">
              <a:latin typeface="Cambria Math"/>
            </a:rPr>
            <a:t>"IF" </a:t>
          </a:r>
          <a:r>
            <a:rPr lang="en-US" sz="1100" b="0" i="0">
              <a:latin typeface="Calibri" panose="020F0502020204030204" pitchFamily="34" charset="0"/>
            </a:rPr>
            <a:t>"A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r−adj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161,000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 )"=" ("</a:t>
          </a:r>
          <a:r>
            <a:rPr lang="en-US" sz="1100" b="0" i="0">
              <a:latin typeface="Calibri" panose="020F0502020204030204" pitchFamily="34" charset="0"/>
            </a:rPr>
            <a:t>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D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6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T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24 hr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1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24 hrs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IR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A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</a:rPr>
            <a:t>10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))"+" (〖"</a:t>
          </a:r>
          <a:r>
            <a:rPr lang="en-US" sz="1100" b="0" i="0">
              <a:latin typeface="Calibri" panose="020F0502020204030204" pitchFamily="34" charset="0"/>
            </a:rPr>
            <a:t>EF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ED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20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ET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24 hr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1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24 hrs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</a:t>
          </a:r>
          <a:r>
            <a:rPr lang="en-US" sz="1100" b="0" i="0">
              <a:latin typeface="Cambria Math"/>
            </a:rPr>
            <a:t>" 〖"</a:t>
          </a:r>
          <a:r>
            <a:rPr lang="en-US" sz="1100" b="0" i="0">
              <a:latin typeface="Calibri" panose="020F0502020204030204" pitchFamily="34" charset="0"/>
            </a:rPr>
            <a:t>IRA</a:t>
          </a:r>
          <a:r>
            <a:rPr lang="en-US" sz="1100" b="0" i="0">
              <a:latin typeface="Cambria Math"/>
            </a:rPr>
            <a:t>" 〗_"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(("</a:t>
          </a:r>
          <a:r>
            <a:rPr lang="en-US" sz="1100" b="0" i="0">
              <a:latin typeface="Calibri" panose="020F0502020204030204" pitchFamily="34" charset="0"/>
            </a:rPr>
            <a:t>20 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m</a:t>
          </a:r>
          <a:r>
            <a:rPr lang="en-US" sz="1100" b="0" i="0">
              <a:latin typeface="Cambria Math"/>
            </a:rPr>
            <a:t>" ^"</a:t>
          </a:r>
          <a:r>
            <a:rPr lang="en-US" sz="1100" b="0" i="0">
              <a:latin typeface="Calibri" panose="020F0502020204030204" pitchFamily="34" charset="0"/>
            </a:rPr>
            <a:t>3</a:t>
          </a:r>
          <a:r>
            <a:rPr lang="en-US" sz="1100" b="0" i="0">
              <a:latin typeface="Cambria Math"/>
            </a:rPr>
            <a:t>" )/"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External exposure to ionizing radiation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_"res−air−sub−nodecay"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├ "TR" ┤/("S" "F" _"sub"  " " (("risk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)/("pCi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"m" ^"3"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))" x E" "F" _"r"  " " ("350 day" /"yr" )" x " (├ "1 yr" ┤/"365 days" )" x E" "D" _"r"  " " ("26 yr" )" x E" "T" _"r"  " " ("24 hr" /"day" )" x " ("1 day" /"24 hrs" )" x GS" "F" _"a"  " " ("1.0" ) 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(without half-life decay)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_"res−air−tot−nodecay"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_"res−air−inh−nodecay"  ) "+"  "1" /("PR" "G" _"res−air−sub−nodecay"  ) " " )</a:t>
          </a:r>
          <a:endParaRPr lang="en-US" sz="1100">
            <a:latin typeface="Calibri" panose="020F050202020403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485774</xdr:colOff>
      <xdr:row>37</xdr:row>
      <xdr:rowOff>57148</xdr:rowOff>
    </xdr:from>
    <xdr:ext cx="13611225" cy="3700898"/>
    <xdr:sp macro="" textlink="">
      <xdr:nvSpPr>
        <xdr:cNvPr id="2" name="TextBox 1"/>
        <xdr:cNvSpPr txBox="1"/>
      </xdr:nvSpPr>
      <xdr:spPr>
        <a:xfrm>
          <a:off x="1698047" y="7607875"/>
          <a:ext cx="13611225" cy="370089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u="sng"/>
            <a:t>Ingestion of Tapwater</a:t>
          </a:r>
        </a:p>
        <a:p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water−ing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L</a:t>
          </a:r>
          <a:r>
            <a:rPr lang="en-US" sz="1100" b="0" i="0">
              <a:latin typeface="Cambria Math"/>
            </a:rPr>
            <a:t>" )"=" </a:t>
          </a:r>
          <a:r>
            <a:rPr lang="en-US" sz="1100" b="0" i="0">
              <a:latin typeface="Calibri" panose="020F0502020204030204" pitchFamily="34" charset="0"/>
            </a:rPr>
            <a:t> "TR</a:t>
          </a:r>
          <a:r>
            <a:rPr lang="en-US" sz="1100" b="0" i="0">
              <a:latin typeface="Cambria Math"/>
            </a:rPr>
            <a:t>" /("</a:t>
          </a:r>
          <a:r>
            <a:rPr lang="en-US" sz="1100" b="0" i="0">
              <a:latin typeface="Calibri" panose="020F0502020204030204" pitchFamily="34" charset="0"/>
            </a:rPr>
            <a:t>S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w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risk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IF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W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res−adj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19,138 L</a:t>
          </a:r>
          <a:r>
            <a:rPr lang="en-US" sz="1100" b="0" i="0">
              <a:latin typeface="Cambria Math"/>
            </a:rPr>
            <a:t>" ) )"IF" </a:t>
          </a:r>
          <a:r>
            <a:rPr lang="en-US" sz="1100" b="0" i="0">
              <a:latin typeface="Calibri" panose="020F0502020204030204" pitchFamily="34" charset="0"/>
            </a:rPr>
            <a:t>"W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res−adj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19,138 L</a:t>
          </a:r>
          <a:r>
            <a:rPr lang="en-US" sz="1100" b="0" i="0">
              <a:latin typeface="Cambria Math"/>
            </a:rPr>
            <a:t>" )"=" ("</a:t>
          </a:r>
          <a:r>
            <a:rPr lang="en-US" sz="1100" b="0" i="0">
              <a:latin typeface="Calibri" panose="020F0502020204030204" pitchFamily="34" charset="0"/>
            </a:rPr>
            <a:t>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D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6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IR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W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r−c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0.78 L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))"+" ("</a:t>
          </a:r>
          <a:r>
            <a:rPr lang="en-US" sz="1100" b="0" i="0">
              <a:latin typeface="Calibri" panose="020F0502020204030204" pitchFamily="34" charset="0"/>
            </a:rPr>
            <a:t>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D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20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 x IR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W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r−a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2.5 L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Inhalation (Only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calculated for C-14, H-3, Ra-224, Ra-226, and Ra-226+D)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_"water−inh"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_"i"  " " ("risk" /"pCi" )" x IF" "A" _"res−adj"  " " ("161,000 " "m" ^"3"  )" x K " ("0.5 L" /"m" ^"3"  )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"A" _"res−adj"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("161,000 " "m" ^"3" 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_"r−c"  " " ("350 day" /"yr" )" x E" "D" _"r−c"  " " ("6 yr" )" x E" "T" _"r−c"  " " ("24 hrs" /"day" )" x " (├ "1 day" ┤/"24 hrs" )" x IR" "A" _"r−c"  " " (("10 " "m" ^"3" )/"day"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_"r−a"  " " ("350 day" /"yr" )" x E" "D" _"r−a"  " " ("20 yr" )" x E" "T" _"r−a"  " " ("24 hrs" /"day" )" x " ((("1 day" ))/"24 hrs" )" x IR" "A" _"r−a"  " " (("20 " "m" ^"3" )/"day" ))</a:t>
          </a:r>
          <a:endParaRPr lang="en-US" sz="1100">
            <a:latin typeface="Calibri" panose="020F0502020204030204" pitchFamily="34" charset="0"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Immersion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_"water−imm"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/("S" "F" _"imm"  " " (("risk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"yr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)/("pCi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∕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"L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))" x " ("1 yr" /"8760 hr" )" x DF" "A" _"r−adj"  " " ("6104 hr" )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"DF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"A" _"r−adj"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("6104 hr"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_"r−c"  " " ("350 day" /"yr" )" x E" "D" _"r−c"  " " ("6 yr" )" x E" "V" _"r−c"  " " ("1 event" /"day" )" x " "t" _"r−c−event"  " " ("0.54 hr" /"event"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_"r−a"  " " ("350 day" /"yr" )" x E" "D" _"r−a"  " " ("20 yr" )" x E" "V" _"r−a"  " " ("1 event" /"day" )" x " "t" _"r−a−event"  " " ("0.71 hr" /"event"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Consumption of fruits and vegetables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_"res−prod−ing"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"TR" /(〖"SF" 〗_"f"  ("risk" /"pCi" )" x " ("IF" "F" _"r−adj"  " " ("1,389,710 g" )"+IF" "V" _"r−adj"  " " ("970,970 g" ))" x CP" "F" _"r"  " " ("0.25" )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"F" _"r−adj"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("1,389,710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_"r−c"  " " ("350 day" /"yr" )" x E" "D" _"r−c"  " " ("6 yr" )" x IR" "F" _"r−c"  " " ("68.1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_"r−a"  " " ("350 day" /"yr" )" x E" "D" _"r−a"  " " ("20 yr" )" x IR" "F" _"r−a"  " " ("178.1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"IF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"F" _"r−adj"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("970,970 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_"r−c"  " " ("350 day" /"yr" )" x E" "D" _"r−c"  " " ("6 yr" )" x IR" "V" _"r−c"  " " ("41.7 g" /"day" ))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"+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("E" "F" _"r−a"  " " ("350 day" /"yr" )" x E" "D" _"r−a"  " " ("20 yr" )" x IR" "V" _"r−a"  " " ("126.2 g" /"day" ))</a:t>
          </a:r>
          <a:endParaRPr lang="en-US">
            <a:effectLst/>
          </a:endParaRP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Consumption of fruits and vegetables</a:t>
          </a:r>
          <a:r>
            <a:rPr lang="en-US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back-calculated to water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_"water−prod"  ("pCi" ∕"L"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(("PR" "G" _"res−prod−ing"  " " ("pCi" /"g" )))/("1 kg" /"1000 g" )"x " ("Ir" "r" _"rup"  ("L" /"kg" )"+Ir" "r" _"res"  ("L" /"kg" )"+Ir" "r" _"dep"  ("L" /"kg" ))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_"rup"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("L" /"kg"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("Ir x F x B" "v" _"wet"  " x " ["1−" "e" ^("−" "λ" _"B"  " x " "t" _"b"  ) ])/("P x " "λ" _"B"  )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;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_"res"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("L" /"kg"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"Ir x F x MLF x " ["1−" "e" ^("−" "λ" _"B"  " x " "t" _"b"  ) ]/("P x " "λ" _"B"  )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;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"Ir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"r" _"res"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("L" /"kg"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("Ir x F x " "I" _"f"  " x T x " ["1−" "e" ^("−" "λ" _"E"  " x " "t" _"v"  ) ])/("Y" _"v"  " x " "λ" _"E"  )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r>
            <a:rPr lang="en-US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</a:t>
          </a:r>
          <a:endParaRPr lang="en-US">
            <a:effectLst/>
          </a:endParaRPr>
        </a:p>
        <a:p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"PR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"G" _"water−tot"  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 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("pCi" ∕"L" )</a:t>
          </a:r>
          <a:r>
            <a:rPr lang="en-US" sz="1100" b="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"=</a:t>
          </a:r>
          <a:r>
            <a:rPr 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  "1" /("1" /("PR" "G" _"water−ing"  ) "+"  "1" /("PR" "G" _"water−inh"  ) "+"  "1" /("PR" "G" _"water−imm"  ) "+"  "1" /("PR" "G" _"water−prod"  ))</a:t>
          </a:r>
          <a:endParaRPr lang="en-US">
            <a:effectLst/>
          </a:endParaRPr>
        </a:p>
      </xdr:txBody>
    </xdr:sp>
    <xdr:clientData/>
  </xdr:oneCellAnchor>
  <xdr:oneCellAnchor>
    <xdr:from>
      <xdr:col>2</xdr:col>
      <xdr:colOff>563706</xdr:colOff>
      <xdr:row>57</xdr:row>
      <xdr:rowOff>67541</xdr:rowOff>
    </xdr:from>
    <xdr:ext cx="12424929" cy="521278"/>
    <xdr:sp macro="" textlink="">
      <xdr:nvSpPr>
        <xdr:cNvPr id="9" name="TextBox 8"/>
        <xdr:cNvSpPr txBox="1"/>
      </xdr:nvSpPr>
      <xdr:spPr>
        <a:xfrm>
          <a:off x="1775979" y="11428268"/>
          <a:ext cx="12424929" cy="521278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 i="0" u="sng"/>
            <a:t>Consumption</a:t>
          </a:r>
          <a:r>
            <a:rPr lang="en-US" sz="1100" b="1" i="0" u="sng" baseline="0"/>
            <a:t> of fish</a:t>
          </a:r>
        </a:p>
        <a:p>
          <a:r>
            <a:rPr lang="en-US" sz="1100" b="0" i="0">
              <a:latin typeface="Cambria Math"/>
            </a:rPr>
            <a:t>"PR" </a:t>
          </a:r>
          <a:r>
            <a:rPr lang="en-US" sz="1100" b="0" i="0">
              <a:latin typeface="Calibri" panose="020F0502020204030204" pitchFamily="34" charset="0"/>
            </a:rPr>
            <a:t>"G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res−fsh−ing</a:t>
          </a:r>
          <a:r>
            <a:rPr lang="en-US" sz="1100" b="0" i="0">
              <a:latin typeface="Cambria Math"/>
            </a:rPr>
            <a:t>"  " " ("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∕"</a:t>
          </a:r>
          <a:r>
            <a:rPr lang="en-US" sz="1100" b="0" i="0">
              <a:latin typeface="Calibri" panose="020F0502020204030204" pitchFamily="34" charset="0"/>
            </a:rPr>
            <a:t>g</a:t>
          </a:r>
          <a:r>
            <a:rPr lang="en-US" sz="1100" b="0" i="0">
              <a:latin typeface="Cambria Math"/>
            </a:rPr>
            <a:t>" )"=" </a:t>
          </a:r>
          <a:r>
            <a:rPr lang="en-US" sz="1100" b="0" i="0">
              <a:latin typeface="Calibri" panose="020F0502020204030204" pitchFamily="34" charset="0"/>
            </a:rPr>
            <a:t> "TR</a:t>
          </a:r>
          <a:r>
            <a:rPr lang="en-US" sz="1100" b="0" i="0">
              <a:latin typeface="Cambria Math"/>
            </a:rPr>
            <a:t>" /("</a:t>
          </a:r>
          <a:r>
            <a:rPr lang="en-US" sz="1100" b="0" i="0">
              <a:latin typeface="Calibri" panose="020F0502020204030204" pitchFamily="34" charset="0"/>
            </a:rPr>
            <a:t>S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fish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risk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pCi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350 day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x E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D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r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26 yr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x IR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a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</a:t>
          </a:r>
          <a:r>
            <a:rPr lang="en-US" sz="1100" b="0" i="0">
              <a:latin typeface="Cambria Math"/>
            </a:rPr>
            <a:t>" ("</a:t>
          </a:r>
          <a:r>
            <a:rPr lang="en-US" sz="1100" b="0" i="0">
              <a:latin typeface="Calibri" panose="020F0502020204030204" pitchFamily="34" charset="0"/>
            </a:rPr>
            <a:t>54 g</a:t>
          </a:r>
          <a:r>
            <a:rPr lang="en-US" sz="1100" b="0" i="0">
              <a:latin typeface="Cambria Math"/>
            </a:rPr>
            <a:t>" /"</a:t>
          </a:r>
          <a:r>
            <a:rPr lang="en-US" sz="1100" b="0" i="0">
              <a:latin typeface="Calibri" panose="020F0502020204030204" pitchFamily="34" charset="0"/>
            </a:rPr>
            <a:t>day</a:t>
          </a:r>
          <a:r>
            <a:rPr lang="en-US" sz="1100" b="0" i="0">
              <a:latin typeface="Cambria Math"/>
            </a:rPr>
            <a:t>" )"</a:t>
          </a:r>
          <a:r>
            <a:rPr lang="en-US" sz="1100" b="0" i="0">
              <a:latin typeface="Calibri" panose="020F0502020204030204" pitchFamily="34" charset="0"/>
            </a:rPr>
            <a:t>x C</a:t>
          </a:r>
          <a:r>
            <a:rPr lang="en-US" sz="1100" b="0" i="0">
              <a:latin typeface="Cambria Math"/>
            </a:rPr>
            <a:t>" "</a:t>
          </a:r>
          <a:r>
            <a:rPr lang="en-US" sz="1100" b="0" i="0">
              <a:latin typeface="Calibri" panose="020F0502020204030204" pitchFamily="34" charset="0"/>
            </a:rPr>
            <a:t>F</a:t>
          </a:r>
          <a:r>
            <a:rPr lang="en-US" sz="1100" b="0" i="0">
              <a:latin typeface="Cambria Math"/>
            </a:rPr>
            <a:t>" _"</a:t>
          </a:r>
          <a:r>
            <a:rPr lang="en-US" sz="1100" b="0" i="0">
              <a:latin typeface="Calibri" panose="020F0502020204030204" pitchFamily="34" charset="0"/>
            </a:rPr>
            <a:t>fish</a:t>
          </a:r>
          <a:r>
            <a:rPr lang="en-US" sz="1100" b="0" i="0">
              <a:latin typeface="Cambria Math"/>
            </a:rPr>
            <a:t>"  "</a:t>
          </a:r>
          <a:r>
            <a:rPr lang="en-US" sz="1100" b="0" i="0">
              <a:latin typeface="Calibri" panose="020F0502020204030204" pitchFamily="34" charset="0"/>
            </a:rPr>
            <a:t> (1)</a:t>
          </a:r>
          <a:r>
            <a:rPr lang="en-US" sz="1100" b="0" i="0">
              <a:latin typeface="Cambria Math"/>
            </a:rPr>
            <a:t>" )</a:t>
          </a:r>
          <a:endParaRPr lang="en-US" sz="1100">
            <a:latin typeface="Calibri" panose="020F0502020204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zoomScale="55" zoomScaleNormal="55" workbookViewId="0">
      <selection activeCell="AB34" sqref="AB33:AB34"/>
    </sheetView>
  </sheetViews>
  <sheetFormatPr defaultRowHeight="15" x14ac:dyDescent="0.25"/>
  <cols>
    <col min="3" max="3" width="7.85546875" customWidth="1"/>
    <col min="7" max="8" width="10.7109375" bestFit="1" customWidth="1"/>
    <col min="16" max="16" width="11.42578125" customWidth="1"/>
  </cols>
  <sheetData>
    <row r="1" spans="1:31" ht="15.75" thickBot="1" x14ac:dyDescent="0.3">
      <c r="A1" s="13" t="s">
        <v>27</v>
      </c>
      <c r="B1" s="13" t="s">
        <v>28</v>
      </c>
      <c r="E1" s="1"/>
      <c r="F1" s="2" t="s">
        <v>0</v>
      </c>
      <c r="G1" s="3" t="s">
        <v>1</v>
      </c>
      <c r="H1" s="3" t="s">
        <v>2</v>
      </c>
      <c r="I1" s="149" t="s">
        <v>13</v>
      </c>
      <c r="J1" s="150"/>
      <c r="K1" s="3" t="s">
        <v>3</v>
      </c>
      <c r="N1" s="122"/>
      <c r="O1" s="122"/>
      <c r="P1" s="126"/>
      <c r="Q1" s="126"/>
      <c r="R1" s="4"/>
      <c r="S1" s="4"/>
      <c r="T1" s="3" t="s">
        <v>4</v>
      </c>
      <c r="U1" s="3" t="s">
        <v>5</v>
      </c>
      <c r="V1" s="5" t="s">
        <v>6</v>
      </c>
      <c r="Z1" s="122"/>
      <c r="AA1" s="122"/>
      <c r="AB1" s="126"/>
      <c r="AC1" s="126"/>
      <c r="AD1" s="127"/>
      <c r="AE1" s="122"/>
    </row>
    <row r="2" spans="1:31" ht="15" customHeight="1" x14ac:dyDescent="0.25">
      <c r="A2" s="13" t="s">
        <v>29</v>
      </c>
      <c r="B2" s="11">
        <v>9.9999999999999995E-7</v>
      </c>
      <c r="E2" s="146" t="s">
        <v>7</v>
      </c>
      <c r="F2" s="6">
        <f>($B$2)*($B$3)*(G26)</f>
        <v>0</v>
      </c>
      <c r="G2" s="6">
        <f>($B$2)*($B$3)*(G26)</f>
        <v>0</v>
      </c>
      <c r="H2" s="6">
        <f>($B$2)*($B$3)*(G26)</f>
        <v>0</v>
      </c>
      <c r="I2" s="24">
        <f>$B$2</f>
        <v>9.9999999999999995E-7</v>
      </c>
      <c r="J2" s="24" t="e">
        <f>I4/((O26)+($B$24))</f>
        <v>#DIV/0!</v>
      </c>
      <c r="K2" s="7">
        <f>1</f>
        <v>1</v>
      </c>
      <c r="N2" s="128"/>
      <c r="O2" s="126"/>
      <c r="P2" s="95"/>
      <c r="Q2" s="95"/>
      <c r="R2" s="143" t="s">
        <v>7</v>
      </c>
      <c r="S2" s="8" t="s">
        <v>0</v>
      </c>
      <c r="T2" s="9">
        <v>4.95</v>
      </c>
      <c r="U2" s="9">
        <v>4.95</v>
      </c>
      <c r="V2" s="10">
        <f>(T2-U2)/((1/2)*(T2+U2))</f>
        <v>0</v>
      </c>
      <c r="Z2" s="128"/>
      <c r="AA2" s="126"/>
      <c r="AB2" s="95"/>
      <c r="AC2" s="95"/>
      <c r="AD2" s="129"/>
      <c r="AE2" s="122"/>
    </row>
    <row r="3" spans="1:31" x14ac:dyDescent="0.25">
      <c r="A3" s="13" t="s">
        <v>30</v>
      </c>
      <c r="B3" s="22">
        <v>26</v>
      </c>
      <c r="E3" s="147"/>
      <c r="F3" s="11">
        <f>(H26)*(I26)*($B$4)*(1/1000)</f>
        <v>0</v>
      </c>
      <c r="G3" s="11" t="e">
        <f>(H26)*(J26)*($B$11)*(1/L26)*(1000)</f>
        <v>#DIV/0!</v>
      </c>
      <c r="H3" s="11">
        <f>(H26)*(M26)*($B$17)*(1/365)*($B$18)*((($B$19)*(1/24)*($B$20))+(($B$21)*(1/24)*($B$22)))*(N26)</f>
        <v>0</v>
      </c>
      <c r="I3" s="25">
        <f>(P26)*($B$27+$B$28)*($B$29)</f>
        <v>0</v>
      </c>
      <c r="J3" s="25" t="e">
        <f>($B$3*(G26))/(H26)</f>
        <v>#DIV/0!</v>
      </c>
      <c r="K3" s="12" t="e">
        <f>(1/F4)+(1/G4)+(1/H4)+(1/J4)</f>
        <v>#DIV/0!</v>
      </c>
      <c r="N3" s="128"/>
      <c r="O3" s="126"/>
      <c r="P3" s="95"/>
      <c r="Q3" s="95"/>
      <c r="R3" s="144"/>
      <c r="S3" s="13" t="s">
        <v>1</v>
      </c>
      <c r="T3" s="14">
        <v>229</v>
      </c>
      <c r="U3" s="14">
        <v>228</v>
      </c>
      <c r="V3" s="15">
        <f t="shared" ref="V3:V6" si="0">(T3-U3)/((1/2)*(T3+U3))</f>
        <v>4.3763676148796497E-3</v>
      </c>
      <c r="Z3" s="128"/>
      <c r="AA3" s="126"/>
      <c r="AB3" s="95"/>
      <c r="AC3" s="95"/>
      <c r="AD3" s="129"/>
      <c r="AE3" s="122"/>
    </row>
    <row r="4" spans="1:31" ht="15.75" thickBot="1" x14ac:dyDescent="0.3">
      <c r="A4" s="61" t="s">
        <v>31</v>
      </c>
      <c r="B4" s="22">
        <f>((B5)*(B6)*(B7))+((B8)*(B9)*(B10))</f>
        <v>1120000</v>
      </c>
      <c r="E4" s="148"/>
      <c r="F4" s="16" t="e">
        <f>F2/F3</f>
        <v>#DIV/0!</v>
      </c>
      <c r="G4" s="16" t="e">
        <f t="shared" ref="G4:K4" si="1">G2/G3</f>
        <v>#DIV/0!</v>
      </c>
      <c r="H4" s="16" t="e">
        <f t="shared" si="1"/>
        <v>#DIV/0!</v>
      </c>
      <c r="I4" s="53" t="e">
        <f t="shared" si="1"/>
        <v>#DIV/0!</v>
      </c>
      <c r="J4" s="26" t="e">
        <f>J2*J3</f>
        <v>#DIV/0!</v>
      </c>
      <c r="K4" s="17" t="e">
        <f t="shared" si="1"/>
        <v>#DIV/0!</v>
      </c>
      <c r="N4" s="128"/>
      <c r="O4" s="126"/>
      <c r="P4" s="95"/>
      <c r="Q4" s="95"/>
      <c r="R4" s="144"/>
      <c r="S4" s="13" t="s">
        <v>2</v>
      </c>
      <c r="T4" s="14">
        <v>4.2699999999999996</v>
      </c>
      <c r="U4" s="14">
        <v>4.2699999999999996</v>
      </c>
      <c r="V4" s="15">
        <f t="shared" si="0"/>
        <v>0</v>
      </c>
      <c r="Z4" s="128"/>
      <c r="AA4" s="126"/>
      <c r="AB4" s="95"/>
      <c r="AC4" s="95"/>
      <c r="AD4" s="129"/>
      <c r="AE4" s="122"/>
    </row>
    <row r="5" spans="1:31" x14ac:dyDescent="0.25">
      <c r="A5" s="13" t="s">
        <v>32</v>
      </c>
      <c r="B5" s="22">
        <v>350</v>
      </c>
      <c r="E5" s="146" t="s">
        <v>8</v>
      </c>
      <c r="F5" s="6">
        <f>($B$2)*($B$3)*($G$27)</f>
        <v>0</v>
      </c>
      <c r="G5" s="6">
        <f>($B$2)*($B$3)*($G$27)</f>
        <v>0</v>
      </c>
      <c r="H5" s="6">
        <f>($B$2)*($B$3)*($G$27)</f>
        <v>0</v>
      </c>
      <c r="I5" s="24">
        <f>$B$2</f>
        <v>9.9999999999999995E-7</v>
      </c>
      <c r="J5" s="24" t="e">
        <f>I7/((O27)+($B$24))</f>
        <v>#DIV/0!</v>
      </c>
      <c r="K5" s="7">
        <f>1</f>
        <v>1</v>
      </c>
      <c r="N5" s="128"/>
      <c r="O5" s="126"/>
      <c r="P5" s="95"/>
      <c r="Q5" s="95"/>
      <c r="R5" s="144"/>
      <c r="S5" s="3" t="s">
        <v>12</v>
      </c>
      <c r="T5" s="23">
        <v>4.9700000000000001E-2</v>
      </c>
      <c r="U5" s="23">
        <v>4.9799999999999997E-2</v>
      </c>
      <c r="V5" s="15">
        <f t="shared" si="0"/>
        <v>-2.0100502512561992E-3</v>
      </c>
      <c r="Z5" s="128"/>
      <c r="AA5" s="126"/>
      <c r="AB5" s="95"/>
      <c r="AC5" s="95"/>
      <c r="AD5" s="129"/>
      <c r="AE5" s="122"/>
    </row>
    <row r="6" spans="1:31" ht="15" customHeight="1" thickBot="1" x14ac:dyDescent="0.3">
      <c r="A6" s="13" t="s">
        <v>33</v>
      </c>
      <c r="B6" s="22">
        <v>6</v>
      </c>
      <c r="E6" s="147"/>
      <c r="F6" s="11">
        <f>(H27)*(I27)*($B$4)*(1/1000)</f>
        <v>0</v>
      </c>
      <c r="G6" s="11" t="e">
        <f>(H27)*(J27)*($B$11)*(1/L27)*(1000)</f>
        <v>#DIV/0!</v>
      </c>
      <c r="H6" s="11">
        <f>(H27)*(M27)*($B$17)*(1/365)*($B$18)*((($B$19)*(1/24)*($B$20))+(($B$21)*(1/24)*($B$22)))*(N27)</f>
        <v>0</v>
      </c>
      <c r="I6" s="25">
        <f>(P27)*($B$27+$B$28)*($B$29)</f>
        <v>0</v>
      </c>
      <c r="J6" s="25" t="e">
        <f>($B$3*(G27))/(H27)</f>
        <v>#DIV/0!</v>
      </c>
      <c r="K6" s="12" t="e">
        <f>(1/F7)+(1/G7)+(1/H7)+(1/J7)</f>
        <v>#DIV/0!</v>
      </c>
      <c r="N6" s="128"/>
      <c r="O6" s="126"/>
      <c r="P6" s="95"/>
      <c r="Q6" s="95"/>
      <c r="R6" s="145"/>
      <c r="S6" s="18" t="s">
        <v>3</v>
      </c>
      <c r="T6" s="19">
        <v>4.8599999999999997E-2</v>
      </c>
      <c r="U6" s="19">
        <v>4.87E-2</v>
      </c>
      <c r="V6" s="20">
        <f t="shared" si="0"/>
        <v>-2.0554984583762152E-3</v>
      </c>
      <c r="Z6" s="128"/>
      <c r="AA6" s="126"/>
      <c r="AB6" s="95"/>
      <c r="AC6" s="95"/>
      <c r="AD6" s="129"/>
      <c r="AE6" s="122"/>
    </row>
    <row r="7" spans="1:31" ht="15.75" customHeight="1" thickBot="1" x14ac:dyDescent="0.3">
      <c r="A7" s="13" t="s">
        <v>34</v>
      </c>
      <c r="B7" s="22">
        <v>200</v>
      </c>
      <c r="E7" s="148"/>
      <c r="F7" s="16" t="e">
        <f>F5/F6</f>
        <v>#DIV/0!</v>
      </c>
      <c r="G7" s="16" t="e">
        <f t="shared" ref="G7:I7" si="2">G5/G6</f>
        <v>#DIV/0!</v>
      </c>
      <c r="H7" s="16" t="e">
        <f t="shared" si="2"/>
        <v>#DIV/0!</v>
      </c>
      <c r="I7" s="53" t="e">
        <f t="shared" si="2"/>
        <v>#DIV/0!</v>
      </c>
      <c r="J7" s="26" t="e">
        <f>J5*J6</f>
        <v>#DIV/0!</v>
      </c>
      <c r="K7" s="17" t="e">
        <f t="shared" ref="K7" si="3">K5/K6</f>
        <v>#DIV/0!</v>
      </c>
      <c r="N7" s="128"/>
      <c r="O7" s="126"/>
      <c r="P7" s="95"/>
      <c r="Q7" s="95"/>
      <c r="R7" s="143" t="s">
        <v>8</v>
      </c>
      <c r="S7" s="8" t="s">
        <v>0</v>
      </c>
      <c r="T7" s="9">
        <v>82.8</v>
      </c>
      <c r="U7" s="9">
        <v>82.8</v>
      </c>
      <c r="V7" s="10">
        <f>(T7-U7)/((1/2)*(T7+U7))</f>
        <v>0</v>
      </c>
      <c r="Z7" s="128"/>
      <c r="AA7" s="126"/>
      <c r="AB7" s="95"/>
      <c r="AC7" s="95"/>
      <c r="AD7" s="129"/>
      <c r="AE7" s="122"/>
    </row>
    <row r="8" spans="1:31" x14ac:dyDescent="0.25">
      <c r="A8" s="13" t="s">
        <v>35</v>
      </c>
      <c r="B8" s="22">
        <v>350</v>
      </c>
      <c r="E8" s="146" t="s">
        <v>9</v>
      </c>
      <c r="F8" s="69"/>
      <c r="G8" s="6">
        <f>($B$2)*($B$3)*(G28)</f>
        <v>0</v>
      </c>
      <c r="H8" s="69"/>
      <c r="I8" s="24">
        <f>$B$2</f>
        <v>9.9999999999999995E-7</v>
      </c>
      <c r="J8" s="24" t="e">
        <f>I10/((O28)+($B$24))</f>
        <v>#DIV/0!</v>
      </c>
      <c r="K8" s="7">
        <f>1</f>
        <v>1</v>
      </c>
      <c r="N8" s="128"/>
      <c r="O8" s="126"/>
      <c r="P8" s="95"/>
      <c r="Q8" s="95"/>
      <c r="R8" s="144"/>
      <c r="S8" s="13" t="s">
        <v>1</v>
      </c>
      <c r="T8" s="14">
        <v>295000</v>
      </c>
      <c r="U8" s="14">
        <v>296000</v>
      </c>
      <c r="V8" s="15">
        <f t="shared" ref="V8:V11" si="4">(T8-U8)/((1/2)*(T8+U8))</f>
        <v>-3.3840947546531302E-3</v>
      </c>
      <c r="Z8" s="128"/>
      <c r="AA8" s="126"/>
      <c r="AB8" s="95"/>
      <c r="AC8" s="95"/>
      <c r="AD8" s="129"/>
      <c r="AE8" s="122"/>
    </row>
    <row r="9" spans="1:31" x14ac:dyDescent="0.25">
      <c r="A9" s="13" t="s">
        <v>36</v>
      </c>
      <c r="B9" s="22">
        <v>20</v>
      </c>
      <c r="E9" s="147"/>
      <c r="F9" s="70"/>
      <c r="G9" s="11" t="e">
        <f>(H28)*(J28)*($B$11)*(1/L28)*(1000)</f>
        <v>#DIV/0!</v>
      </c>
      <c r="H9" s="70"/>
      <c r="I9" s="25">
        <f>(P28)*($B$27+$B$28)*($B$29)</f>
        <v>0</v>
      </c>
      <c r="J9" s="25" t="e">
        <f>($B$3*(G28))/(H28)</f>
        <v>#DIV/0!</v>
      </c>
      <c r="K9" s="12" t="e">
        <f>(1/G10)+(1/J10)</f>
        <v>#DIV/0!</v>
      </c>
      <c r="N9" s="128"/>
      <c r="O9" s="126"/>
      <c r="P9" s="95"/>
      <c r="Q9" s="95"/>
      <c r="R9" s="144"/>
      <c r="S9" s="13" t="s">
        <v>2</v>
      </c>
      <c r="T9" s="14">
        <v>3.3000000000000002E-2</v>
      </c>
      <c r="U9" s="14">
        <v>3.3000000000000002E-2</v>
      </c>
      <c r="V9" s="15">
        <f t="shared" si="4"/>
        <v>0</v>
      </c>
      <c r="Z9" s="128"/>
      <c r="AA9" s="126"/>
      <c r="AB9" s="95"/>
      <c r="AC9" s="95"/>
      <c r="AD9" s="129"/>
      <c r="AE9" s="122"/>
    </row>
    <row r="10" spans="1:31" ht="15.75" customHeight="1" thickBot="1" x14ac:dyDescent="0.3">
      <c r="A10" s="13" t="s">
        <v>37</v>
      </c>
      <c r="B10" s="22">
        <v>100</v>
      </c>
      <c r="E10" s="148"/>
      <c r="F10" s="71"/>
      <c r="G10" s="16" t="e">
        <f t="shared" ref="G10:K10" si="5">G8/G9</f>
        <v>#DIV/0!</v>
      </c>
      <c r="H10" s="71"/>
      <c r="I10" s="53" t="e">
        <f t="shared" ref="I10" si="6">I8/I9</f>
        <v>#DIV/0!</v>
      </c>
      <c r="J10" s="26" t="e">
        <f>J8*J9</f>
        <v>#DIV/0!</v>
      </c>
      <c r="K10" s="17" t="e">
        <f t="shared" si="5"/>
        <v>#DIV/0!</v>
      </c>
      <c r="N10" s="128"/>
      <c r="O10" s="126"/>
      <c r="P10" s="95"/>
      <c r="Q10" s="95"/>
      <c r="R10" s="144"/>
      <c r="S10" s="3" t="s">
        <v>12</v>
      </c>
      <c r="T10" s="23">
        <v>1</v>
      </c>
      <c r="U10" s="23">
        <v>1</v>
      </c>
      <c r="V10" s="15">
        <f t="shared" si="4"/>
        <v>0</v>
      </c>
      <c r="Z10" s="128"/>
      <c r="AA10" s="126"/>
      <c r="AB10" s="95"/>
      <c r="AC10" s="95"/>
      <c r="AD10" s="129"/>
      <c r="AE10" s="122"/>
    </row>
    <row r="11" spans="1:31" ht="15.75" thickBot="1" x14ac:dyDescent="0.3">
      <c r="A11" s="61" t="s">
        <v>39</v>
      </c>
      <c r="B11" s="22">
        <f>((B5)*(B6)*(B13)*(1/24)*(B14))+((B8)*(B9)*(B15)*(1/24)*(B16))</f>
        <v>161000</v>
      </c>
      <c r="E11" s="146" t="s">
        <v>10</v>
      </c>
      <c r="F11" s="6">
        <f>($B$2)*($B$3)*($G$29)</f>
        <v>0</v>
      </c>
      <c r="G11" s="6">
        <f>($B$2)*($B$3)*($G$29)</f>
        <v>0</v>
      </c>
      <c r="H11" s="6">
        <f>($B$2)*($B$3)*($G$29)</f>
        <v>0</v>
      </c>
      <c r="I11" s="24">
        <f>$B$2</f>
        <v>9.9999999999999995E-7</v>
      </c>
      <c r="J11" s="24" t="e">
        <f>I13/((O29)+($B$24))</f>
        <v>#DIV/0!</v>
      </c>
      <c r="K11" s="7">
        <f>1</f>
        <v>1</v>
      </c>
      <c r="N11" s="128"/>
      <c r="O11" s="126"/>
      <c r="P11" s="95"/>
      <c r="Q11" s="95"/>
      <c r="R11" s="145"/>
      <c r="S11" s="18" t="s">
        <v>3</v>
      </c>
      <c r="T11" s="19">
        <v>3.1899999999999998E-2</v>
      </c>
      <c r="U11" s="19">
        <v>3.2000000000000001E-2</v>
      </c>
      <c r="V11" s="20">
        <f t="shared" si="4"/>
        <v>-3.1298904538342056E-3</v>
      </c>
      <c r="Z11" s="128"/>
      <c r="AA11" s="126"/>
      <c r="AB11" s="95"/>
      <c r="AC11" s="95"/>
      <c r="AD11" s="129"/>
      <c r="AE11" s="122"/>
    </row>
    <row r="12" spans="1:31" ht="15" customHeight="1" x14ac:dyDescent="0.25">
      <c r="A12" s="61" t="s">
        <v>40</v>
      </c>
      <c r="B12" s="11">
        <f>(B42)*((3600)/((0.036)*(1-B37)*((B34/B36)^3)*(B41)))</f>
        <v>1359344473.5814338</v>
      </c>
      <c r="E12" s="147"/>
      <c r="F12" s="11">
        <f>(H29)*(I29)*($B$4)*(1/1000)</f>
        <v>0</v>
      </c>
      <c r="G12" s="11" t="e">
        <f>(H29)*(J29)*($B$11)*(1/L29)*(1000)</f>
        <v>#DIV/0!</v>
      </c>
      <c r="H12" s="11">
        <f>(H29)*(M29)*($B$17)*(1/365)*($B$18)*((($B$19)*(1/24)*($B$20))+(($B$21)*(1/24)*($B$22)))*(N29)</f>
        <v>0</v>
      </c>
      <c r="I12" s="25">
        <f>(P29)*($B$27+$B$28)*($B$29)</f>
        <v>0</v>
      </c>
      <c r="J12" s="25" t="e">
        <f>($B$3*(G29))/(H29)</f>
        <v>#DIV/0!</v>
      </c>
      <c r="K12" s="12" t="e">
        <f>(1/F13)+(1/G13)+(1/H13)+(1/J13)</f>
        <v>#DIV/0!</v>
      </c>
      <c r="N12" s="128"/>
      <c r="O12" s="126"/>
      <c r="P12" s="95"/>
      <c r="Q12" s="95"/>
      <c r="R12" s="143" t="s">
        <v>9</v>
      </c>
      <c r="S12" s="8" t="s">
        <v>0</v>
      </c>
      <c r="T12" s="65"/>
      <c r="U12" s="65"/>
      <c r="V12" s="66"/>
      <c r="Z12" s="128"/>
      <c r="AA12" s="126"/>
      <c r="AB12" s="95"/>
      <c r="AC12" s="95"/>
      <c r="AD12" s="129"/>
      <c r="AE12" s="122"/>
    </row>
    <row r="13" spans="1:31" ht="15.75" thickBot="1" x14ac:dyDescent="0.3">
      <c r="A13" s="60" t="s">
        <v>41</v>
      </c>
      <c r="B13" s="22">
        <v>24</v>
      </c>
      <c r="E13" s="148"/>
      <c r="F13" s="16" t="e">
        <f>F11/F12</f>
        <v>#DIV/0!</v>
      </c>
      <c r="G13" s="16" t="e">
        <f t="shared" ref="G13:K13" si="7">G11/G12</f>
        <v>#DIV/0!</v>
      </c>
      <c r="H13" s="16" t="e">
        <f t="shared" si="7"/>
        <v>#DIV/0!</v>
      </c>
      <c r="I13" s="53" t="e">
        <f t="shared" si="7"/>
        <v>#DIV/0!</v>
      </c>
      <c r="J13" s="26" t="e">
        <f>J11*J12</f>
        <v>#DIV/0!</v>
      </c>
      <c r="K13" s="17" t="e">
        <f t="shared" si="7"/>
        <v>#DIV/0!</v>
      </c>
      <c r="N13" s="128"/>
      <c r="O13" s="126"/>
      <c r="P13" s="95"/>
      <c r="Q13" s="95"/>
      <c r="R13" s="144"/>
      <c r="S13" s="13" t="s">
        <v>1</v>
      </c>
      <c r="T13" s="14">
        <v>0.23799999999999999</v>
      </c>
      <c r="U13" s="14">
        <v>0.23699999999999999</v>
      </c>
      <c r="V13" s="15">
        <f t="shared" ref="V13" si="8">(T13-U13)/((1/2)*(T13+U13))</f>
        <v>4.2105263157894779E-3</v>
      </c>
      <c r="Z13" s="128"/>
      <c r="AA13" s="126"/>
      <c r="AB13" s="95"/>
      <c r="AC13" s="95"/>
      <c r="AD13" s="129"/>
      <c r="AE13" s="122"/>
    </row>
    <row r="14" spans="1:31" ht="15" customHeight="1" x14ac:dyDescent="0.25">
      <c r="A14" s="60" t="s">
        <v>42</v>
      </c>
      <c r="B14" s="22">
        <v>10</v>
      </c>
      <c r="N14" s="128"/>
      <c r="O14" s="126"/>
      <c r="P14" s="95"/>
      <c r="Q14" s="95"/>
      <c r="R14" s="144"/>
      <c r="S14" s="13" t="s">
        <v>2</v>
      </c>
      <c r="T14" s="67"/>
      <c r="U14" s="67"/>
      <c r="V14" s="68"/>
      <c r="Z14" s="128"/>
      <c r="AA14" s="126"/>
      <c r="AB14" s="95"/>
      <c r="AC14" s="95"/>
      <c r="AD14" s="129"/>
      <c r="AE14" s="122"/>
    </row>
    <row r="15" spans="1:31" x14ac:dyDescent="0.25">
      <c r="A15" s="60" t="s">
        <v>43</v>
      </c>
      <c r="B15" s="22">
        <v>24</v>
      </c>
      <c r="D15" s="21"/>
      <c r="E15" s="13" t="s">
        <v>120</v>
      </c>
      <c r="F15" s="13" t="s">
        <v>11</v>
      </c>
      <c r="G15" s="79" t="s">
        <v>95</v>
      </c>
      <c r="H15" s="13" t="s">
        <v>100</v>
      </c>
      <c r="I15" s="60" t="s">
        <v>96</v>
      </c>
      <c r="J15" s="60" t="s">
        <v>97</v>
      </c>
      <c r="K15" s="60" t="s">
        <v>104</v>
      </c>
      <c r="L15" s="60" t="s">
        <v>40</v>
      </c>
      <c r="M15" s="60" t="s">
        <v>98</v>
      </c>
      <c r="N15" s="60" t="s">
        <v>51</v>
      </c>
      <c r="O15" s="60" t="s">
        <v>61</v>
      </c>
      <c r="P15" s="60" t="s">
        <v>99</v>
      </c>
      <c r="Q15" s="95"/>
      <c r="R15" s="144"/>
      <c r="S15" s="3" t="s">
        <v>12</v>
      </c>
      <c r="T15" s="23">
        <v>4.43</v>
      </c>
      <c r="U15" s="23">
        <v>4.43</v>
      </c>
      <c r="V15" s="15">
        <f t="shared" ref="V15:V16" si="9">(T15-U15)/((1/2)*(T15+U15))</f>
        <v>0</v>
      </c>
      <c r="Z15" s="128"/>
      <c r="AA15" s="126"/>
      <c r="AB15" s="95"/>
      <c r="AC15" s="95"/>
      <c r="AD15" s="129"/>
      <c r="AE15" s="122"/>
    </row>
    <row r="16" spans="1:31" ht="15.75" thickBot="1" x14ac:dyDescent="0.3">
      <c r="A16" s="60" t="s">
        <v>44</v>
      </c>
      <c r="B16" s="22">
        <v>20</v>
      </c>
      <c r="D16" s="22" t="s">
        <v>7</v>
      </c>
      <c r="E16" s="22" t="s">
        <v>126</v>
      </c>
      <c r="F16" s="14">
        <v>432</v>
      </c>
      <c r="G16" s="14">
        <f>0.693/F16</f>
        <v>1.6041666666666665E-3</v>
      </c>
      <c r="H16" s="14">
        <f>(1-EXP(-(G16)*$B$3))</f>
        <v>4.0850508285623199E-2</v>
      </c>
      <c r="I16" s="14">
        <f>'Isotope Specific Factors'!E1</f>
        <v>0</v>
      </c>
      <c r="J16" s="14">
        <f>'Isotope Specific Factors'!C9</f>
        <v>0</v>
      </c>
      <c r="K16" s="81">
        <f>($B$38)*EXP((((LN($B$35))-($B$39))^2)/($B$40))</f>
        <v>93.773582452087695</v>
      </c>
      <c r="L16" s="14">
        <f>(K16)*((3600)/((0.036)*(1-$B$37)*(($B$34/$B$36)^3)*($B$41)))</f>
        <v>1359344473.5814338</v>
      </c>
      <c r="M16" s="14" t="e">
        <f>'Isotope Specific Factors'!#REF!</f>
        <v>#REF!</v>
      </c>
      <c r="N16" s="14">
        <v>1</v>
      </c>
      <c r="O16" s="14">
        <v>1.91E-5</v>
      </c>
      <c r="P16" s="14">
        <f>'Isotope Specific Factors'!D1</f>
        <v>0</v>
      </c>
      <c r="Q16" s="95"/>
      <c r="R16" s="145"/>
      <c r="S16" s="18" t="s">
        <v>3</v>
      </c>
      <c r="T16" s="19">
        <v>0.22500000000000001</v>
      </c>
      <c r="U16" s="19">
        <v>0.22500000000000001</v>
      </c>
      <c r="V16" s="20">
        <f t="shared" si="9"/>
        <v>0</v>
      </c>
      <c r="Z16" s="128"/>
      <c r="AA16" s="126"/>
      <c r="AB16" s="95"/>
      <c r="AC16" s="95"/>
      <c r="AD16" s="129"/>
      <c r="AE16" s="122"/>
    </row>
    <row r="17" spans="1:31" ht="15" customHeight="1" x14ac:dyDescent="0.25">
      <c r="A17" s="60" t="s">
        <v>45</v>
      </c>
      <c r="B17" s="22">
        <v>350</v>
      </c>
      <c r="D17" s="22" t="s">
        <v>8</v>
      </c>
      <c r="E17" s="22" t="s">
        <v>126</v>
      </c>
      <c r="F17" s="14">
        <v>5.27</v>
      </c>
      <c r="G17" s="14">
        <f t="shared" ref="G17:G19" si="10">0.693/F17</f>
        <v>0.13149905123339659</v>
      </c>
      <c r="H17" s="14">
        <f t="shared" ref="H17:H19" si="11">(1-EXP(-(G17)*$B$3))</f>
        <v>0.96725402849894515</v>
      </c>
      <c r="I17" s="14" t="str">
        <f>'Isotope Specific Factors'!E2</f>
        <v>1cm</v>
      </c>
      <c r="J17" s="14">
        <f>'Isotope Specific Factors'!C14</f>
        <v>1.12E-13</v>
      </c>
      <c r="K17" s="81">
        <f>($B$38)*EXP((((LN($B$35))-($B$39))^2)/($B$40))</f>
        <v>93.773582452087695</v>
      </c>
      <c r="L17" s="14">
        <f>(K17)*((3600)/((0.036)*(1-$B$37)*(($B$34/$B$36)^3)*($B$41)))</f>
        <v>1359344473.5814338</v>
      </c>
      <c r="M17" s="14" t="e">
        <f>'Isotope Specific Factors'!#REF!</f>
        <v>#REF!</v>
      </c>
      <c r="N17" s="14">
        <v>1</v>
      </c>
      <c r="O17" s="14">
        <v>7.4000000000000003E-3</v>
      </c>
      <c r="P17" s="14" t="str">
        <f>'Isotope Specific Factors'!D2</f>
        <v>Soil Volume</v>
      </c>
      <c r="Q17" s="95"/>
      <c r="R17" s="143" t="s">
        <v>10</v>
      </c>
      <c r="S17" s="8" t="s">
        <v>0</v>
      </c>
      <c r="T17" s="9">
        <v>4.3899999999999997</v>
      </c>
      <c r="U17" s="9">
        <v>4.4000000000000004</v>
      </c>
      <c r="V17" s="10">
        <f>(T17-U17)/((1/2)*(T17+U17))</f>
        <v>-2.2753128555177875E-3</v>
      </c>
      <c r="Z17" s="128"/>
      <c r="AA17" s="126"/>
      <c r="AB17" s="95"/>
      <c r="AC17" s="95"/>
      <c r="AD17" s="129"/>
      <c r="AE17" s="122"/>
    </row>
    <row r="18" spans="1:31" x14ac:dyDescent="0.25">
      <c r="A18" s="60" t="s">
        <v>46</v>
      </c>
      <c r="B18" s="22">
        <v>26</v>
      </c>
      <c r="D18" s="22" t="s">
        <v>9</v>
      </c>
      <c r="E18" s="22" t="s">
        <v>126</v>
      </c>
      <c r="F18" s="14">
        <v>12.3</v>
      </c>
      <c r="G18" s="14">
        <f t="shared" si="10"/>
        <v>5.6341463414634141E-2</v>
      </c>
      <c r="H18" s="14">
        <f t="shared" si="11"/>
        <v>0.76889382656142935</v>
      </c>
      <c r="I18" s="80"/>
      <c r="J18" s="14">
        <f>'Isotope Specific Factors'!C17</f>
        <v>0</v>
      </c>
      <c r="K18" s="83">
        <f>($B$43)*EXP((((LN($B$35))-($B$44))^2)/($B$45))</f>
        <v>68.183649948567151</v>
      </c>
      <c r="L18" s="84">
        <v>17</v>
      </c>
      <c r="M18" s="80"/>
      <c r="N18" s="14">
        <v>0.9</v>
      </c>
      <c r="O18" s="14">
        <v>4.8</v>
      </c>
      <c r="P18" s="14">
        <f>'Isotope Specific Factors'!D4</f>
        <v>1.24E-5</v>
      </c>
      <c r="Q18" s="95"/>
      <c r="R18" s="144"/>
      <c r="S18" s="13" t="s">
        <v>1</v>
      </c>
      <c r="T18" s="14">
        <v>179</v>
      </c>
      <c r="U18" s="14">
        <v>179</v>
      </c>
      <c r="V18" s="15">
        <f t="shared" ref="V18:V21" si="12">(T18-U18)/((1/2)*(T18+U18))</f>
        <v>0</v>
      </c>
      <c r="Z18" s="128"/>
      <c r="AA18" s="126"/>
      <c r="AB18" s="95"/>
      <c r="AC18" s="95"/>
      <c r="AD18" s="129"/>
      <c r="AE18" s="122"/>
    </row>
    <row r="19" spans="1:31" x14ac:dyDescent="0.25">
      <c r="A19" s="60" t="s">
        <v>47</v>
      </c>
      <c r="B19" s="22">
        <v>1.752</v>
      </c>
      <c r="D19" s="22" t="s">
        <v>10</v>
      </c>
      <c r="E19" s="22" t="s">
        <v>126</v>
      </c>
      <c r="F19" s="14">
        <v>87.7</v>
      </c>
      <c r="G19" s="14">
        <f t="shared" si="10"/>
        <v>7.9019384264538192E-3</v>
      </c>
      <c r="H19" s="14">
        <f t="shared" si="11"/>
        <v>0.18571951737977155</v>
      </c>
      <c r="I19" s="14">
        <f>'Isotope Specific Factors'!E5</f>
        <v>0</v>
      </c>
      <c r="J19" s="14">
        <f>'Isotope Specific Factors'!C21</f>
        <v>3.5399999999999999E-8</v>
      </c>
      <c r="K19" s="81">
        <f>($B$38)*EXP((((LN($B$35))-($B$39))^2)/($B$40))</f>
        <v>93.773582452087695</v>
      </c>
      <c r="L19" s="14">
        <f>(K19)*((3600)/((0.036)*(1-$B$37)*(($B$34/$B$36)^3)*($B$41)))</f>
        <v>1359344473.5814338</v>
      </c>
      <c r="M19" s="14" t="e">
        <f>'Isotope Specific Factors'!#REF!</f>
        <v>#REF!</v>
      </c>
      <c r="N19" s="14">
        <v>1</v>
      </c>
      <c r="O19" s="14">
        <v>8.2700000000000004E-6</v>
      </c>
      <c r="P19" s="14">
        <f>'Isotope Specific Factors'!D5</f>
        <v>0</v>
      </c>
      <c r="Q19" s="95"/>
      <c r="R19" s="144"/>
      <c r="S19" s="13" t="s">
        <v>2</v>
      </c>
      <c r="T19" s="14">
        <v>1850</v>
      </c>
      <c r="U19" s="14">
        <v>1850</v>
      </c>
      <c r="V19" s="15">
        <f t="shared" si="12"/>
        <v>0</v>
      </c>
      <c r="Z19" s="128"/>
      <c r="AA19" s="126"/>
      <c r="AB19" s="95"/>
      <c r="AC19" s="95"/>
      <c r="AD19" s="129"/>
      <c r="AE19" s="122"/>
    </row>
    <row r="20" spans="1:31" x14ac:dyDescent="0.25">
      <c r="A20" s="60" t="s">
        <v>48</v>
      </c>
      <c r="B20" s="22">
        <v>1</v>
      </c>
      <c r="E20" s="88"/>
      <c r="F20" s="28"/>
      <c r="G20" s="28"/>
      <c r="H20" s="28"/>
      <c r="I20" s="28"/>
      <c r="J20" s="28"/>
      <c r="N20" s="128"/>
      <c r="O20" s="126"/>
      <c r="P20" s="95"/>
      <c r="Q20" s="95"/>
      <c r="R20" s="144"/>
      <c r="S20" s="3" t="s">
        <v>12</v>
      </c>
      <c r="T20" s="23">
        <v>4.2700000000000002E-2</v>
      </c>
      <c r="U20" s="23">
        <v>4.2500000000000003E-2</v>
      </c>
      <c r="V20" s="15">
        <f t="shared" si="12"/>
        <v>4.6948356807511452E-3</v>
      </c>
      <c r="Z20" s="128"/>
      <c r="AA20" s="126"/>
      <c r="AB20" s="95"/>
      <c r="AC20" s="95"/>
      <c r="AD20" s="129"/>
      <c r="AE20" s="122"/>
    </row>
    <row r="21" spans="1:31" ht="15.75" thickBot="1" x14ac:dyDescent="0.3">
      <c r="A21" s="60" t="s">
        <v>49</v>
      </c>
      <c r="B21" s="22">
        <v>16.416</v>
      </c>
      <c r="N21" s="128"/>
      <c r="O21" s="126"/>
      <c r="P21" s="95"/>
      <c r="Q21" s="95"/>
      <c r="R21" s="145"/>
      <c r="S21" s="18" t="s">
        <v>3</v>
      </c>
      <c r="T21" s="19">
        <v>4.2200000000000001E-2</v>
      </c>
      <c r="U21" s="19">
        <v>4.2099999999999999E-2</v>
      </c>
      <c r="V21" s="20">
        <f t="shared" si="12"/>
        <v>2.3724792408067108E-3</v>
      </c>
      <c r="Z21" s="128"/>
      <c r="AA21" s="126"/>
      <c r="AB21" s="95"/>
      <c r="AC21" s="95"/>
      <c r="AD21" s="129"/>
      <c r="AE21" s="122"/>
    </row>
    <row r="22" spans="1:31" x14ac:dyDescent="0.25">
      <c r="A22" s="60" t="s">
        <v>50</v>
      </c>
      <c r="B22" s="22">
        <v>0.4</v>
      </c>
    </row>
    <row r="23" spans="1:31" x14ac:dyDescent="0.25">
      <c r="A23" s="60" t="s">
        <v>51</v>
      </c>
      <c r="B23" s="21"/>
    </row>
    <row r="24" spans="1:31" x14ac:dyDescent="0.25">
      <c r="A24" s="60" t="s">
        <v>101</v>
      </c>
      <c r="B24" s="22">
        <v>0.26</v>
      </c>
    </row>
    <row r="25" spans="1:31" x14ac:dyDescent="0.25">
      <c r="A25" s="60" t="s">
        <v>52</v>
      </c>
      <c r="B25" s="22" t="s">
        <v>61</v>
      </c>
      <c r="D25" s="122"/>
      <c r="E25" s="126"/>
      <c r="F25" s="126"/>
      <c r="G25" s="130"/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31" x14ac:dyDescent="0.25">
      <c r="A26" s="60" t="s">
        <v>53</v>
      </c>
      <c r="B26" s="22" t="s">
        <v>101</v>
      </c>
      <c r="D26" s="131"/>
      <c r="E26" s="131"/>
      <c r="F26" s="95"/>
      <c r="G26" s="95"/>
      <c r="H26" s="95"/>
      <c r="I26" s="95"/>
      <c r="J26" s="95"/>
      <c r="K26" s="132"/>
      <c r="L26" s="95"/>
      <c r="M26" s="95"/>
      <c r="N26" s="95"/>
      <c r="O26" s="95"/>
      <c r="P26" s="95"/>
    </row>
    <row r="27" spans="1:31" x14ac:dyDescent="0.25">
      <c r="A27" s="61" t="s">
        <v>54</v>
      </c>
      <c r="B27" s="22">
        <f>((B5)*(B6)*(B30))+((B8)*(B9)*(B31))</f>
        <v>1389710</v>
      </c>
      <c r="D27" s="131"/>
      <c r="E27" s="131"/>
      <c r="F27" s="95"/>
      <c r="G27" s="95"/>
      <c r="H27" s="95"/>
      <c r="I27" s="95"/>
      <c r="J27" s="95"/>
      <c r="K27" s="132"/>
      <c r="L27" s="95"/>
      <c r="M27" s="95"/>
      <c r="N27" s="95"/>
      <c r="O27" s="95"/>
      <c r="P27" s="95"/>
    </row>
    <row r="28" spans="1:31" x14ac:dyDescent="0.25">
      <c r="A28" s="61" t="s">
        <v>55</v>
      </c>
      <c r="B28" s="22">
        <f>((B5)*(B6)*(B32))+((B8)*(B9)*(B33))</f>
        <v>970970</v>
      </c>
      <c r="D28" s="131"/>
      <c r="E28" s="131"/>
      <c r="F28" s="95"/>
      <c r="G28" s="95"/>
      <c r="H28" s="95"/>
      <c r="I28" s="122"/>
      <c r="J28" s="95"/>
      <c r="K28" s="132"/>
      <c r="L28" s="133"/>
      <c r="M28" s="122"/>
      <c r="N28" s="95"/>
      <c r="O28" s="95"/>
      <c r="P28" s="95"/>
    </row>
    <row r="29" spans="1:31" x14ac:dyDescent="0.25">
      <c r="A29" s="60" t="s">
        <v>56</v>
      </c>
      <c r="B29" s="22">
        <v>0.25</v>
      </c>
      <c r="D29" s="131"/>
      <c r="E29" s="131"/>
      <c r="F29" s="95"/>
      <c r="G29" s="95"/>
      <c r="H29" s="95"/>
      <c r="I29" s="95"/>
      <c r="J29" s="95"/>
      <c r="K29" s="132"/>
      <c r="L29" s="95"/>
      <c r="M29" s="95"/>
      <c r="N29" s="95"/>
      <c r="O29" s="95"/>
      <c r="P29" s="95"/>
    </row>
    <row r="30" spans="1:31" x14ac:dyDescent="0.25">
      <c r="A30" s="60" t="s">
        <v>57</v>
      </c>
      <c r="B30" s="22">
        <v>68.099999999999994</v>
      </c>
    </row>
    <row r="31" spans="1:31" x14ac:dyDescent="0.25">
      <c r="A31" s="60" t="s">
        <v>58</v>
      </c>
      <c r="B31" s="22">
        <v>178.1</v>
      </c>
    </row>
    <row r="32" spans="1:31" x14ac:dyDescent="0.25">
      <c r="A32" s="60" t="s">
        <v>59</v>
      </c>
      <c r="B32" s="22">
        <v>41.7</v>
      </c>
    </row>
    <row r="33" spans="1:33" x14ac:dyDescent="0.25">
      <c r="A33" s="60" t="s">
        <v>60</v>
      </c>
      <c r="B33" s="22">
        <v>126.2</v>
      </c>
    </row>
    <row r="34" spans="1:33" x14ac:dyDescent="0.25">
      <c r="A34" s="60" t="s">
        <v>62</v>
      </c>
      <c r="B34" s="22">
        <v>4.6900000000000004</v>
      </c>
    </row>
    <row r="35" spans="1:33" x14ac:dyDescent="0.25">
      <c r="A35" s="60" t="s">
        <v>63</v>
      </c>
      <c r="B35" s="22">
        <v>0.5</v>
      </c>
    </row>
    <row r="36" spans="1:33" x14ac:dyDescent="0.25">
      <c r="A36" s="60" t="s">
        <v>64</v>
      </c>
      <c r="B36" s="22">
        <v>11.32</v>
      </c>
      <c r="N36" s="85"/>
      <c r="AG36" t="s">
        <v>150</v>
      </c>
    </row>
    <row r="37" spans="1:33" x14ac:dyDescent="0.25">
      <c r="A37" s="60" t="s">
        <v>65</v>
      </c>
      <c r="B37" s="22">
        <v>0.5</v>
      </c>
    </row>
    <row r="38" spans="1:33" x14ac:dyDescent="0.25">
      <c r="A38" s="60" t="s">
        <v>66</v>
      </c>
      <c r="B38" s="62">
        <v>16.2302</v>
      </c>
    </row>
    <row r="39" spans="1:33" x14ac:dyDescent="0.25">
      <c r="A39" s="60" t="s">
        <v>67</v>
      </c>
      <c r="B39" s="62">
        <v>18.776199999999999</v>
      </c>
    </row>
    <row r="40" spans="1:33" x14ac:dyDescent="0.25">
      <c r="A40" s="60" t="s">
        <v>70</v>
      </c>
      <c r="B40" s="62">
        <v>216.108</v>
      </c>
    </row>
    <row r="41" spans="1:33" x14ac:dyDescent="0.25">
      <c r="A41" s="60" t="s">
        <v>68</v>
      </c>
      <c r="B41" s="62">
        <v>0.19400000000000001</v>
      </c>
    </row>
    <row r="42" spans="1:33" x14ac:dyDescent="0.25">
      <c r="A42" s="61" t="s">
        <v>69</v>
      </c>
      <c r="B42" s="62">
        <f>(B38)*EXP((((LN(B35))-(B39))^2)/(B40))</f>
        <v>93.773582452087695</v>
      </c>
    </row>
    <row r="43" spans="1:33" x14ac:dyDescent="0.25">
      <c r="A43" s="60" t="s">
        <v>105</v>
      </c>
      <c r="B43" s="82">
        <v>11.911</v>
      </c>
    </row>
    <row r="44" spans="1:33" x14ac:dyDescent="0.25">
      <c r="A44" s="60" t="s">
        <v>106</v>
      </c>
      <c r="B44" s="82">
        <v>18.438500000000001</v>
      </c>
    </row>
    <row r="45" spans="1:33" x14ac:dyDescent="0.25">
      <c r="A45" s="60" t="s">
        <v>107</v>
      </c>
      <c r="B45" s="82">
        <v>209.78450000000001</v>
      </c>
    </row>
  </sheetData>
  <mergeCells count="9">
    <mergeCell ref="I1:J1"/>
    <mergeCell ref="R2:R6"/>
    <mergeCell ref="R7:R11"/>
    <mergeCell ref="R12:R16"/>
    <mergeCell ref="R17:R21"/>
    <mergeCell ref="E2:E4"/>
    <mergeCell ref="E5:E7"/>
    <mergeCell ref="E8:E10"/>
    <mergeCell ref="E11:E13"/>
  </mergeCells>
  <conditionalFormatting sqref="R2:R9 R11:R14 R16:R19 R21">
    <cfRule type="cellIs" dxfId="43" priority="23" operator="lessThan">
      <formula>-0.01</formula>
    </cfRule>
    <cfRule type="cellIs" dxfId="42" priority="24" operator="notEqual">
      <formula>0</formula>
    </cfRule>
  </conditionalFormatting>
  <conditionalFormatting sqref="R10">
    <cfRule type="cellIs" dxfId="41" priority="21" operator="lessThan">
      <formula>-0.01</formula>
    </cfRule>
    <cfRule type="cellIs" dxfId="40" priority="22" operator="notEqual">
      <formula>0</formula>
    </cfRule>
  </conditionalFormatting>
  <conditionalFormatting sqref="R15">
    <cfRule type="cellIs" dxfId="39" priority="19" operator="lessThan">
      <formula>-0.01</formula>
    </cfRule>
    <cfRule type="cellIs" dxfId="38" priority="20" operator="notEqual">
      <formula>0</formula>
    </cfRule>
  </conditionalFormatting>
  <conditionalFormatting sqref="R20">
    <cfRule type="cellIs" dxfId="37" priority="17" operator="lessThan">
      <formula>-0.01</formula>
    </cfRule>
    <cfRule type="cellIs" dxfId="36" priority="18" operator="notEqual">
      <formula>0</formula>
    </cfRule>
  </conditionalFormatting>
  <conditionalFormatting sqref="AD2:AD9 AD11:AD14 AD16:AD19 AD21">
    <cfRule type="cellIs" dxfId="35" priority="15" operator="lessThan">
      <formula>-0.01</formula>
    </cfRule>
    <cfRule type="cellIs" dxfId="34" priority="16" operator="notEqual">
      <formula>0</formula>
    </cfRule>
  </conditionalFormatting>
  <conditionalFormatting sqref="AD10">
    <cfRule type="cellIs" dxfId="33" priority="13" operator="lessThan">
      <formula>-0.01</formula>
    </cfRule>
    <cfRule type="cellIs" dxfId="32" priority="14" operator="notEqual">
      <formula>0</formula>
    </cfRule>
  </conditionalFormatting>
  <conditionalFormatting sqref="AD15">
    <cfRule type="cellIs" dxfId="31" priority="11" operator="lessThan">
      <formula>-0.01</formula>
    </cfRule>
    <cfRule type="cellIs" dxfId="30" priority="12" operator="notEqual">
      <formula>0</formula>
    </cfRule>
  </conditionalFormatting>
  <conditionalFormatting sqref="AD20">
    <cfRule type="cellIs" dxfId="29" priority="9" operator="lessThan">
      <formula>-0.01</formula>
    </cfRule>
    <cfRule type="cellIs" dxfId="28" priority="10" operator="notEqual">
      <formula>0</formula>
    </cfRule>
  </conditionalFormatting>
  <conditionalFormatting sqref="V2:V9 V11:V14 V16:V19 V21">
    <cfRule type="cellIs" dxfId="27" priority="7" operator="lessThan">
      <formula>-0.01</formula>
    </cfRule>
    <cfRule type="cellIs" dxfId="26" priority="8" operator="notEqual">
      <formula>0</formula>
    </cfRule>
  </conditionalFormatting>
  <conditionalFormatting sqref="V10">
    <cfRule type="cellIs" dxfId="25" priority="5" operator="lessThan">
      <formula>-0.01</formula>
    </cfRule>
    <cfRule type="cellIs" dxfId="24" priority="6" operator="notEqual">
      <formula>0</formula>
    </cfRule>
  </conditionalFormatting>
  <conditionalFormatting sqref="V15">
    <cfRule type="cellIs" dxfId="23" priority="3" operator="lessThan">
      <formula>-0.01</formula>
    </cfRule>
    <cfRule type="cellIs" dxfId="22" priority="4" operator="notEqual">
      <formula>0</formula>
    </cfRule>
  </conditionalFormatting>
  <conditionalFormatting sqref="V20">
    <cfRule type="cellIs" dxfId="21" priority="1" operator="lessThan">
      <formula>-0.01</formula>
    </cfRule>
    <cfRule type="cellIs" dxfId="20" priority="2" operator="notEqual">
      <formula>0</formula>
    </cfRule>
  </conditionalFormatting>
  <pageMargins left="0.7" right="0.7" top="0.75" bottom="0.75" header="0.3" footer="0.3"/>
  <pageSetup scale="55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7" zoomScale="55" zoomScaleNormal="55" workbookViewId="0">
      <selection activeCell="S38" sqref="S38"/>
    </sheetView>
  </sheetViews>
  <sheetFormatPr defaultRowHeight="15" x14ac:dyDescent="0.25"/>
  <cols>
    <col min="4" max="4" width="10.7109375" bestFit="1" customWidth="1"/>
    <col min="6" max="6" width="10.7109375" bestFit="1" customWidth="1"/>
  </cols>
  <sheetData>
    <row r="1" spans="1:17" x14ac:dyDescent="0.25">
      <c r="D1" s="21"/>
      <c r="E1" s="151" t="s">
        <v>14</v>
      </c>
      <c r="F1" s="151"/>
      <c r="G1" s="151"/>
      <c r="H1" s="151" t="s">
        <v>15</v>
      </c>
      <c r="I1" s="151"/>
      <c r="J1" s="151"/>
    </row>
    <row r="2" spans="1:17" ht="26.25" thickBot="1" x14ac:dyDescent="0.3">
      <c r="A2" s="13" t="s">
        <v>27</v>
      </c>
      <c r="B2" s="13" t="s">
        <v>28</v>
      </c>
      <c r="D2" s="4"/>
      <c r="E2" s="2" t="s">
        <v>1</v>
      </c>
      <c r="F2" s="2" t="s">
        <v>2</v>
      </c>
      <c r="G2" s="29" t="s">
        <v>3</v>
      </c>
      <c r="H2" s="30" t="s">
        <v>1</v>
      </c>
      <c r="I2" s="2" t="s">
        <v>2</v>
      </c>
      <c r="J2" s="2" t="s">
        <v>3</v>
      </c>
      <c r="M2" s="4"/>
      <c r="N2" s="4"/>
      <c r="O2" s="3" t="s">
        <v>4</v>
      </c>
      <c r="P2" s="3" t="s">
        <v>5</v>
      </c>
      <c r="Q2" s="5" t="s">
        <v>6</v>
      </c>
    </row>
    <row r="3" spans="1:17" x14ac:dyDescent="0.25">
      <c r="A3" s="13" t="s">
        <v>29</v>
      </c>
      <c r="B3" s="11">
        <v>9.9999999999999995E-7</v>
      </c>
      <c r="D3" s="152" t="s">
        <v>7</v>
      </c>
      <c r="E3" s="9">
        <f>($B$3)*(E22)*($B$4)</f>
        <v>0</v>
      </c>
      <c r="F3" s="9">
        <f>($B$3)*(E22)*($B$4)</f>
        <v>0</v>
      </c>
      <c r="G3" s="31">
        <f>1</f>
        <v>1</v>
      </c>
      <c r="H3" s="32">
        <f>$B$3</f>
        <v>9.9999999999999995E-7</v>
      </c>
      <c r="I3" s="9">
        <f>$B$3</f>
        <v>9.9999999999999995E-7</v>
      </c>
      <c r="J3" s="33">
        <f>1</f>
        <v>1</v>
      </c>
      <c r="M3" s="155" t="s">
        <v>7</v>
      </c>
      <c r="N3" s="8" t="s">
        <v>1</v>
      </c>
      <c r="O3" s="9">
        <v>1.6799999999999999E-4</v>
      </c>
      <c r="P3" s="9">
        <v>1.6799999999999999E-4</v>
      </c>
      <c r="Q3" s="34">
        <f>(O3-P3)/((1/2)*(O3+P3))</f>
        <v>0</v>
      </c>
    </row>
    <row r="4" spans="1:17" x14ac:dyDescent="0.25">
      <c r="A4" s="13" t="s">
        <v>30</v>
      </c>
      <c r="B4" s="22">
        <v>26</v>
      </c>
      <c r="D4" s="153" t="s">
        <v>8</v>
      </c>
      <c r="E4" s="14">
        <f>(F22)*(G22)*($B$9)</f>
        <v>0</v>
      </c>
      <c r="F4" s="14">
        <f>(F22)*(H22)*($B$14)*(1/365)*($B$15)*($B$17)*(1/24)*($B$16)</f>
        <v>0</v>
      </c>
      <c r="G4" s="35" t="e">
        <f>(1/E5)+(1/F5)</f>
        <v>#DIV/0!</v>
      </c>
      <c r="H4" s="36">
        <f>(G22)*($B$9)</f>
        <v>0</v>
      </c>
      <c r="I4" s="14">
        <f>(H22)*($B$14)*(1/365)*($B$15)*($B$17)*(1/24)*($B$16)</f>
        <v>0</v>
      </c>
      <c r="J4" s="37" t="e">
        <f>(1/H5)+(1/I5)</f>
        <v>#DIV/0!</v>
      </c>
      <c r="M4" s="156"/>
      <c r="N4" s="13" t="s">
        <v>2</v>
      </c>
      <c r="O4" s="14">
        <v>705</v>
      </c>
      <c r="P4" s="14">
        <v>706</v>
      </c>
      <c r="Q4" s="38">
        <f t="shared" ref="Q4:Q26" si="0">(O4-P4)/((1/2)*(O4+P4))</f>
        <v>-1.4174344436569809E-3</v>
      </c>
    </row>
    <row r="5" spans="1:17" ht="15.75" thickBot="1" x14ac:dyDescent="0.3">
      <c r="A5" s="13" t="s">
        <v>32</v>
      </c>
      <c r="B5" s="22">
        <v>350</v>
      </c>
      <c r="D5" s="154" t="s">
        <v>9</v>
      </c>
      <c r="E5" s="39" t="e">
        <f>E3/E4</f>
        <v>#DIV/0!</v>
      </c>
      <c r="F5" s="39" t="e">
        <f t="shared" ref="F5:J5" si="1">F3/F4</f>
        <v>#DIV/0!</v>
      </c>
      <c r="G5" s="40" t="e">
        <f t="shared" si="1"/>
        <v>#DIV/0!</v>
      </c>
      <c r="H5" s="41" t="e">
        <f t="shared" si="1"/>
        <v>#DIV/0!</v>
      </c>
      <c r="I5" s="39" t="e">
        <f t="shared" si="1"/>
        <v>#DIV/0!</v>
      </c>
      <c r="J5" s="42" t="e">
        <f t="shared" si="1"/>
        <v>#DIV/0!</v>
      </c>
      <c r="M5" s="156"/>
      <c r="N5" s="18" t="s">
        <v>3</v>
      </c>
      <c r="O5" s="19">
        <v>1.6799999999999999E-4</v>
      </c>
      <c r="P5" s="19">
        <v>1.6799999999999999E-4</v>
      </c>
      <c r="Q5" s="43">
        <f t="shared" si="0"/>
        <v>0</v>
      </c>
    </row>
    <row r="6" spans="1:17" x14ac:dyDescent="0.25">
      <c r="A6" s="13" t="s">
        <v>33</v>
      </c>
      <c r="B6" s="22">
        <v>6</v>
      </c>
      <c r="D6" s="152" t="s">
        <v>8</v>
      </c>
      <c r="E6" s="9">
        <f>($B$3)*(E23)*($B$4)</f>
        <v>0</v>
      </c>
      <c r="F6" s="9">
        <f>($B$3)*(E23)*($B$4)</f>
        <v>0</v>
      </c>
      <c r="G6" s="31">
        <f>1</f>
        <v>1</v>
      </c>
      <c r="H6" s="32">
        <f>$B$3</f>
        <v>9.9999999999999995E-7</v>
      </c>
      <c r="I6" s="9">
        <f>$B$3</f>
        <v>9.9999999999999995E-7</v>
      </c>
      <c r="J6" s="33">
        <f>1</f>
        <v>1</v>
      </c>
      <c r="M6" s="156"/>
      <c r="N6" s="47" t="s">
        <v>1</v>
      </c>
      <c r="O6" s="48">
        <v>1.65E-4</v>
      </c>
      <c r="P6" s="48">
        <v>1.65E-4</v>
      </c>
      <c r="Q6" s="49">
        <f t="shared" si="0"/>
        <v>0</v>
      </c>
    </row>
    <row r="7" spans="1:17" x14ac:dyDescent="0.25">
      <c r="A7" s="13" t="s">
        <v>35</v>
      </c>
      <c r="B7" s="22">
        <v>350</v>
      </c>
      <c r="D7" s="153" t="s">
        <v>7</v>
      </c>
      <c r="E7" s="14">
        <f>(F23)*(G23)*($B$9)</f>
        <v>0</v>
      </c>
      <c r="F7" s="14">
        <f>(F23)*(H23)*($B$14)*(1/365)*($B$15)*($B$17)*(1/24)*($B$16)</f>
        <v>0</v>
      </c>
      <c r="G7" s="35" t="e">
        <f>(1/E8)+(1/F8)</f>
        <v>#DIV/0!</v>
      </c>
      <c r="H7" s="36">
        <f>(G23)*($B$9)</f>
        <v>0</v>
      </c>
      <c r="I7" s="14">
        <f>(H23)*($B$14)*(1/365)*($B$15)*($B$17)*(1/24)*($B$16)</f>
        <v>0</v>
      </c>
      <c r="J7" s="37" t="e">
        <f>(1/H8)+(1/I8)</f>
        <v>#DIV/0!</v>
      </c>
      <c r="M7" s="156"/>
      <c r="N7" s="13" t="s">
        <v>2</v>
      </c>
      <c r="O7" s="14">
        <v>690</v>
      </c>
      <c r="P7" s="14">
        <v>691</v>
      </c>
      <c r="Q7" s="38">
        <f t="shared" si="0"/>
        <v>-1.448225923244026E-3</v>
      </c>
    </row>
    <row r="8" spans="1:17" ht="15.75" thickBot="1" x14ac:dyDescent="0.3">
      <c r="A8" s="13" t="s">
        <v>36</v>
      </c>
      <c r="B8" s="22">
        <v>20</v>
      </c>
      <c r="D8" s="154" t="s">
        <v>8</v>
      </c>
      <c r="E8" s="39" t="e">
        <f>E6/E7</f>
        <v>#DIV/0!</v>
      </c>
      <c r="F8" s="39" t="e">
        <f t="shared" ref="F8:J8" si="2">F6/F7</f>
        <v>#DIV/0!</v>
      </c>
      <c r="G8" s="40" t="e">
        <f t="shared" si="2"/>
        <v>#DIV/0!</v>
      </c>
      <c r="H8" s="41" t="e">
        <f t="shared" si="2"/>
        <v>#DIV/0!</v>
      </c>
      <c r="I8" s="39" t="e">
        <f t="shared" si="2"/>
        <v>#DIV/0!</v>
      </c>
      <c r="J8" s="42" t="e">
        <f t="shared" si="2"/>
        <v>#DIV/0!</v>
      </c>
      <c r="M8" s="157"/>
      <c r="N8" s="18" t="s">
        <v>3</v>
      </c>
      <c r="O8" s="19">
        <v>1.65E-4</v>
      </c>
      <c r="P8" s="19">
        <v>1.65E-4</v>
      </c>
      <c r="Q8" s="43">
        <f t="shared" si="0"/>
        <v>0</v>
      </c>
    </row>
    <row r="9" spans="1:17" x14ac:dyDescent="0.25">
      <c r="A9" s="61" t="s">
        <v>39</v>
      </c>
      <c r="B9" s="22">
        <f>((B5)*(B6)*(B10)*(1/24)*(B11))+((B7)*(B8)*(B12)*(1/24)*(B13))</f>
        <v>161000</v>
      </c>
      <c r="D9" s="152" t="s">
        <v>9</v>
      </c>
      <c r="E9" s="9">
        <f>($B$3)*(E24)*($B$4)</f>
        <v>0</v>
      </c>
      <c r="F9" s="65"/>
      <c r="G9" s="31">
        <f>1</f>
        <v>1</v>
      </c>
      <c r="H9" s="32">
        <f>$B$3</f>
        <v>9.9999999999999995E-7</v>
      </c>
      <c r="I9" s="65"/>
      <c r="J9" s="33">
        <f>1</f>
        <v>1</v>
      </c>
      <c r="M9" s="143" t="s">
        <v>8</v>
      </c>
      <c r="N9" s="8" t="s">
        <v>1</v>
      </c>
      <c r="O9" s="9">
        <v>0.217</v>
      </c>
      <c r="P9" s="9">
        <v>0.218</v>
      </c>
      <c r="Q9" s="34">
        <f t="shared" si="0"/>
        <v>-4.5977011494252916E-3</v>
      </c>
    </row>
    <row r="10" spans="1:17" x14ac:dyDescent="0.25">
      <c r="A10" s="60" t="s">
        <v>41</v>
      </c>
      <c r="B10" s="22">
        <v>24</v>
      </c>
      <c r="D10" s="153" t="s">
        <v>10</v>
      </c>
      <c r="E10" s="14">
        <f>(F24)*(G24)*($B$9)</f>
        <v>0</v>
      </c>
      <c r="F10" s="67"/>
      <c r="G10" s="35" t="e">
        <f>(1/E11)</f>
        <v>#DIV/0!</v>
      </c>
      <c r="H10" s="36">
        <f>(G24)*($B$9)</f>
        <v>0</v>
      </c>
      <c r="I10" s="67"/>
      <c r="J10" s="37" t="e">
        <f>(1/H11)</f>
        <v>#DIV/0!</v>
      </c>
      <c r="M10" s="144"/>
      <c r="N10" s="13" t="s">
        <v>2</v>
      </c>
      <c r="O10" s="14">
        <v>12.5</v>
      </c>
      <c r="P10" s="14">
        <v>12.6</v>
      </c>
      <c r="Q10" s="38">
        <f t="shared" si="0"/>
        <v>-7.9681274900398127E-3</v>
      </c>
    </row>
    <row r="11" spans="1:17" ht="15.75" thickBot="1" x14ac:dyDescent="0.3">
      <c r="A11" s="60" t="s">
        <v>42</v>
      </c>
      <c r="B11" s="22">
        <v>10</v>
      </c>
      <c r="D11" s="154" t="s">
        <v>7</v>
      </c>
      <c r="E11" s="39" t="e">
        <f>E9/E10</f>
        <v>#DIV/0!</v>
      </c>
      <c r="F11" s="72"/>
      <c r="G11" s="40" t="e">
        <f t="shared" ref="G11:H11" si="3">G9/G10</f>
        <v>#DIV/0!</v>
      </c>
      <c r="H11" s="41" t="e">
        <f t="shared" si="3"/>
        <v>#DIV/0!</v>
      </c>
      <c r="I11" s="72"/>
      <c r="J11" s="42" t="e">
        <f t="shared" ref="J11" si="4">J9/J10</f>
        <v>#DIV/0!</v>
      </c>
      <c r="M11" s="144"/>
      <c r="N11" s="18" t="s">
        <v>3</v>
      </c>
      <c r="O11" s="19">
        <v>0.214</v>
      </c>
      <c r="P11" s="19">
        <v>0.214</v>
      </c>
      <c r="Q11" s="43">
        <f t="shared" si="0"/>
        <v>0</v>
      </c>
    </row>
    <row r="12" spans="1:17" x14ac:dyDescent="0.25">
      <c r="A12" s="60" t="s">
        <v>43</v>
      </c>
      <c r="B12" s="22">
        <v>24</v>
      </c>
      <c r="D12" s="152" t="s">
        <v>10</v>
      </c>
      <c r="E12" s="9">
        <f>($B$3)*(E25)*($B$4)</f>
        <v>0</v>
      </c>
      <c r="F12" s="9">
        <f>($B$3)*(E25)*($B$4)</f>
        <v>0</v>
      </c>
      <c r="G12" s="31">
        <f>1</f>
        <v>1</v>
      </c>
      <c r="H12" s="32">
        <f>$B$3</f>
        <v>9.9999999999999995E-7</v>
      </c>
      <c r="I12" s="9">
        <f>$B$3</f>
        <v>9.9999999999999995E-7</v>
      </c>
      <c r="J12" s="33">
        <f>1</f>
        <v>1</v>
      </c>
      <c r="M12" s="144"/>
      <c r="N12" s="47" t="s">
        <v>1</v>
      </c>
      <c r="O12" s="48">
        <v>6.1499999999999999E-2</v>
      </c>
      <c r="P12" s="48">
        <v>6.1699999999999998E-2</v>
      </c>
      <c r="Q12" s="49">
        <f t="shared" si="0"/>
        <v>-3.246753246753227E-3</v>
      </c>
    </row>
    <row r="13" spans="1:17" x14ac:dyDescent="0.25">
      <c r="A13" s="60" t="s">
        <v>44</v>
      </c>
      <c r="B13" s="22">
        <v>20</v>
      </c>
      <c r="D13" s="153" t="s">
        <v>9</v>
      </c>
      <c r="E13" s="14">
        <f>(F25)*(G25)*($B$9)</f>
        <v>0</v>
      </c>
      <c r="F13" s="14">
        <f>(F25)*(H25)*($B$14)*(1/365)*($B$15)*($B$17)*(1/24)*($B$16)</f>
        <v>0</v>
      </c>
      <c r="G13" s="35" t="e">
        <f>(1/E14)+(1/F14)</f>
        <v>#DIV/0!</v>
      </c>
      <c r="H13" s="36">
        <f>(G25)*($B$9)</f>
        <v>0</v>
      </c>
      <c r="I13" s="14">
        <f>(H25)*($B$14)*(1/365)*($B$15)*($B$17)*(1/24)*($B$16)</f>
        <v>0</v>
      </c>
      <c r="J13" s="37" t="e">
        <f>(1/H14)+(1/I14)</f>
        <v>#DIV/0!</v>
      </c>
      <c r="M13" s="144"/>
      <c r="N13" s="13" t="s">
        <v>2</v>
      </c>
      <c r="O13" s="14">
        <v>3.55</v>
      </c>
      <c r="P13" s="14">
        <v>3.57</v>
      </c>
      <c r="Q13" s="38">
        <f t="shared" si="0"/>
        <v>-5.6179775280898936E-3</v>
      </c>
    </row>
    <row r="14" spans="1:17" ht="15.75" thickBot="1" x14ac:dyDescent="0.3">
      <c r="A14" s="60" t="s">
        <v>45</v>
      </c>
      <c r="B14" s="22">
        <v>350</v>
      </c>
      <c r="D14" s="154" t="s">
        <v>10</v>
      </c>
      <c r="E14" s="39" t="e">
        <f>E12/E13</f>
        <v>#DIV/0!</v>
      </c>
      <c r="F14" s="39" t="e">
        <f t="shared" ref="F14:J14" si="5">F12/F13</f>
        <v>#DIV/0!</v>
      </c>
      <c r="G14" s="40" t="e">
        <f t="shared" si="5"/>
        <v>#DIV/0!</v>
      </c>
      <c r="H14" s="41" t="e">
        <f t="shared" si="5"/>
        <v>#DIV/0!</v>
      </c>
      <c r="I14" s="39" t="e">
        <f t="shared" si="5"/>
        <v>#DIV/0!</v>
      </c>
      <c r="J14" s="42" t="e">
        <f t="shared" si="5"/>
        <v>#DIV/0!</v>
      </c>
      <c r="M14" s="145"/>
      <c r="N14" s="18" t="s">
        <v>3</v>
      </c>
      <c r="O14" s="19">
        <v>6.0400000000000002E-2</v>
      </c>
      <c r="P14" s="19">
        <v>6.0699999999999997E-2</v>
      </c>
      <c r="Q14" s="43">
        <f t="shared" si="0"/>
        <v>-4.9545829892649832E-3</v>
      </c>
    </row>
    <row r="15" spans="1:17" x14ac:dyDescent="0.25">
      <c r="A15" s="60" t="s">
        <v>46</v>
      </c>
      <c r="B15" s="22">
        <v>26</v>
      </c>
      <c r="M15" s="143" t="s">
        <v>9</v>
      </c>
      <c r="N15" s="8" t="s">
        <v>1</v>
      </c>
      <c r="O15" s="9">
        <v>14</v>
      </c>
      <c r="P15" s="9">
        <v>14</v>
      </c>
      <c r="Q15" s="34">
        <f t="shared" si="0"/>
        <v>0</v>
      </c>
    </row>
    <row r="16" spans="1:17" x14ac:dyDescent="0.25">
      <c r="A16" s="60" t="s">
        <v>74</v>
      </c>
      <c r="B16" s="22">
        <v>1</v>
      </c>
      <c r="D16" s="21"/>
      <c r="E16" s="13" t="s">
        <v>120</v>
      </c>
      <c r="F16" s="13" t="s">
        <v>11</v>
      </c>
      <c r="G16" s="13" t="s">
        <v>95</v>
      </c>
      <c r="H16" s="13" t="s">
        <v>102</v>
      </c>
      <c r="I16" s="60" t="s">
        <v>97</v>
      </c>
      <c r="J16" s="60" t="s">
        <v>103</v>
      </c>
      <c r="M16" s="144"/>
      <c r="N16" s="13" t="s">
        <v>2</v>
      </c>
      <c r="O16" s="67"/>
      <c r="P16" s="67"/>
      <c r="Q16" s="73"/>
    </row>
    <row r="17" spans="1:17" ht="15.75" thickBot="1" x14ac:dyDescent="0.3">
      <c r="A17" s="60" t="s">
        <v>73</v>
      </c>
      <c r="B17" s="22">
        <v>24</v>
      </c>
      <c r="D17" s="22" t="s">
        <v>7</v>
      </c>
      <c r="E17" s="22" t="s">
        <v>126</v>
      </c>
      <c r="F17" s="14">
        <v>432</v>
      </c>
      <c r="G17" s="14">
        <f t="shared" ref="G17:G20" si="6">0.693/F17</f>
        <v>1.6041666666666665E-3</v>
      </c>
      <c r="H17" s="14">
        <f>(1-EXP(-(G17)*$B$4))</f>
        <v>4.0850508285623199E-2</v>
      </c>
      <c r="I17" s="14">
        <f>'Isotope Specific Factors'!E14</f>
        <v>0</v>
      </c>
      <c r="J17" s="14" t="e">
        <f>'Isotope Specific Factors'!#REF!</f>
        <v>#REF!</v>
      </c>
      <c r="M17" s="144"/>
      <c r="N17" s="18" t="s">
        <v>3</v>
      </c>
      <c r="O17" s="19">
        <v>14</v>
      </c>
      <c r="P17" s="19">
        <v>14</v>
      </c>
      <c r="Q17" s="43">
        <f t="shared" si="0"/>
        <v>0</v>
      </c>
    </row>
    <row r="18" spans="1:17" x14ac:dyDescent="0.25">
      <c r="D18" s="22" t="s">
        <v>8</v>
      </c>
      <c r="E18" s="22" t="s">
        <v>126</v>
      </c>
      <c r="F18" s="14">
        <v>5.27</v>
      </c>
      <c r="G18" s="14">
        <f t="shared" si="6"/>
        <v>0.13149905123339659</v>
      </c>
      <c r="H18" s="14">
        <f t="shared" ref="H18:H20" si="7">(1-EXP(-(G18)*$B$4))</f>
        <v>0.96725402849894515</v>
      </c>
      <c r="I18" s="14">
        <f>'Isotope Specific Factors'!E19</f>
        <v>0</v>
      </c>
      <c r="J18" s="14" t="e">
        <f>'Isotope Specific Factors'!#REF!</f>
        <v>#REF!</v>
      </c>
      <c r="M18" s="144"/>
      <c r="N18" s="47" t="s">
        <v>1</v>
      </c>
      <c r="O18" s="48">
        <v>7.33</v>
      </c>
      <c r="P18" s="48">
        <v>7.33</v>
      </c>
      <c r="Q18" s="49">
        <f t="shared" si="0"/>
        <v>0</v>
      </c>
    </row>
    <row r="19" spans="1:17" x14ac:dyDescent="0.25">
      <c r="D19" s="22" t="s">
        <v>9</v>
      </c>
      <c r="E19" s="22" t="s">
        <v>126</v>
      </c>
      <c r="F19" s="14">
        <v>12.3</v>
      </c>
      <c r="G19" s="14">
        <f t="shared" si="6"/>
        <v>5.6341463414634141E-2</v>
      </c>
      <c r="H19" s="14">
        <f t="shared" si="7"/>
        <v>0.76889382656142935</v>
      </c>
      <c r="I19" s="14">
        <f>'Isotope Specific Factors'!E22</f>
        <v>0</v>
      </c>
      <c r="J19" s="80"/>
      <c r="M19" s="144"/>
      <c r="N19" s="13" t="s">
        <v>2</v>
      </c>
      <c r="O19" s="67"/>
      <c r="P19" s="67"/>
      <c r="Q19" s="73"/>
    </row>
    <row r="20" spans="1:17" ht="15.75" thickBot="1" x14ac:dyDescent="0.3">
      <c r="D20" s="22" t="s">
        <v>10</v>
      </c>
      <c r="E20" s="22" t="s">
        <v>126</v>
      </c>
      <c r="F20" s="14">
        <v>87.7</v>
      </c>
      <c r="G20" s="14">
        <f t="shared" si="6"/>
        <v>7.9019384264538192E-3</v>
      </c>
      <c r="H20" s="14">
        <f t="shared" si="7"/>
        <v>0.18571951737977155</v>
      </c>
      <c r="I20" s="14">
        <f>'Isotope Specific Factors'!E26</f>
        <v>0</v>
      </c>
      <c r="J20" s="14">
        <f>'Isotope Specific Factors'!K2</f>
        <v>0</v>
      </c>
      <c r="M20" s="145"/>
      <c r="N20" s="18" t="s">
        <v>3</v>
      </c>
      <c r="O20" s="19">
        <v>7.33</v>
      </c>
      <c r="P20" s="19">
        <v>7.33</v>
      </c>
      <c r="Q20" s="43">
        <f t="shared" si="0"/>
        <v>0</v>
      </c>
    </row>
    <row r="21" spans="1:17" x14ac:dyDescent="0.25">
      <c r="B21" s="86"/>
      <c r="C21" s="27"/>
      <c r="D21" s="123"/>
      <c r="E21" s="123"/>
      <c r="F21" s="123"/>
      <c r="G21" s="124"/>
      <c r="H21" s="124"/>
      <c r="I21" s="125"/>
      <c r="M21" s="143" t="s">
        <v>10</v>
      </c>
      <c r="N21" s="8" t="s">
        <v>1</v>
      </c>
      <c r="O21" s="9">
        <v>1.3200000000000001E-4</v>
      </c>
      <c r="P21" s="9">
        <v>1.3200000000000001E-4</v>
      </c>
      <c r="Q21" s="34">
        <f t="shared" si="0"/>
        <v>0</v>
      </c>
    </row>
    <row r="22" spans="1:17" x14ac:dyDescent="0.25">
      <c r="B22" s="88"/>
      <c r="C22" s="88"/>
      <c r="D22" s="95"/>
      <c r="E22" s="95"/>
      <c r="F22" s="95"/>
      <c r="G22" s="95"/>
      <c r="H22" s="95"/>
      <c r="M22" s="144"/>
      <c r="N22" s="13" t="s">
        <v>2</v>
      </c>
      <c r="O22" s="14">
        <v>173000</v>
      </c>
      <c r="P22" s="14">
        <v>174000</v>
      </c>
      <c r="Q22" s="38">
        <f t="shared" si="0"/>
        <v>-5.763688760806916E-3</v>
      </c>
    </row>
    <row r="23" spans="1:17" ht="15.75" thickBot="1" x14ac:dyDescent="0.3">
      <c r="B23" s="88"/>
      <c r="C23" s="88"/>
      <c r="D23" s="95"/>
      <c r="E23" s="95"/>
      <c r="F23" s="95"/>
      <c r="G23" s="95"/>
      <c r="H23" s="95"/>
      <c r="M23" s="144"/>
      <c r="N23" s="18" t="s">
        <v>3</v>
      </c>
      <c r="O23" s="19">
        <v>1.3200000000000001E-4</v>
      </c>
      <c r="P23" s="19">
        <v>1.3200000000000001E-4</v>
      </c>
      <c r="Q23" s="43">
        <f t="shared" si="0"/>
        <v>0</v>
      </c>
    </row>
    <row r="24" spans="1:17" x14ac:dyDescent="0.25">
      <c r="B24" s="88"/>
      <c r="C24" s="88"/>
      <c r="D24" s="95"/>
      <c r="E24" s="95"/>
      <c r="F24" s="95"/>
      <c r="G24" s="95"/>
      <c r="H24" s="122"/>
      <c r="M24" s="144"/>
      <c r="N24" s="47" t="s">
        <v>1</v>
      </c>
      <c r="O24" s="48">
        <v>1.1900000000000001E-4</v>
      </c>
      <c r="P24" s="48">
        <v>1.1900000000000001E-4</v>
      </c>
      <c r="Q24" s="49">
        <f t="shared" si="0"/>
        <v>0</v>
      </c>
    </row>
    <row r="25" spans="1:17" x14ac:dyDescent="0.25">
      <c r="B25" s="88"/>
      <c r="C25" s="88"/>
      <c r="D25" s="95"/>
      <c r="E25" s="95"/>
      <c r="F25" s="95"/>
      <c r="G25" s="95"/>
      <c r="H25" s="95"/>
      <c r="M25" s="144"/>
      <c r="N25" s="13" t="s">
        <v>2</v>
      </c>
      <c r="O25" s="14">
        <v>157000</v>
      </c>
      <c r="P25" s="14">
        <v>157000</v>
      </c>
      <c r="Q25" s="38">
        <f t="shared" si="0"/>
        <v>0</v>
      </c>
    </row>
    <row r="26" spans="1:17" ht="15.75" thickBot="1" x14ac:dyDescent="0.3">
      <c r="D26" s="122"/>
      <c r="E26" s="122"/>
      <c r="F26" s="122"/>
      <c r="G26" s="122"/>
      <c r="H26" s="122"/>
      <c r="M26" s="145"/>
      <c r="N26" s="18" t="s">
        <v>3</v>
      </c>
      <c r="O26" s="19">
        <v>1.1900000000000001E-4</v>
      </c>
      <c r="P26" s="19">
        <v>1.1900000000000001E-4</v>
      </c>
      <c r="Q26" s="43">
        <f t="shared" si="0"/>
        <v>0</v>
      </c>
    </row>
  </sheetData>
  <mergeCells count="10">
    <mergeCell ref="M15:M20"/>
    <mergeCell ref="M21:M26"/>
    <mergeCell ref="E1:G1"/>
    <mergeCell ref="H1:J1"/>
    <mergeCell ref="D3:D5"/>
    <mergeCell ref="M3:M8"/>
    <mergeCell ref="D6:D8"/>
    <mergeCell ref="D9:D11"/>
    <mergeCell ref="M9:M14"/>
    <mergeCell ref="D12:D14"/>
  </mergeCells>
  <conditionalFormatting sqref="Q3:Q26">
    <cfRule type="cellIs" dxfId="19" priority="1" operator="lessThan">
      <formula>-0.01</formula>
    </cfRule>
    <cfRule type="cellIs" dxfId="18" priority="2" operator="notEqual">
      <formula>0</formula>
    </cfRule>
  </conditionalFormatting>
  <pageMargins left="0.7" right="0.7" top="0.75" bottom="0.75" header="0.3" footer="0.3"/>
  <pageSetup scale="65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topLeftCell="C23" zoomScale="55" zoomScaleNormal="55" workbookViewId="0">
      <selection activeCell="AE52" sqref="AE52"/>
    </sheetView>
  </sheetViews>
  <sheetFormatPr defaultRowHeight="15" x14ac:dyDescent="0.25"/>
  <cols>
    <col min="5" max="5" width="10.28515625" bestFit="1" customWidth="1"/>
    <col min="10" max="10" width="10.7109375" bestFit="1" customWidth="1"/>
    <col min="13" max="13" width="10.7109375" bestFit="1" customWidth="1"/>
    <col min="16" max="16" width="10.7109375" bestFit="1" customWidth="1"/>
    <col min="18" max="20" width="9.42578125" bestFit="1" customWidth="1"/>
    <col min="21" max="21" width="12.7109375" bestFit="1" customWidth="1"/>
    <col min="22" max="22" width="8.28515625" bestFit="1" customWidth="1"/>
    <col min="23" max="23" width="12.42578125" bestFit="1" customWidth="1"/>
    <col min="24" max="24" width="8.28515625" bestFit="1" customWidth="1"/>
  </cols>
  <sheetData>
    <row r="1" spans="1:24" ht="26.25" thickBot="1" x14ac:dyDescent="0.3">
      <c r="A1" s="13" t="s">
        <v>27</v>
      </c>
      <c r="B1" s="13" t="s">
        <v>28</v>
      </c>
      <c r="D1" s="4"/>
      <c r="E1" s="2" t="s">
        <v>25</v>
      </c>
      <c r="F1" s="2" t="s">
        <v>1</v>
      </c>
      <c r="G1" s="2" t="s">
        <v>16</v>
      </c>
      <c r="H1" s="2" t="s">
        <v>17</v>
      </c>
      <c r="I1" s="44" t="s">
        <v>3</v>
      </c>
      <c r="K1" s="21"/>
      <c r="L1" s="22" t="s">
        <v>26</v>
      </c>
      <c r="M1" s="122"/>
      <c r="N1" s="122"/>
      <c r="O1" s="126"/>
      <c r="P1" s="126"/>
      <c r="Q1" s="127"/>
      <c r="R1" s="122"/>
      <c r="S1" s="122"/>
      <c r="T1" s="126"/>
      <c r="U1" s="126"/>
      <c r="V1" s="127"/>
    </row>
    <row r="2" spans="1:24" ht="15" customHeight="1" x14ac:dyDescent="0.25">
      <c r="A2" s="13" t="s">
        <v>29</v>
      </c>
      <c r="B2" s="11">
        <v>9.9999999999999995E-7</v>
      </c>
      <c r="D2" s="152" t="s">
        <v>7</v>
      </c>
      <c r="E2" s="9">
        <f>$B$2</f>
        <v>9.9999999999999995E-7</v>
      </c>
      <c r="F2" s="65"/>
      <c r="G2" s="9">
        <f>$B$2</f>
        <v>9.9999999999999995E-7</v>
      </c>
      <c r="H2" s="9" t="e">
        <f>(($B$2)/((X27)*($B$26+$B$27)*($B$28)))</f>
        <v>#DIV/0!</v>
      </c>
      <c r="I2" s="45">
        <f>1</f>
        <v>1</v>
      </c>
      <c r="K2" s="158" t="s">
        <v>7</v>
      </c>
      <c r="L2" s="14">
        <f>$B$2</f>
        <v>9.9999999999999995E-7</v>
      </c>
      <c r="M2" s="128"/>
      <c r="N2" s="126"/>
      <c r="O2" s="95"/>
      <c r="P2" s="95"/>
      <c r="Q2" s="134"/>
      <c r="R2" s="128"/>
      <c r="S2" s="126"/>
      <c r="T2" s="95"/>
      <c r="U2" s="95"/>
      <c r="V2" s="134"/>
    </row>
    <row r="3" spans="1:24" x14ac:dyDescent="0.25">
      <c r="A3" s="13" t="s">
        <v>30</v>
      </c>
      <c r="B3" s="22">
        <v>26</v>
      </c>
      <c r="D3" s="153"/>
      <c r="E3" s="14">
        <f>(N27)*($B$4)</f>
        <v>0</v>
      </c>
      <c r="F3" s="67"/>
      <c r="G3" s="14" t="e">
        <f>(P27)*(1/8760)*($B$12)</f>
        <v>#VALUE!</v>
      </c>
      <c r="H3" s="14" t="e">
        <f>(1/1000)*(E18+F18+G18)</f>
        <v>#VALUE!</v>
      </c>
      <c r="I3" s="46" t="e">
        <f>(1/E4)+(1/G4)+(1/H4)</f>
        <v>#DIV/0!</v>
      </c>
      <c r="K3" s="159"/>
      <c r="L3" s="14" t="e">
        <f>(#REF!)*($B$17)*($B$18)*($B$48)*($B$49)</f>
        <v>#REF!</v>
      </c>
      <c r="M3" s="128"/>
      <c r="N3" s="126"/>
      <c r="O3" s="95"/>
      <c r="P3" s="95"/>
      <c r="Q3" s="134"/>
      <c r="R3" s="128"/>
      <c r="S3" s="126"/>
      <c r="T3" s="95"/>
      <c r="U3" s="95"/>
      <c r="V3" s="134"/>
    </row>
    <row r="4" spans="1:24" ht="15.75" thickBot="1" x14ac:dyDescent="0.3">
      <c r="A4" s="61" t="s">
        <v>75</v>
      </c>
      <c r="B4" s="22">
        <f>((B5)*(B6)*(B7))+((B8)*(B9)*(B10))</f>
        <v>19138</v>
      </c>
      <c r="D4" s="154"/>
      <c r="E4" s="39" t="e">
        <f>E2/E3</f>
        <v>#DIV/0!</v>
      </c>
      <c r="F4" s="72"/>
      <c r="G4" s="39" t="e">
        <f>G2/G3</f>
        <v>#VALUE!</v>
      </c>
      <c r="H4" s="39" t="e">
        <f>H2/H3</f>
        <v>#DIV/0!</v>
      </c>
      <c r="I4" s="50" t="e">
        <f>I2/I3</f>
        <v>#DIV/0!</v>
      </c>
      <c r="K4" s="160"/>
      <c r="L4" s="54" t="e">
        <f>L2/L3</f>
        <v>#REF!</v>
      </c>
      <c r="M4" s="128"/>
      <c r="N4" s="126"/>
      <c r="O4" s="95"/>
      <c r="P4" s="95"/>
      <c r="Q4" s="134"/>
      <c r="R4" s="128"/>
      <c r="S4" s="126"/>
      <c r="T4" s="95"/>
      <c r="U4" s="95"/>
      <c r="V4" s="134"/>
    </row>
    <row r="5" spans="1:24" x14ac:dyDescent="0.25">
      <c r="A5" s="13" t="s">
        <v>32</v>
      </c>
      <c r="B5" s="22">
        <v>350</v>
      </c>
      <c r="D5" s="152" t="s">
        <v>8</v>
      </c>
      <c r="E5" s="9">
        <f>$B$2</f>
        <v>9.9999999999999995E-7</v>
      </c>
      <c r="F5" s="65"/>
      <c r="G5" s="9">
        <f>$B$2</f>
        <v>9.9999999999999995E-7</v>
      </c>
      <c r="H5" s="9">
        <f>(($B$2)/((X28)*($B$26+$B$27)*($B$28)))</f>
        <v>7.0911771184573873E-10</v>
      </c>
      <c r="I5" s="45">
        <f>1</f>
        <v>1</v>
      </c>
      <c r="K5" s="158" t="s">
        <v>8</v>
      </c>
      <c r="L5" s="14">
        <f>$B$2</f>
        <v>9.9999999999999995E-7</v>
      </c>
      <c r="M5" s="128"/>
      <c r="N5" s="126"/>
      <c r="O5" s="95"/>
      <c r="P5" s="95"/>
      <c r="Q5" s="134"/>
      <c r="R5" s="128"/>
      <c r="S5" s="126"/>
      <c r="T5" s="95"/>
      <c r="U5" s="95"/>
      <c r="V5" s="134"/>
    </row>
    <row r="6" spans="1:24" x14ac:dyDescent="0.25">
      <c r="A6" s="13" t="s">
        <v>33</v>
      </c>
      <c r="B6" s="22">
        <v>6</v>
      </c>
      <c r="D6" s="153"/>
      <c r="E6" s="14">
        <f>(N28)*($B$4)</f>
        <v>0</v>
      </c>
      <c r="F6" s="67"/>
      <c r="G6" s="14" t="e">
        <f>(P28)*(1/8760)*($B$12)</f>
        <v>#VALUE!</v>
      </c>
      <c r="H6" s="14" t="e">
        <f>(1/1000)*(E21+F21+G21)</f>
        <v>#VALUE!</v>
      </c>
      <c r="I6" s="46" t="e">
        <f>(1/E7)+(1/G7)+(1/H7)</f>
        <v>#DIV/0!</v>
      </c>
      <c r="K6" s="159"/>
      <c r="L6" s="14" t="e">
        <f>(#REF!)*($B$17)*($B$18)*($B$48)*($B$49)</f>
        <v>#REF!</v>
      </c>
      <c r="M6" s="128"/>
      <c r="N6" s="126"/>
      <c r="O6" s="95"/>
      <c r="P6" s="95"/>
      <c r="Q6" s="134"/>
      <c r="R6" s="128"/>
      <c r="S6" s="126"/>
      <c r="T6" s="95"/>
      <c r="U6" s="95"/>
      <c r="V6" s="134"/>
    </row>
    <row r="7" spans="1:24" ht="15.75" thickBot="1" x14ac:dyDescent="0.3">
      <c r="A7" s="13" t="s">
        <v>76</v>
      </c>
      <c r="B7" s="22">
        <v>0.78</v>
      </c>
      <c r="D7" s="153"/>
      <c r="E7" s="51" t="e">
        <f>E5/E6</f>
        <v>#DIV/0!</v>
      </c>
      <c r="F7" s="74"/>
      <c r="G7" s="51" t="e">
        <f>G5/G6</f>
        <v>#VALUE!</v>
      </c>
      <c r="H7" s="51" t="e">
        <f>H5/H6</f>
        <v>#VALUE!</v>
      </c>
      <c r="I7" s="52" t="e">
        <f>I5/I6</f>
        <v>#DIV/0!</v>
      </c>
      <c r="K7" s="160"/>
      <c r="L7" s="54" t="e">
        <f>L5/L6</f>
        <v>#REF!</v>
      </c>
      <c r="M7" s="128"/>
      <c r="N7" s="126"/>
      <c r="O7" s="4"/>
      <c r="P7" s="4"/>
      <c r="Q7" s="3" t="s">
        <v>4</v>
      </c>
      <c r="R7" s="3" t="s">
        <v>5</v>
      </c>
      <c r="S7" s="5" t="s">
        <v>6</v>
      </c>
      <c r="T7" s="4"/>
      <c r="U7" s="4"/>
      <c r="V7" s="3" t="s">
        <v>4</v>
      </c>
      <c r="W7" s="3" t="s">
        <v>5</v>
      </c>
      <c r="X7" s="5" t="s">
        <v>6</v>
      </c>
    </row>
    <row r="8" spans="1:24" x14ac:dyDescent="0.25">
      <c r="A8" s="13" t="s">
        <v>35</v>
      </c>
      <c r="B8" s="22">
        <v>350</v>
      </c>
      <c r="D8" s="152" t="s">
        <v>9</v>
      </c>
      <c r="E8" s="9">
        <f>$B$2</f>
        <v>9.9999999999999995E-7</v>
      </c>
      <c r="F8" s="9">
        <f>$B$2</f>
        <v>9.9999999999999995E-7</v>
      </c>
      <c r="G8" s="65"/>
      <c r="H8" s="9" t="e">
        <f>(($B$2)/((X30)*($B$26+$B$27)*($B$28)))</f>
        <v>#DIV/0!</v>
      </c>
      <c r="I8" s="45">
        <f>1</f>
        <v>1</v>
      </c>
      <c r="K8" s="158" t="s">
        <v>9</v>
      </c>
      <c r="L8" s="14">
        <f>$B$2</f>
        <v>9.9999999999999995E-7</v>
      </c>
      <c r="M8" s="128"/>
      <c r="N8" s="126"/>
      <c r="O8" s="143" t="s">
        <v>7</v>
      </c>
      <c r="P8" s="8" t="s">
        <v>0</v>
      </c>
      <c r="Q8" s="9">
        <v>0.502</v>
      </c>
      <c r="R8" s="9">
        <v>0.504</v>
      </c>
      <c r="S8" s="34">
        <f>(Q8-R8)/((1/2)*(Q8+R8))</f>
        <v>-3.9761431411530854E-3</v>
      </c>
      <c r="T8" s="143" t="s">
        <v>9</v>
      </c>
      <c r="U8" s="8" t="s">
        <v>0</v>
      </c>
      <c r="V8" s="9">
        <v>1030</v>
      </c>
      <c r="W8" s="9">
        <v>1030</v>
      </c>
      <c r="X8" s="34">
        <f>(V8-W8)/((1/2)*(V8+W8))</f>
        <v>0</v>
      </c>
    </row>
    <row r="9" spans="1:24" x14ac:dyDescent="0.25">
      <c r="A9" s="13" t="s">
        <v>36</v>
      </c>
      <c r="B9" s="22">
        <v>20</v>
      </c>
      <c r="D9" s="153"/>
      <c r="E9" s="14">
        <f>(N30)*($B$4)</f>
        <v>0</v>
      </c>
      <c r="F9" s="14">
        <f>(O30)*($B$11)*($B$38)</f>
        <v>0</v>
      </c>
      <c r="G9" s="67"/>
      <c r="H9" s="14" t="e">
        <f>(1/1000)*(E24+F24+G24)</f>
        <v>#DIV/0!</v>
      </c>
      <c r="I9" s="46" t="e">
        <f>(1/E10)+(1/F10)+(1/H10)</f>
        <v>#DIV/0!</v>
      </c>
      <c r="K9" s="159"/>
      <c r="L9" s="14">
        <f>(AE1)*($B$17)*($B$18)*($B$48)*($B$49)</f>
        <v>0</v>
      </c>
      <c r="M9" s="128"/>
      <c r="N9" s="126"/>
      <c r="O9" s="144"/>
      <c r="P9" s="47" t="s">
        <v>1</v>
      </c>
      <c r="Q9" s="75"/>
      <c r="R9" s="75"/>
      <c r="S9" s="76"/>
      <c r="T9" s="144"/>
      <c r="U9" s="47" t="s">
        <v>1</v>
      </c>
      <c r="V9" s="48">
        <v>14.7</v>
      </c>
      <c r="W9" s="48">
        <v>14.7</v>
      </c>
      <c r="X9" s="49">
        <f>(V9-W9)/((1/2)*(V9+W9))</f>
        <v>0</v>
      </c>
    </row>
    <row r="10" spans="1:24" ht="15.75" thickBot="1" x14ac:dyDescent="0.3">
      <c r="A10" s="13" t="s">
        <v>77</v>
      </c>
      <c r="B10" s="22">
        <v>2.5</v>
      </c>
      <c r="D10" s="154"/>
      <c r="E10" s="39" t="e">
        <f>E8/E9</f>
        <v>#DIV/0!</v>
      </c>
      <c r="F10" s="39" t="e">
        <f>F8/F9</f>
        <v>#DIV/0!</v>
      </c>
      <c r="G10" s="72"/>
      <c r="H10" s="39" t="e">
        <f>H8/H9</f>
        <v>#DIV/0!</v>
      </c>
      <c r="I10" s="50" t="e">
        <f>I8/I9</f>
        <v>#DIV/0!</v>
      </c>
      <c r="K10" s="160"/>
      <c r="L10" s="54" t="e">
        <f>L8/L9</f>
        <v>#DIV/0!</v>
      </c>
      <c r="M10" s="128"/>
      <c r="N10" s="126"/>
      <c r="O10" s="144"/>
      <c r="P10" s="47" t="s">
        <v>16</v>
      </c>
      <c r="Q10" s="48">
        <v>10900000</v>
      </c>
      <c r="R10" s="48">
        <v>10900000</v>
      </c>
      <c r="S10" s="49">
        <f t="shared" ref="S10:S17" si="0">(Q10-R10)/((1/2)*(Q10+R10))</f>
        <v>0</v>
      </c>
      <c r="T10" s="144"/>
      <c r="U10" s="47" t="s">
        <v>16</v>
      </c>
      <c r="V10" s="75"/>
      <c r="W10" s="75"/>
      <c r="X10" s="76"/>
    </row>
    <row r="11" spans="1:24" x14ac:dyDescent="0.25">
      <c r="A11" s="61" t="s">
        <v>39</v>
      </c>
      <c r="B11" s="77">
        <f>((B5)*(B6)*(B13)*(1/24)*(B14))+((B8)*(B9)*(B15)*(1/24)*(B16))</f>
        <v>161000</v>
      </c>
      <c r="D11" s="152" t="s">
        <v>10</v>
      </c>
      <c r="E11" s="9">
        <f>$B$2</f>
        <v>9.9999999999999995E-7</v>
      </c>
      <c r="F11" s="65"/>
      <c r="G11" s="9">
        <f>$B$2</f>
        <v>9.9999999999999995E-7</v>
      </c>
      <c r="H11" s="9" t="e">
        <f>(($B$2)/((X31)*($B$26+$B$27)*($B$28)))</f>
        <v>#DIV/0!</v>
      </c>
      <c r="I11" s="45">
        <f>1</f>
        <v>1</v>
      </c>
      <c r="K11" s="158" t="s">
        <v>10</v>
      </c>
      <c r="L11" s="14">
        <f>$B$2</f>
        <v>9.9999999999999995E-7</v>
      </c>
      <c r="M11" s="128"/>
      <c r="N11" s="126"/>
      <c r="O11" s="144"/>
      <c r="P11" s="47" t="s">
        <v>18</v>
      </c>
      <c r="Q11" s="48">
        <v>4.3900000000000003E-6</v>
      </c>
      <c r="R11" s="48">
        <v>4.3599999999999998E-6</v>
      </c>
      <c r="S11" s="49">
        <f t="shared" si="0"/>
        <v>6.857142857142986E-3</v>
      </c>
      <c r="T11" s="144"/>
      <c r="U11" s="47" t="s">
        <v>18</v>
      </c>
      <c r="V11" s="48">
        <v>1.54E-4</v>
      </c>
      <c r="W11" s="48">
        <v>1.54E-4</v>
      </c>
      <c r="X11" s="49">
        <f t="shared" ref="X11:X17" si="1">(V11-W11)/((1/2)*(V11+W11))</f>
        <v>0</v>
      </c>
    </row>
    <row r="12" spans="1:24" x14ac:dyDescent="0.25">
      <c r="A12" s="61" t="s">
        <v>78</v>
      </c>
      <c r="B12" s="78">
        <f>((B5)*(B6)*(B33)*(B44))+((B8)*(B9)*(B34)*(B42))</f>
        <v>6104</v>
      </c>
      <c r="D12" s="153"/>
      <c r="E12" s="14" t="e">
        <f>(N31)*($B$4)</f>
        <v>#VALUE!</v>
      </c>
      <c r="F12" s="67"/>
      <c r="G12" s="14" t="e">
        <f>(P31)*(1/8760)*($B$12)</f>
        <v>#VALUE!</v>
      </c>
      <c r="H12" s="14" t="e">
        <f>(1/1000)*(E27+F27+G27)</f>
        <v>#VALUE!</v>
      </c>
      <c r="I12" s="46" t="e">
        <f>(1/E13)+(1/G13)+(1/H13)</f>
        <v>#VALUE!</v>
      </c>
      <c r="K12" s="159"/>
      <c r="L12" s="14">
        <f>(AE3)*($B$17)*($B$18)*($B$48)*($B$49)</f>
        <v>0</v>
      </c>
      <c r="M12" s="128"/>
      <c r="N12" s="126"/>
      <c r="O12" s="144"/>
      <c r="P12" s="47" t="s">
        <v>19</v>
      </c>
      <c r="Q12" s="48">
        <v>3.1399999999999998E-5</v>
      </c>
      <c r="R12" s="48">
        <v>3.1399999999999998E-5</v>
      </c>
      <c r="S12" s="49">
        <f t="shared" si="0"/>
        <v>0</v>
      </c>
      <c r="T12" s="144"/>
      <c r="U12" s="47" t="s">
        <v>19</v>
      </c>
      <c r="V12" s="48">
        <v>1.8100000000000001E-4</v>
      </c>
      <c r="W12" s="48">
        <v>1.8100000000000001E-4</v>
      </c>
      <c r="X12" s="49">
        <f t="shared" si="1"/>
        <v>0</v>
      </c>
    </row>
    <row r="13" spans="1:24" ht="15.75" customHeight="1" thickBot="1" x14ac:dyDescent="0.3">
      <c r="A13" s="60" t="s">
        <v>41</v>
      </c>
      <c r="B13" s="22">
        <v>24</v>
      </c>
      <c r="D13" s="154"/>
      <c r="E13" s="39" t="e">
        <f>E11/E12</f>
        <v>#VALUE!</v>
      </c>
      <c r="F13" s="72"/>
      <c r="G13" s="39" t="e">
        <f>G11/G12</f>
        <v>#VALUE!</v>
      </c>
      <c r="H13" s="39" t="e">
        <f>H11/H12</f>
        <v>#DIV/0!</v>
      </c>
      <c r="I13" s="50" t="e">
        <f>I11/I12</f>
        <v>#VALUE!</v>
      </c>
      <c r="K13" s="160"/>
      <c r="L13" s="54" t="e">
        <f>L11/L12</f>
        <v>#DIV/0!</v>
      </c>
      <c r="M13" s="128"/>
      <c r="N13" s="126"/>
      <c r="O13" s="144"/>
      <c r="P13" s="47" t="s">
        <v>20</v>
      </c>
      <c r="Q13" s="48">
        <v>4.9500000000000002E-2</v>
      </c>
      <c r="R13" s="48">
        <v>4.9500000000000002E-2</v>
      </c>
      <c r="S13" s="49">
        <f t="shared" si="0"/>
        <v>0</v>
      </c>
      <c r="T13" s="144"/>
      <c r="U13" s="47" t="s">
        <v>20</v>
      </c>
      <c r="V13" s="48">
        <v>4.9299999999999997E-2</v>
      </c>
      <c r="W13" s="48">
        <v>4.9500000000000002E-2</v>
      </c>
      <c r="X13" s="49">
        <f t="shared" si="1"/>
        <v>-4.0485829959515333E-3</v>
      </c>
    </row>
    <row r="14" spans="1:24" x14ac:dyDescent="0.25">
      <c r="A14" s="60" t="s">
        <v>42</v>
      </c>
      <c r="B14" s="22">
        <v>10</v>
      </c>
      <c r="M14" s="128"/>
      <c r="N14" s="126"/>
      <c r="O14" s="144"/>
      <c r="P14" s="47" t="s">
        <v>21</v>
      </c>
      <c r="Q14" s="48">
        <v>6.6699999999999995E-4</v>
      </c>
      <c r="R14" s="48">
        <v>6.69E-4</v>
      </c>
      <c r="S14" s="49">
        <f t="shared" si="0"/>
        <v>-2.9940119760479772E-3</v>
      </c>
      <c r="T14" s="144"/>
      <c r="U14" s="47" t="s">
        <v>21</v>
      </c>
      <c r="V14" s="48">
        <v>86.1</v>
      </c>
      <c r="W14" s="48">
        <v>86.2</v>
      </c>
      <c r="X14" s="49">
        <f t="shared" si="1"/>
        <v>-1.1607661056298145E-3</v>
      </c>
    </row>
    <row r="15" spans="1:24" ht="15.75" thickBot="1" x14ac:dyDescent="0.3">
      <c r="A15" s="60" t="s">
        <v>43</v>
      </c>
      <c r="B15" s="22">
        <v>24</v>
      </c>
      <c r="D15" s="4"/>
      <c r="E15" s="2" t="s">
        <v>21</v>
      </c>
      <c r="F15" s="2" t="s">
        <v>22</v>
      </c>
      <c r="G15" s="96" t="s">
        <v>23</v>
      </c>
      <c r="H15" s="94"/>
      <c r="I15" s="4"/>
      <c r="J15" s="4"/>
      <c r="K15" s="3" t="s">
        <v>4</v>
      </c>
      <c r="L15" s="3" t="s">
        <v>5</v>
      </c>
      <c r="M15" s="5" t="s">
        <v>6</v>
      </c>
      <c r="N15" s="95"/>
      <c r="O15" s="144"/>
      <c r="P15" s="47" t="s">
        <v>22</v>
      </c>
      <c r="Q15" s="48">
        <v>9.08</v>
      </c>
      <c r="R15" s="48">
        <v>9.08</v>
      </c>
      <c r="S15" s="49">
        <f t="shared" si="0"/>
        <v>0</v>
      </c>
      <c r="T15" s="144"/>
      <c r="U15" s="47" t="s">
        <v>22</v>
      </c>
      <c r="V15" s="48">
        <v>4.66</v>
      </c>
      <c r="W15" s="48">
        <v>4.67</v>
      </c>
      <c r="X15" s="49">
        <f t="shared" si="1"/>
        <v>-2.1436227224008119E-3</v>
      </c>
    </row>
    <row r="16" spans="1:24" x14ac:dyDescent="0.25">
      <c r="A16" s="60" t="s">
        <v>44</v>
      </c>
      <c r="B16" s="22">
        <v>20</v>
      </c>
      <c r="D16" s="152" t="s">
        <v>7</v>
      </c>
      <c r="E16" s="9" t="e">
        <f>($B$37)*($B$35)*(Q27)*(U27)</f>
        <v>#VALUE!</v>
      </c>
      <c r="F16" s="9" t="e">
        <f>($B$37)*($B$35)*($B$23)*(U27)</f>
        <v>#VALUE!</v>
      </c>
      <c r="G16" s="33">
        <f>($B$37)*($B$35)*($B$36)*($B$41)*(W27)</f>
        <v>1.383564</v>
      </c>
      <c r="H16" s="95"/>
      <c r="I16" s="56" t="s">
        <v>7</v>
      </c>
      <c r="J16" s="8" t="s">
        <v>26</v>
      </c>
      <c r="K16" s="9">
        <v>1.52E-2</v>
      </c>
      <c r="L16" s="9">
        <v>1.52E-2</v>
      </c>
      <c r="M16" s="34">
        <f t="shared" ref="M16:M19" si="2">(K16-L16)/((1/2)*(K16+L16))</f>
        <v>0</v>
      </c>
      <c r="N16" s="95"/>
      <c r="O16" s="144"/>
      <c r="P16" s="47" t="s">
        <v>23</v>
      </c>
      <c r="Q16" s="48">
        <v>3.64</v>
      </c>
      <c r="R16" s="48">
        <v>3.64</v>
      </c>
      <c r="S16" s="49">
        <f t="shared" si="0"/>
        <v>0</v>
      </c>
      <c r="T16" s="144"/>
      <c r="U16" s="47" t="s">
        <v>23</v>
      </c>
      <c r="V16" s="48">
        <v>3.65</v>
      </c>
      <c r="W16" s="48">
        <v>3.64</v>
      </c>
      <c r="X16" s="49">
        <f t="shared" si="1"/>
        <v>2.7434842249656481E-3</v>
      </c>
    </row>
    <row r="17" spans="1:25" x14ac:dyDescent="0.25">
      <c r="A17" s="60" t="s">
        <v>45</v>
      </c>
      <c r="B17" s="22">
        <v>350</v>
      </c>
      <c r="D17" s="153"/>
      <c r="E17" s="14">
        <f>($B$40*T27)</f>
        <v>0</v>
      </c>
      <c r="F17" s="14">
        <f>($B$40*(T27))</f>
        <v>0</v>
      </c>
      <c r="G17" s="37">
        <f>($B$47*V27)</f>
        <v>7.28</v>
      </c>
      <c r="H17" s="95"/>
      <c r="I17" s="57" t="s">
        <v>8</v>
      </c>
      <c r="J17" s="13" t="s">
        <v>26</v>
      </c>
      <c r="K17" s="14">
        <v>9.1300000000000006E-2</v>
      </c>
      <c r="L17" s="14">
        <v>9.1200000000000003E-2</v>
      </c>
      <c r="M17" s="49">
        <f t="shared" si="2"/>
        <v>1.0958904109589355E-3</v>
      </c>
      <c r="N17" s="95"/>
      <c r="O17" s="144"/>
      <c r="P17" s="47" t="s">
        <v>24</v>
      </c>
      <c r="Q17" s="48">
        <v>0.99299999999999999</v>
      </c>
      <c r="R17" s="48">
        <v>0.997</v>
      </c>
      <c r="S17" s="49">
        <f t="shared" si="0"/>
        <v>-4.0201005025125667E-3</v>
      </c>
      <c r="T17" s="144"/>
      <c r="U17" s="47" t="s">
        <v>24</v>
      </c>
      <c r="V17" s="48">
        <v>276</v>
      </c>
      <c r="W17" s="48">
        <v>275</v>
      </c>
      <c r="X17" s="49">
        <f t="shared" si="1"/>
        <v>3.629764065335753E-3</v>
      </c>
    </row>
    <row r="18" spans="1:25" ht="15.75" thickBot="1" x14ac:dyDescent="0.3">
      <c r="A18" s="60" t="s">
        <v>46</v>
      </c>
      <c r="B18" s="22">
        <v>26</v>
      </c>
      <c r="D18" s="154"/>
      <c r="E18" s="91" t="e">
        <f>E16/E17</f>
        <v>#VALUE!</v>
      </c>
      <c r="F18" s="91" t="e">
        <f>F16/F17</f>
        <v>#VALUE!</v>
      </c>
      <c r="G18" s="92">
        <f>G16/G17</f>
        <v>0.19005</v>
      </c>
      <c r="H18" s="95"/>
      <c r="I18" s="57" t="s">
        <v>9</v>
      </c>
      <c r="J18" s="13" t="s">
        <v>26</v>
      </c>
      <c r="K18" s="14">
        <v>14.1</v>
      </c>
      <c r="L18" s="14">
        <v>14.1</v>
      </c>
      <c r="M18" s="49">
        <f t="shared" si="2"/>
        <v>0</v>
      </c>
      <c r="N18" s="95"/>
      <c r="O18" s="145"/>
      <c r="P18" s="18" t="s">
        <v>3</v>
      </c>
      <c r="Q18" s="19">
        <v>0.33400000000000002</v>
      </c>
      <c r="R18" s="19">
        <v>0.33100000000000002</v>
      </c>
      <c r="S18" s="43">
        <f>(Q18-R18)/((1/2)*(Q18+R18))</f>
        <v>9.0225563909774511E-3</v>
      </c>
      <c r="T18" s="145"/>
      <c r="U18" s="18" t="s">
        <v>3</v>
      </c>
      <c r="V18" s="19">
        <v>13.7</v>
      </c>
      <c r="W18" s="19">
        <v>13.7</v>
      </c>
      <c r="X18" s="43">
        <f>(V18-W18)/((1/2)*(V18+W18))</f>
        <v>0</v>
      </c>
    </row>
    <row r="19" spans="1:25" ht="15.75" thickBot="1" x14ac:dyDescent="0.3">
      <c r="A19" s="60" t="s">
        <v>47</v>
      </c>
      <c r="B19" s="22">
        <v>1.752</v>
      </c>
      <c r="D19" s="152" t="s">
        <v>8</v>
      </c>
      <c r="E19" s="9" t="e">
        <f>($B$37)*($B$35)*(Q28)*(U28)</f>
        <v>#VALUE!</v>
      </c>
      <c r="F19" s="9" t="e">
        <f>($B$37)*($B$35)*($B$23)*(U28)</f>
        <v>#VALUE!</v>
      </c>
      <c r="G19" s="33">
        <f>($B$37)*($B$35)*($B$36)*($B$41)*(W28)</f>
        <v>0.31776359999999998</v>
      </c>
      <c r="H19" s="95"/>
      <c r="I19" s="58" t="s">
        <v>10</v>
      </c>
      <c r="J19" s="18" t="s">
        <v>26</v>
      </c>
      <c r="K19" s="19">
        <v>1.2E-2</v>
      </c>
      <c r="L19" s="19">
        <v>1.2E-2</v>
      </c>
      <c r="M19" s="55">
        <f t="shared" si="2"/>
        <v>0</v>
      </c>
      <c r="N19" s="95"/>
      <c r="O19" s="143" t="s">
        <v>8</v>
      </c>
      <c r="P19" s="8" t="s">
        <v>0</v>
      </c>
      <c r="Q19" s="9">
        <v>3.31</v>
      </c>
      <c r="R19" s="9">
        <v>3.32</v>
      </c>
      <c r="S19" s="34">
        <f>(Q19-R19)/((1/2)*(Q19+R19))</f>
        <v>-3.0165912518853055E-3</v>
      </c>
      <c r="T19" s="143" t="s">
        <v>10</v>
      </c>
      <c r="U19" s="8" t="s">
        <v>0</v>
      </c>
      <c r="V19" s="9">
        <v>0.39900000000000002</v>
      </c>
      <c r="W19" s="9">
        <v>0.39800000000000002</v>
      </c>
      <c r="X19" s="34">
        <f>(V19-W19)/((1/2)*(V19+W19))</f>
        <v>2.5094102885821852E-3</v>
      </c>
    </row>
    <row r="20" spans="1:25" x14ac:dyDescent="0.25">
      <c r="A20" s="60" t="s">
        <v>48</v>
      </c>
      <c r="B20" s="22">
        <v>1</v>
      </c>
      <c r="D20" s="153"/>
      <c r="E20" s="14">
        <f>($B$40*T28)</f>
        <v>0</v>
      </c>
      <c r="F20" s="14">
        <f>($B$40*(T28))</f>
        <v>0</v>
      </c>
      <c r="G20" s="37">
        <f>($B$47*V28)</f>
        <v>1.6759999999999999</v>
      </c>
      <c r="H20" s="95"/>
      <c r="I20" s="137"/>
      <c r="J20" s="137"/>
      <c r="K20" s="137"/>
      <c r="L20" s="137"/>
      <c r="M20" s="137"/>
      <c r="N20" s="126"/>
      <c r="O20" s="144"/>
      <c r="P20" s="47" t="s">
        <v>1</v>
      </c>
      <c r="Q20" s="75"/>
      <c r="R20" s="75"/>
      <c r="S20" s="76"/>
      <c r="T20" s="144"/>
      <c r="U20" s="47" t="s">
        <v>1</v>
      </c>
      <c r="V20" s="75"/>
      <c r="W20" s="75"/>
      <c r="X20" s="76"/>
    </row>
    <row r="21" spans="1:25" ht="15.75" thickBot="1" x14ac:dyDescent="0.3">
      <c r="A21" s="60" t="s">
        <v>49</v>
      </c>
      <c r="B21" s="22">
        <v>16.416</v>
      </c>
      <c r="D21" s="154"/>
      <c r="E21" s="91" t="e">
        <f>E19/E20</f>
        <v>#VALUE!</v>
      </c>
      <c r="F21" s="91" t="e">
        <f>F19/F20</f>
        <v>#VALUE!</v>
      </c>
      <c r="G21" s="92">
        <f>G19/G20</f>
        <v>0.18959642004773269</v>
      </c>
      <c r="H21" s="95"/>
      <c r="I21" s="137"/>
      <c r="J21" s="137"/>
      <c r="K21" s="137"/>
      <c r="L21" s="137"/>
      <c r="M21" s="137"/>
      <c r="N21" s="126"/>
      <c r="O21" s="144"/>
      <c r="P21" s="47" t="s">
        <v>16</v>
      </c>
      <c r="Q21" s="48">
        <v>58800</v>
      </c>
      <c r="R21" s="48">
        <v>58800</v>
      </c>
      <c r="S21" s="49">
        <f t="shared" ref="S21:S28" si="3">(Q21-R21)/((1/2)*(Q21+R21))</f>
        <v>0</v>
      </c>
      <c r="T21" s="144"/>
      <c r="U21" s="47" t="s">
        <v>16</v>
      </c>
      <c r="V21" s="48">
        <v>2410000000</v>
      </c>
      <c r="W21" s="48">
        <v>2410000000</v>
      </c>
      <c r="X21" s="49">
        <f t="shared" ref="X21:X28" si="4">(V21-W21)/((1/2)*(V21+W21))</f>
        <v>0</v>
      </c>
    </row>
    <row r="22" spans="1:25" x14ac:dyDescent="0.25">
      <c r="A22" s="60" t="s">
        <v>50</v>
      </c>
      <c r="B22" s="22">
        <v>0.4</v>
      </c>
      <c r="D22" s="152" t="s">
        <v>9</v>
      </c>
      <c r="E22" s="9">
        <f>($B$37)*($B$35)*(Q30)*(U30)</f>
        <v>0</v>
      </c>
      <c r="F22" s="9">
        <f>($B$37)*($B$35)*($B$23)*(U30)</f>
        <v>0</v>
      </c>
      <c r="G22" s="33">
        <f>($B$37)*($B$35)*($B$36)*($B$41)*(W30)</f>
        <v>0</v>
      </c>
      <c r="H22" s="95"/>
      <c r="L22" s="28"/>
      <c r="M22" s="128"/>
      <c r="N22" s="126"/>
      <c r="O22" s="144"/>
      <c r="P22" s="47" t="s">
        <v>18</v>
      </c>
      <c r="Q22" s="48">
        <v>3.6000000000000002E-4</v>
      </c>
      <c r="R22" s="48">
        <v>3.6000000000000002E-4</v>
      </c>
      <c r="S22" s="49">
        <f t="shared" si="3"/>
        <v>0</v>
      </c>
      <c r="T22" s="144"/>
      <c r="U22" s="47" t="s">
        <v>18</v>
      </c>
      <c r="V22" s="48">
        <v>2.16E-5</v>
      </c>
      <c r="W22" s="48">
        <v>2.16E-5</v>
      </c>
      <c r="X22" s="49">
        <f t="shared" si="4"/>
        <v>0</v>
      </c>
    </row>
    <row r="23" spans="1:25" x14ac:dyDescent="0.25">
      <c r="A23" s="60" t="s">
        <v>101</v>
      </c>
      <c r="B23" s="77">
        <v>0.26</v>
      </c>
      <c r="D23" s="153"/>
      <c r="E23" s="14">
        <f>($B$40*T30)</f>
        <v>0</v>
      </c>
      <c r="F23" s="14">
        <f>($B$40*(T30))</f>
        <v>0</v>
      </c>
      <c r="G23" s="37">
        <f>($B$47*V30)</f>
        <v>0</v>
      </c>
      <c r="H23" s="95"/>
      <c r="L23" s="28"/>
      <c r="M23" s="128"/>
      <c r="N23" s="126"/>
      <c r="O23" s="144"/>
      <c r="P23" s="47" t="s">
        <v>19</v>
      </c>
      <c r="Q23" s="48">
        <v>3.8699999999999997E-4</v>
      </c>
      <c r="R23" s="48">
        <v>3.8699999999999997E-4</v>
      </c>
      <c r="S23" s="49">
        <f t="shared" si="3"/>
        <v>0</v>
      </c>
      <c r="T23" s="144"/>
      <c r="U23" s="47" t="s">
        <v>19</v>
      </c>
      <c r="V23" s="48">
        <v>4.8600000000000002E-5</v>
      </c>
      <c r="W23" s="48">
        <v>4.8600000000000002E-5</v>
      </c>
      <c r="X23" s="49">
        <f t="shared" si="4"/>
        <v>0</v>
      </c>
    </row>
    <row r="24" spans="1:25" ht="15.75" thickBot="1" x14ac:dyDescent="0.3">
      <c r="A24" s="60" t="s">
        <v>52</v>
      </c>
      <c r="B24" s="22" t="s">
        <v>61</v>
      </c>
      <c r="D24" s="154"/>
      <c r="E24" s="91" t="e">
        <f>E22/E23</f>
        <v>#DIV/0!</v>
      </c>
      <c r="F24" s="91" t="e">
        <f>F22/F23</f>
        <v>#DIV/0!</v>
      </c>
      <c r="G24" s="92" t="e">
        <f>G22/G23</f>
        <v>#DIV/0!</v>
      </c>
      <c r="H24" s="95"/>
      <c r="L24" s="28"/>
      <c r="O24" s="144"/>
      <c r="P24" s="47" t="s">
        <v>20</v>
      </c>
      <c r="Q24" s="48">
        <v>4.9099999999999998E-2</v>
      </c>
      <c r="R24" s="48">
        <v>4.9500000000000002E-2</v>
      </c>
      <c r="S24" s="49">
        <f t="shared" si="3"/>
        <v>-8.1135902636917754E-3</v>
      </c>
      <c r="T24" s="144"/>
      <c r="U24" s="47" t="s">
        <v>20</v>
      </c>
      <c r="V24" s="48">
        <v>4.9500000000000002E-2</v>
      </c>
      <c r="W24" s="48">
        <v>4.9500000000000002E-2</v>
      </c>
      <c r="X24" s="49">
        <f t="shared" si="4"/>
        <v>0</v>
      </c>
    </row>
    <row r="25" spans="1:25" x14ac:dyDescent="0.25">
      <c r="A25" s="60" t="s">
        <v>53</v>
      </c>
      <c r="B25" s="22" t="s">
        <v>101</v>
      </c>
      <c r="D25" s="152" t="s">
        <v>10</v>
      </c>
      <c r="E25" s="9" t="e">
        <f>($B$37)*($B$35)*(Q31)*(U31)</f>
        <v>#VALUE!</v>
      </c>
      <c r="F25" s="9">
        <f>($B$37)*($B$35)*($B$23)*(U31)</f>
        <v>0</v>
      </c>
      <c r="G25" s="33">
        <f>($B$37)*($B$35)*($B$36)*($B$41)*(W31)</f>
        <v>0</v>
      </c>
      <c r="H25" s="95"/>
      <c r="L25" s="28"/>
      <c r="O25" s="144"/>
      <c r="P25" s="47" t="s">
        <v>21</v>
      </c>
      <c r="Q25" s="48">
        <v>7.0999999999999994E-2</v>
      </c>
      <c r="R25" s="48">
        <v>7.0999999999999994E-2</v>
      </c>
      <c r="S25" s="49">
        <f t="shared" si="3"/>
        <v>0</v>
      </c>
      <c r="T25" s="144"/>
      <c r="U25" s="47" t="s">
        <v>21</v>
      </c>
      <c r="V25" s="48">
        <v>2.6499999999999999E-4</v>
      </c>
      <c r="W25" s="48">
        <v>2.6499999999999999E-4</v>
      </c>
      <c r="X25" s="49">
        <f t="shared" si="4"/>
        <v>0</v>
      </c>
    </row>
    <row r="26" spans="1:25" x14ac:dyDescent="0.25">
      <c r="A26" s="61" t="s">
        <v>54</v>
      </c>
      <c r="B26" s="22">
        <f>((B5)*(B6)*(B29))+((B8)*(B9)*(B30))</f>
        <v>1389710</v>
      </c>
      <c r="D26" s="153"/>
      <c r="E26" s="14">
        <f>($B$40*T31)</f>
        <v>0</v>
      </c>
      <c r="F26" s="14">
        <f>($B$40*(T31))</f>
        <v>0</v>
      </c>
      <c r="G26" s="37">
        <f>($B$47*V31)</f>
        <v>0</v>
      </c>
      <c r="H26" s="95"/>
      <c r="I26" s="122"/>
      <c r="J26" s="126"/>
      <c r="K26" s="126"/>
      <c r="L26" s="130"/>
      <c r="M26" s="126"/>
      <c r="N26" s="126"/>
      <c r="O26" s="144"/>
      <c r="P26" s="47" t="s">
        <v>22</v>
      </c>
      <c r="Q26" s="48">
        <v>2.5</v>
      </c>
      <c r="R26" s="48">
        <v>2.5</v>
      </c>
      <c r="S26" s="49">
        <f t="shared" si="3"/>
        <v>0</v>
      </c>
      <c r="T26" s="144"/>
      <c r="U26" s="47" t="s">
        <v>22</v>
      </c>
      <c r="V26" s="48">
        <v>8.32</v>
      </c>
      <c r="W26" s="48">
        <v>8.32</v>
      </c>
      <c r="X26" s="49">
        <f t="shared" si="4"/>
        <v>0</v>
      </c>
      <c r="Y26" s="122"/>
    </row>
    <row r="27" spans="1:25" ht="15.75" thickBot="1" x14ac:dyDescent="0.3">
      <c r="A27" s="61" t="s">
        <v>55</v>
      </c>
      <c r="B27" s="22">
        <f>((B5)*(B6)*(B31))+((B8)*(B9)*(B32))</f>
        <v>970970</v>
      </c>
      <c r="D27" s="154"/>
      <c r="E27" s="91" t="e">
        <f>E25/E26</f>
        <v>#VALUE!</v>
      </c>
      <c r="F27" s="91" t="e">
        <f>F25/F26</f>
        <v>#DIV/0!</v>
      </c>
      <c r="G27" s="92" t="e">
        <f>G25/G26</f>
        <v>#DIV/0!</v>
      </c>
      <c r="H27" s="95"/>
      <c r="I27" s="131"/>
      <c r="J27" s="131"/>
      <c r="K27" s="95"/>
      <c r="L27" s="95"/>
      <c r="M27" s="95"/>
      <c r="N27" s="95"/>
      <c r="O27" s="144"/>
      <c r="P27" s="47" t="s">
        <v>23</v>
      </c>
      <c r="Q27" s="48">
        <v>3.66</v>
      </c>
      <c r="R27" s="48">
        <v>3.64</v>
      </c>
      <c r="S27" s="49">
        <f t="shared" si="3"/>
        <v>5.4794520547945249E-3</v>
      </c>
      <c r="T27" s="144"/>
      <c r="U27" s="47" t="s">
        <v>23</v>
      </c>
      <c r="V27" s="48">
        <v>3.64</v>
      </c>
      <c r="W27" s="48">
        <v>3.64</v>
      </c>
      <c r="X27" s="49">
        <f t="shared" si="4"/>
        <v>0</v>
      </c>
      <c r="Y27" s="122"/>
    </row>
    <row r="28" spans="1:25" x14ac:dyDescent="0.25">
      <c r="A28" s="60" t="s">
        <v>56</v>
      </c>
      <c r="B28" s="22">
        <v>0.25</v>
      </c>
      <c r="I28" s="131"/>
      <c r="J28" s="131"/>
      <c r="K28" s="95"/>
      <c r="L28" s="95"/>
      <c r="M28" s="95"/>
      <c r="N28" s="95"/>
      <c r="O28" s="144"/>
      <c r="P28" s="47" t="s">
        <v>24</v>
      </c>
      <c r="Q28" s="48">
        <v>12.2</v>
      </c>
      <c r="R28" s="48">
        <v>12.2</v>
      </c>
      <c r="S28" s="49">
        <f t="shared" si="3"/>
        <v>0</v>
      </c>
      <c r="T28" s="144"/>
      <c r="U28" s="47" t="s">
        <v>24</v>
      </c>
      <c r="V28" s="48">
        <v>0.83799999999999997</v>
      </c>
      <c r="W28" s="48">
        <v>0.83599999999999997</v>
      </c>
      <c r="X28" s="49">
        <f t="shared" si="4"/>
        <v>2.3894862604540044E-3</v>
      </c>
      <c r="Y28" s="122"/>
    </row>
    <row r="29" spans="1:25" ht="15.75" thickBot="1" x14ac:dyDescent="0.3">
      <c r="A29" s="60" t="s">
        <v>57</v>
      </c>
      <c r="B29" s="22">
        <v>68.099999999999994</v>
      </c>
      <c r="D29" s="122"/>
      <c r="E29" s="131"/>
      <c r="F29" s="122"/>
      <c r="G29" s="122"/>
      <c r="I29" s="131"/>
      <c r="J29" s="131"/>
      <c r="K29" s="95"/>
      <c r="L29" s="95"/>
      <c r="M29" s="95"/>
      <c r="N29" s="95"/>
      <c r="O29" s="145"/>
      <c r="P29" s="18" t="s">
        <v>3</v>
      </c>
      <c r="Q29" s="19">
        <v>2.6</v>
      </c>
      <c r="R29" s="19">
        <v>2.61</v>
      </c>
      <c r="S29" s="43">
        <f>(Q29-R29)/((1/2)*(Q29+R29))</f>
        <v>-3.8387715930901295E-3</v>
      </c>
      <c r="T29" s="145"/>
      <c r="U29" s="18" t="s">
        <v>3</v>
      </c>
      <c r="V29" s="19">
        <v>0.27</v>
      </c>
      <c r="W29" s="19">
        <v>0.27</v>
      </c>
      <c r="X29" s="43">
        <f>(V29-W29)/((1/2)*(V29+W29))</f>
        <v>0</v>
      </c>
      <c r="Y29" s="122"/>
    </row>
    <row r="30" spans="1:25" x14ac:dyDescent="0.25">
      <c r="A30" s="60" t="s">
        <v>58</v>
      </c>
      <c r="B30" s="22">
        <v>178.1</v>
      </c>
      <c r="D30" s="136"/>
      <c r="E30" s="95"/>
      <c r="F30" s="122"/>
      <c r="G30" s="122"/>
      <c r="I30" s="131"/>
      <c r="J30" s="131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</row>
    <row r="31" spans="1:25" x14ac:dyDescent="0.25">
      <c r="A31" s="60" t="s">
        <v>59</v>
      </c>
      <c r="B31" s="22">
        <v>41.7</v>
      </c>
      <c r="D31" s="21"/>
      <c r="E31" s="13" t="s">
        <v>120</v>
      </c>
      <c r="F31" s="13" t="s">
        <v>11</v>
      </c>
      <c r="G31" s="79" t="s">
        <v>95</v>
      </c>
      <c r="H31" s="13" t="s">
        <v>100</v>
      </c>
      <c r="I31" s="60" t="s">
        <v>108</v>
      </c>
      <c r="J31" s="60" t="s">
        <v>97</v>
      </c>
      <c r="K31" s="60" t="s">
        <v>109</v>
      </c>
      <c r="L31" s="60" t="s">
        <v>61</v>
      </c>
      <c r="M31" s="60" t="s">
        <v>111</v>
      </c>
      <c r="N31" s="90" t="s">
        <v>112</v>
      </c>
      <c r="O31" s="90" t="s">
        <v>113</v>
      </c>
      <c r="P31" s="13" t="s">
        <v>115</v>
      </c>
      <c r="Q31" s="90" t="s">
        <v>114</v>
      </c>
      <c r="R31" s="13" t="s">
        <v>116</v>
      </c>
      <c r="S31" s="60" t="s">
        <v>99</v>
      </c>
      <c r="T31" s="95"/>
      <c r="U31" s="95"/>
      <c r="V31" s="95"/>
      <c r="W31" s="95"/>
      <c r="X31" s="95"/>
      <c r="Y31" s="122"/>
    </row>
    <row r="32" spans="1:25" x14ac:dyDescent="0.25">
      <c r="A32" s="60" t="s">
        <v>60</v>
      </c>
      <c r="B32" s="22">
        <v>126.2</v>
      </c>
      <c r="D32" s="22" t="s">
        <v>7</v>
      </c>
      <c r="E32" s="22" t="s">
        <v>126</v>
      </c>
      <c r="F32" s="14">
        <v>432</v>
      </c>
      <c r="G32" s="14">
        <f>0.693/F32</f>
        <v>1.6041666666666665E-3</v>
      </c>
      <c r="H32" s="14">
        <f>(1-EXP(-(G32)*$B$3))</f>
        <v>4.0850508285623199E-2</v>
      </c>
      <c r="I32" s="14" t="e">
        <f>'Isotope Specific Factors'!#REF!</f>
        <v>#REF!</v>
      </c>
      <c r="J32" s="14" t="e">
        <f>'Isotope Specific Factors'!#REF!</f>
        <v>#REF!</v>
      </c>
      <c r="K32" s="14">
        <f>'Isotope Specific Factors'!C8</f>
        <v>0</v>
      </c>
      <c r="L32" s="14">
        <v>1.91E-5</v>
      </c>
      <c r="M32" s="14">
        <f>(F32)*(365)</f>
        <v>157680</v>
      </c>
      <c r="N32" s="14">
        <f>0.693/(($B$2)-(M32))</f>
        <v>-4.3949771689776442E-6</v>
      </c>
      <c r="O32" s="14">
        <f>$B$39-(N32)</f>
        <v>3.1394977168977642E-5</v>
      </c>
      <c r="P32" s="14">
        <f>(1-EXP(-(O32)*$B$43))</f>
        <v>0.29091154499578509</v>
      </c>
      <c r="Q32" s="14">
        <f>(N32)+(0.693/$B$46)</f>
        <v>4.949560502283102E-2</v>
      </c>
      <c r="R32" s="14">
        <f>(1-EXP(-(Q32)*$B$45))</f>
        <v>0.94868315927152969</v>
      </c>
      <c r="S32" s="14" t="e">
        <f>'Isotope Specific Factors'!#REF!</f>
        <v>#REF!</v>
      </c>
      <c r="T32" s="122"/>
      <c r="U32" s="122"/>
      <c r="V32" s="122"/>
      <c r="W32" s="122"/>
      <c r="X32" s="122"/>
      <c r="Y32" s="122"/>
    </row>
    <row r="33" spans="1:46" x14ac:dyDescent="0.25">
      <c r="A33" s="60" t="s">
        <v>79</v>
      </c>
      <c r="B33" s="22">
        <v>1</v>
      </c>
      <c r="D33" s="22" t="s">
        <v>8</v>
      </c>
      <c r="E33" s="22" t="s">
        <v>126</v>
      </c>
      <c r="F33" s="14">
        <v>5.27</v>
      </c>
      <c r="G33" s="14">
        <f t="shared" ref="G33:G36" si="5">0.693/F33</f>
        <v>0.13149905123339659</v>
      </c>
      <c r="H33" s="14">
        <f t="shared" ref="H33:H36" si="6">(1-EXP(-(G33)*$B$3))</f>
        <v>0.96725402849894515</v>
      </c>
      <c r="I33" s="14" t="e">
        <f>'Isotope Specific Factors'!#REF!</f>
        <v>#REF!</v>
      </c>
      <c r="J33" s="14" t="e">
        <f>'Isotope Specific Factors'!#REF!</f>
        <v>#REF!</v>
      </c>
      <c r="K33" s="14">
        <f>'Isotope Specific Factors'!C9</f>
        <v>0</v>
      </c>
      <c r="L33" s="14">
        <v>7.4000000000000003E-3</v>
      </c>
      <c r="M33" s="14">
        <f t="shared" ref="M33:M36" si="7">(F33)*(365)</f>
        <v>1923.55</v>
      </c>
      <c r="N33" s="14">
        <f t="shared" ref="N33:N36" si="8">0.693/(($B$2)-(M33))</f>
        <v>-3.6027137342947745E-4</v>
      </c>
      <c r="O33" s="14">
        <f t="shared" ref="O33:O36" si="9">$B$39-(N33)</f>
        <v>3.8727137342947746E-4</v>
      </c>
      <c r="P33" s="14">
        <f t="shared" ref="P33:P36" si="10">(1-EXP(-(O33)*$B$43))</f>
        <v>0.98560136025554701</v>
      </c>
      <c r="Q33" s="14">
        <f t="shared" ref="Q33:Q36" si="11">(N33)+(0.693/$B$46)</f>
        <v>4.9139728626570518E-2</v>
      </c>
      <c r="R33" s="14">
        <f t="shared" ref="R33:R36" si="12">(1-EXP(-(Q33)*$B$45))</f>
        <v>0.94757562990356481</v>
      </c>
      <c r="S33" s="14" t="e">
        <f>'Isotope Specific Factors'!#REF!</f>
        <v>#REF!</v>
      </c>
    </row>
    <row r="34" spans="1:46" x14ac:dyDescent="0.25">
      <c r="A34" s="60" t="s">
        <v>80</v>
      </c>
      <c r="B34" s="64">
        <v>1</v>
      </c>
      <c r="D34" s="22" t="s">
        <v>9</v>
      </c>
      <c r="E34" s="22" t="s">
        <v>126</v>
      </c>
      <c r="F34" s="14">
        <v>12.3</v>
      </c>
      <c r="G34" s="14">
        <f t="shared" si="5"/>
        <v>5.6341463414634141E-2</v>
      </c>
      <c r="H34" s="14">
        <f t="shared" si="6"/>
        <v>0.76889382656142935</v>
      </c>
      <c r="I34" s="14" t="e">
        <f>'Isotope Specific Factors'!#REF!</f>
        <v>#REF!</v>
      </c>
      <c r="J34" s="14" t="e">
        <f>'Isotope Specific Factors'!#REF!</f>
        <v>#REF!</v>
      </c>
      <c r="K34" s="14">
        <f>'Isotope Specific Factors'!C11</f>
        <v>1.04E-10</v>
      </c>
      <c r="L34" s="14">
        <v>4.8</v>
      </c>
      <c r="M34" s="14">
        <f t="shared" si="7"/>
        <v>4489.5</v>
      </c>
      <c r="N34" s="14">
        <f t="shared" si="8"/>
        <v>-1.5436017377310618E-4</v>
      </c>
      <c r="O34" s="14">
        <f t="shared" si="9"/>
        <v>1.8136017377310619E-4</v>
      </c>
      <c r="P34" s="14">
        <f t="shared" si="10"/>
        <v>0.86274213592932203</v>
      </c>
      <c r="Q34" s="14">
        <f t="shared" si="11"/>
        <v>4.9345639826226889E-2</v>
      </c>
      <c r="R34" s="14">
        <f t="shared" si="12"/>
        <v>0.94821933125257341</v>
      </c>
      <c r="S34" s="14" t="e">
        <f>'Isotope Specific Factors'!#REF!</f>
        <v>#REF!</v>
      </c>
    </row>
    <row r="35" spans="1:46" x14ac:dyDescent="0.25">
      <c r="A35" s="60" t="s">
        <v>81</v>
      </c>
      <c r="B35" s="64">
        <v>0.25</v>
      </c>
      <c r="D35" s="22" t="s">
        <v>9</v>
      </c>
      <c r="E35" s="22" t="s">
        <v>65</v>
      </c>
      <c r="F35" s="14">
        <v>12.3</v>
      </c>
      <c r="G35" s="14">
        <f t="shared" si="5"/>
        <v>5.6341463414634141E-2</v>
      </c>
      <c r="H35" s="14">
        <f t="shared" si="6"/>
        <v>0.76889382656142935</v>
      </c>
      <c r="I35" s="89" t="e">
        <f>'Isotope Specific Factors'!#REF!</f>
        <v>#REF!</v>
      </c>
      <c r="J35" s="14" t="e">
        <f>'Isotope Specific Factors'!#REF!</f>
        <v>#REF!</v>
      </c>
      <c r="K35" s="14" t="str">
        <f>'Isotope Specific Factors'!C10</f>
        <v>SF(w)</v>
      </c>
      <c r="L35" s="14">
        <v>4.8</v>
      </c>
      <c r="M35" s="14">
        <f t="shared" si="7"/>
        <v>4489.5</v>
      </c>
      <c r="N35" s="14">
        <f t="shared" si="8"/>
        <v>-1.5436017377310618E-4</v>
      </c>
      <c r="O35" s="14">
        <f t="shared" si="9"/>
        <v>1.8136017377310619E-4</v>
      </c>
      <c r="P35" s="14">
        <f t="shared" si="10"/>
        <v>0.86274213592932203</v>
      </c>
      <c r="Q35" s="14">
        <f t="shared" si="11"/>
        <v>4.9345639826226889E-2</v>
      </c>
      <c r="R35" s="14">
        <f t="shared" si="12"/>
        <v>0.94821933125257341</v>
      </c>
      <c r="S35" s="14" t="e">
        <f>'Isotope Specific Factors'!#REF!</f>
        <v>#REF!</v>
      </c>
    </row>
    <row r="36" spans="1:46" x14ac:dyDescent="0.25">
      <c r="A36" s="60" t="s">
        <v>82</v>
      </c>
      <c r="B36" s="64">
        <v>0.42</v>
      </c>
      <c r="D36" s="22" t="s">
        <v>10</v>
      </c>
      <c r="E36" s="22" t="s">
        <v>126</v>
      </c>
      <c r="F36" s="14">
        <v>87.7</v>
      </c>
      <c r="G36" s="14">
        <f t="shared" si="5"/>
        <v>7.9019384264538192E-3</v>
      </c>
      <c r="H36" s="14">
        <f t="shared" si="6"/>
        <v>0.18571951737977155</v>
      </c>
      <c r="I36" s="14" t="e">
        <f>'Isotope Specific Factors'!#REF!</f>
        <v>#REF!</v>
      </c>
      <c r="J36" s="14" t="e">
        <f>'Isotope Specific Factors'!#REF!</f>
        <v>#REF!</v>
      </c>
      <c r="K36" s="14">
        <f>'Isotope Specific Factors'!C12</f>
        <v>1.58E-11</v>
      </c>
      <c r="L36" s="14">
        <v>8.2700000000000004E-6</v>
      </c>
      <c r="M36" s="14">
        <f t="shared" si="7"/>
        <v>32010.5</v>
      </c>
      <c r="N36" s="14">
        <f t="shared" si="8"/>
        <v>-2.1649146374522396E-5</v>
      </c>
      <c r="O36" s="14">
        <f t="shared" si="9"/>
        <v>4.8649146374522395E-5</v>
      </c>
      <c r="P36" s="14">
        <f t="shared" si="10"/>
        <v>0.4129869060247382</v>
      </c>
      <c r="Q36" s="14">
        <f t="shared" si="11"/>
        <v>4.9478350853625473E-2</v>
      </c>
      <c r="R36" s="14">
        <f t="shared" si="12"/>
        <v>0.94863000599562697</v>
      </c>
      <c r="S36" s="14" t="e">
        <f>'Isotope Specific Factors'!#REF!</f>
        <v>#REF!</v>
      </c>
    </row>
    <row r="37" spans="1:46" x14ac:dyDescent="0.25">
      <c r="A37" s="60" t="s">
        <v>83</v>
      </c>
      <c r="B37" s="22">
        <v>3.62</v>
      </c>
      <c r="D37" s="136"/>
      <c r="E37" s="95"/>
      <c r="F37" s="122"/>
      <c r="G37" s="131"/>
      <c r="H37" s="126"/>
      <c r="I37" s="95"/>
      <c r="J37" s="95"/>
      <c r="K37" s="134"/>
      <c r="L37" s="122"/>
    </row>
    <row r="38" spans="1:46" ht="15" customHeight="1" x14ac:dyDescent="0.25">
      <c r="A38" s="60" t="s">
        <v>84</v>
      </c>
      <c r="B38" s="64">
        <v>0.5</v>
      </c>
      <c r="D38" s="136"/>
      <c r="E38" s="135"/>
      <c r="F38" s="122"/>
      <c r="G38" s="122"/>
      <c r="H38" s="122"/>
      <c r="I38" s="122"/>
      <c r="J38" s="122"/>
      <c r="K38" s="122"/>
      <c r="L38" s="122"/>
    </row>
    <row r="39" spans="1:46" x14ac:dyDescent="0.25">
      <c r="A39" s="60" t="s">
        <v>110</v>
      </c>
      <c r="B39" s="64">
        <v>2.6999999999999999E-5</v>
      </c>
      <c r="D39" s="136"/>
      <c r="E39" s="95"/>
      <c r="F39" s="122"/>
      <c r="G39" s="122"/>
    </row>
    <row r="40" spans="1:46" x14ac:dyDescent="0.25">
      <c r="A40" s="60" t="s">
        <v>86</v>
      </c>
      <c r="B40" s="64">
        <v>240</v>
      </c>
      <c r="D40" s="136"/>
      <c r="E40" s="95"/>
      <c r="F40" s="122"/>
      <c r="G40" s="122"/>
    </row>
    <row r="41" spans="1:46" x14ac:dyDescent="0.25">
      <c r="A41" s="60" t="s">
        <v>87</v>
      </c>
      <c r="B41" s="64">
        <v>1</v>
      </c>
      <c r="D41" s="136"/>
      <c r="E41" s="135"/>
      <c r="F41" s="122"/>
      <c r="G41" s="122"/>
    </row>
    <row r="42" spans="1:46" x14ac:dyDescent="0.25">
      <c r="A42" s="60" t="s">
        <v>88</v>
      </c>
      <c r="B42" s="64">
        <v>0.71</v>
      </c>
    </row>
    <row r="43" spans="1:46" x14ac:dyDescent="0.25">
      <c r="A43" s="60" t="s">
        <v>89</v>
      </c>
      <c r="B43" s="64">
        <v>10950</v>
      </c>
    </row>
    <row r="44" spans="1:46" x14ac:dyDescent="0.25">
      <c r="A44" s="60" t="s">
        <v>90</v>
      </c>
      <c r="B44" s="64">
        <v>0.54</v>
      </c>
    </row>
    <row r="45" spans="1:46" x14ac:dyDescent="0.25">
      <c r="A45" s="60" t="s">
        <v>91</v>
      </c>
      <c r="B45" s="64">
        <v>60</v>
      </c>
      <c r="P45" s="122"/>
      <c r="Q45" s="122"/>
      <c r="R45" s="126"/>
      <c r="S45" s="126"/>
      <c r="T45" s="127"/>
      <c r="U45" s="122"/>
      <c r="V45" s="122"/>
      <c r="W45" s="126"/>
      <c r="X45" s="126"/>
      <c r="Y45" s="127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</row>
    <row r="46" spans="1:46" x14ac:dyDescent="0.25">
      <c r="A46" s="60" t="s">
        <v>92</v>
      </c>
      <c r="B46" s="64">
        <v>14</v>
      </c>
      <c r="P46" s="128"/>
      <c r="Q46" s="126"/>
      <c r="R46" s="95"/>
      <c r="S46" s="95"/>
      <c r="T46" s="134"/>
      <c r="U46" s="128"/>
      <c r="V46" s="126"/>
      <c r="W46" s="95"/>
      <c r="X46" s="95"/>
      <c r="Y46" s="134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</row>
    <row r="47" spans="1:46" x14ac:dyDescent="0.25">
      <c r="A47" s="60" t="s">
        <v>93</v>
      </c>
      <c r="B47" s="64">
        <v>2</v>
      </c>
      <c r="P47" s="128"/>
      <c r="Q47" s="126"/>
      <c r="R47" s="95"/>
      <c r="S47" s="95"/>
      <c r="T47" s="134"/>
      <c r="U47" s="128"/>
      <c r="V47" s="126"/>
      <c r="W47" s="95"/>
      <c r="X47" s="95"/>
      <c r="Y47" s="134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</row>
    <row r="48" spans="1:46" x14ac:dyDescent="0.25">
      <c r="A48" s="60" t="s">
        <v>94</v>
      </c>
      <c r="B48" s="64">
        <v>54</v>
      </c>
      <c r="P48" s="128"/>
      <c r="Q48" s="126"/>
      <c r="R48" s="95"/>
      <c r="S48" s="95"/>
      <c r="T48" s="134"/>
      <c r="U48" s="128"/>
      <c r="V48" s="126"/>
      <c r="W48" s="95"/>
      <c r="X48" s="95"/>
      <c r="Y48" s="134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</row>
    <row r="49" spans="1:46" x14ac:dyDescent="0.25">
      <c r="A49" s="60" t="s">
        <v>117</v>
      </c>
      <c r="B49" s="64">
        <v>1</v>
      </c>
      <c r="P49" s="128"/>
      <c r="Q49" s="126"/>
      <c r="R49" s="95"/>
      <c r="S49" s="95"/>
      <c r="T49" s="134"/>
      <c r="U49" s="128"/>
      <c r="V49" s="126"/>
      <c r="W49" s="95"/>
      <c r="X49" s="95"/>
      <c r="Y49" s="134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</row>
    <row r="50" spans="1:46" x14ac:dyDescent="0.25">
      <c r="P50" s="128"/>
      <c r="Q50" s="126"/>
      <c r="R50" s="95"/>
      <c r="S50" s="95"/>
      <c r="T50" s="134"/>
      <c r="U50" s="128"/>
      <c r="V50" s="126"/>
      <c r="W50" s="95"/>
      <c r="X50" s="95"/>
      <c r="Y50" s="134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</row>
    <row r="51" spans="1:46" x14ac:dyDescent="0.25">
      <c r="P51" s="128"/>
      <c r="Q51" s="126"/>
      <c r="R51" s="95"/>
      <c r="S51" s="95"/>
      <c r="T51" s="134"/>
      <c r="U51" s="128"/>
      <c r="V51" s="126"/>
      <c r="W51" s="95"/>
      <c r="X51" s="95"/>
      <c r="Y51" s="134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</row>
    <row r="52" spans="1:46" x14ac:dyDescent="0.25">
      <c r="P52" s="128"/>
      <c r="Q52" s="126"/>
      <c r="R52" s="95"/>
      <c r="S52" s="95"/>
      <c r="T52" s="134"/>
      <c r="U52" s="128"/>
      <c r="V52" s="126"/>
      <c r="W52" s="95"/>
      <c r="X52" s="95"/>
      <c r="Y52" s="134"/>
      <c r="Z52" s="122"/>
      <c r="AA52" s="122"/>
      <c r="AB52" s="122"/>
      <c r="AC52" s="122"/>
      <c r="AD52" s="122"/>
      <c r="AE52" s="126"/>
      <c r="AF52" s="126"/>
      <c r="AG52" s="130"/>
      <c r="AH52" s="126"/>
      <c r="AI52" s="126"/>
      <c r="AJ52" s="126"/>
      <c r="AK52" s="126"/>
      <c r="AL52" s="126"/>
      <c r="AM52" s="126"/>
      <c r="AN52" s="130"/>
      <c r="AO52" s="130"/>
      <c r="AP52" s="126"/>
      <c r="AQ52" s="130"/>
      <c r="AR52" s="126"/>
      <c r="AS52" s="126"/>
      <c r="AT52" s="122"/>
    </row>
    <row r="53" spans="1:46" x14ac:dyDescent="0.25">
      <c r="P53" s="128"/>
      <c r="Q53" s="126"/>
      <c r="R53" s="95"/>
      <c r="S53" s="95"/>
      <c r="T53" s="134"/>
      <c r="U53" s="128"/>
      <c r="V53" s="126"/>
      <c r="W53" s="95"/>
      <c r="X53" s="95"/>
      <c r="Y53" s="134"/>
      <c r="Z53" s="122"/>
      <c r="AA53" s="122"/>
      <c r="AB53" s="122"/>
      <c r="AC53" s="122"/>
      <c r="AD53" s="131"/>
      <c r="AE53" s="131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122"/>
    </row>
    <row r="54" spans="1:46" x14ac:dyDescent="0.25">
      <c r="P54" s="128"/>
      <c r="Q54" s="126"/>
      <c r="R54" s="95"/>
      <c r="S54" s="95"/>
      <c r="T54" s="134"/>
      <c r="U54" s="128"/>
      <c r="V54" s="126"/>
      <c r="W54" s="95"/>
      <c r="X54" s="95"/>
      <c r="Y54" s="134"/>
      <c r="Z54" s="122"/>
      <c r="AA54" s="122"/>
      <c r="AB54" s="122"/>
      <c r="AC54" s="122"/>
      <c r="AD54" s="131"/>
      <c r="AE54" s="131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122"/>
    </row>
    <row r="55" spans="1:46" x14ac:dyDescent="0.25">
      <c r="P55" s="128"/>
      <c r="Q55" s="126"/>
      <c r="R55" s="95"/>
      <c r="S55" s="95"/>
      <c r="T55" s="134"/>
      <c r="U55" s="128"/>
      <c r="V55" s="126"/>
      <c r="W55" s="95"/>
      <c r="X55" s="95"/>
      <c r="Y55" s="134"/>
      <c r="Z55" s="122"/>
      <c r="AA55" s="122"/>
      <c r="AB55" s="122"/>
      <c r="AC55" s="122"/>
      <c r="AD55" s="131"/>
      <c r="AE55" s="131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122"/>
    </row>
    <row r="56" spans="1:46" x14ac:dyDescent="0.25">
      <c r="P56" s="128"/>
      <c r="Q56" s="126"/>
      <c r="R56" s="95"/>
      <c r="S56" s="95"/>
      <c r="T56" s="134"/>
      <c r="U56" s="128"/>
      <c r="V56" s="126"/>
      <c r="W56" s="95"/>
      <c r="X56" s="95"/>
      <c r="Y56" s="134"/>
      <c r="Z56" s="122"/>
      <c r="AA56" s="122"/>
      <c r="AB56" s="122"/>
      <c r="AC56" s="122"/>
      <c r="AD56" s="131"/>
      <c r="AE56" s="131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122"/>
    </row>
    <row r="57" spans="1:46" x14ac:dyDescent="0.25">
      <c r="P57" s="128"/>
      <c r="Q57" s="126"/>
      <c r="R57" s="95"/>
      <c r="S57" s="95"/>
      <c r="T57" s="134"/>
      <c r="U57" s="128"/>
      <c r="V57" s="126"/>
      <c r="W57" s="95"/>
      <c r="X57" s="95"/>
      <c r="Y57" s="134"/>
      <c r="Z57" s="122"/>
      <c r="AA57" s="122"/>
      <c r="AB57" s="122"/>
      <c r="AC57" s="122"/>
      <c r="AD57" s="131"/>
      <c r="AE57" s="131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122"/>
    </row>
    <row r="58" spans="1:46" x14ac:dyDescent="0.25">
      <c r="P58" s="128"/>
      <c r="Q58" s="126"/>
      <c r="R58" s="95"/>
      <c r="S58" s="95"/>
      <c r="T58" s="134"/>
      <c r="U58" s="128"/>
      <c r="V58" s="126"/>
      <c r="W58" s="95"/>
      <c r="X58" s="95"/>
      <c r="Y58" s="134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</row>
    <row r="59" spans="1:46" x14ac:dyDescent="0.25">
      <c r="P59" s="128"/>
      <c r="Q59" s="126"/>
      <c r="R59" s="95"/>
      <c r="S59" s="95"/>
      <c r="T59" s="134"/>
      <c r="U59" s="128"/>
      <c r="V59" s="126"/>
      <c r="W59" s="95"/>
      <c r="X59" s="95"/>
      <c r="Y59" s="134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</row>
    <row r="60" spans="1:46" x14ac:dyDescent="0.25">
      <c r="P60" s="128"/>
      <c r="Q60" s="126"/>
      <c r="R60" s="95"/>
      <c r="S60" s="95"/>
      <c r="T60" s="134"/>
      <c r="U60" s="128"/>
      <c r="V60" s="126"/>
      <c r="W60" s="95"/>
      <c r="X60" s="95"/>
      <c r="Y60" s="134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</row>
    <row r="61" spans="1:46" x14ac:dyDescent="0.25">
      <c r="P61" s="128"/>
      <c r="Q61" s="126"/>
      <c r="R61" s="95"/>
      <c r="S61" s="95"/>
      <c r="T61" s="134"/>
      <c r="U61" s="128"/>
      <c r="V61" s="126"/>
      <c r="W61" s="95"/>
      <c r="X61" s="95"/>
      <c r="Y61" s="134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</row>
    <row r="62" spans="1:46" x14ac:dyDescent="0.25">
      <c r="P62" s="128"/>
      <c r="Q62" s="126"/>
      <c r="R62" s="95"/>
      <c r="S62" s="95"/>
      <c r="T62" s="134"/>
      <c r="U62" s="128"/>
      <c r="V62" s="126"/>
      <c r="W62" s="95"/>
      <c r="X62" s="95"/>
      <c r="Y62" s="134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</row>
    <row r="63" spans="1:46" x14ac:dyDescent="0.25">
      <c r="P63" s="128"/>
      <c r="Q63" s="126"/>
      <c r="R63" s="95"/>
      <c r="S63" s="95"/>
      <c r="T63" s="134"/>
      <c r="U63" s="128"/>
      <c r="V63" s="126"/>
      <c r="W63" s="95"/>
      <c r="X63" s="95"/>
      <c r="Y63" s="134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</row>
    <row r="64" spans="1:46" x14ac:dyDescent="0.25">
      <c r="P64" s="128"/>
      <c r="Q64" s="126"/>
      <c r="R64" s="95"/>
      <c r="S64" s="95"/>
      <c r="T64" s="134"/>
      <c r="U64" s="128"/>
      <c r="V64" s="126"/>
      <c r="W64" s="95"/>
      <c r="X64" s="95"/>
      <c r="Y64" s="134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</row>
    <row r="65" spans="16:46" x14ac:dyDescent="0.25">
      <c r="P65" s="128"/>
      <c r="Q65" s="126"/>
      <c r="R65" s="95"/>
      <c r="S65" s="95"/>
      <c r="T65" s="134"/>
      <c r="U65" s="128"/>
      <c r="V65" s="126"/>
      <c r="W65" s="95"/>
      <c r="X65" s="95"/>
      <c r="Y65" s="134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</row>
    <row r="66" spans="16:46" x14ac:dyDescent="0.25">
      <c r="P66" s="128"/>
      <c r="Q66" s="126"/>
      <c r="R66" s="95"/>
      <c r="S66" s="95"/>
      <c r="T66" s="134"/>
      <c r="U66" s="128"/>
      <c r="V66" s="126"/>
      <c r="W66" s="95"/>
      <c r="X66" s="95"/>
      <c r="Y66" s="134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</row>
    <row r="67" spans="16:46" x14ac:dyDescent="0.25">
      <c r="P67" s="128"/>
      <c r="Q67" s="126"/>
      <c r="R67" s="95"/>
      <c r="S67" s="95"/>
      <c r="T67" s="134"/>
      <c r="U67" s="128"/>
      <c r="V67" s="126"/>
      <c r="W67" s="95"/>
      <c r="X67" s="95"/>
      <c r="Y67" s="134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</row>
  </sheetData>
  <mergeCells count="16">
    <mergeCell ref="K2:K4"/>
    <mergeCell ref="K5:K7"/>
    <mergeCell ref="K8:K10"/>
    <mergeCell ref="K11:K13"/>
    <mergeCell ref="O8:O18"/>
    <mergeCell ref="D2:D4"/>
    <mergeCell ref="D5:D7"/>
    <mergeCell ref="D8:D10"/>
    <mergeCell ref="D11:D13"/>
    <mergeCell ref="D16:D18"/>
    <mergeCell ref="T8:T18"/>
    <mergeCell ref="O19:O29"/>
    <mergeCell ref="T19:T29"/>
    <mergeCell ref="D22:D24"/>
    <mergeCell ref="D25:D27"/>
    <mergeCell ref="D19:D21"/>
  </mergeCells>
  <conditionalFormatting sqref="Q2:Q14 Q20:Q23 K15:K19 V2:V14 V20:V23 P15:P19 Y46:Y67 T46:T67 K37">
    <cfRule type="cellIs" dxfId="17" priority="17" operator="notEqual">
      <formula>0</formula>
    </cfRule>
  </conditionalFormatting>
  <conditionalFormatting sqref="Q2:Q14 Q20:Q23 K15:K19 V2:V14 V20:V23 P15:P19 Y46:Y67 T46:T67 K37">
    <cfRule type="cellIs" dxfId="16" priority="13" operator="lessThan">
      <formula>-0.01</formula>
    </cfRule>
  </conditionalFormatting>
  <conditionalFormatting sqref="M16:M19">
    <cfRule type="cellIs" dxfId="15" priority="4" operator="lessThan">
      <formula>-0.01</formula>
    </cfRule>
  </conditionalFormatting>
  <conditionalFormatting sqref="M16:M19">
    <cfRule type="cellIs" dxfId="14" priority="3" operator="notEqual">
      <formula>0</formula>
    </cfRule>
  </conditionalFormatting>
  <conditionalFormatting sqref="S8:S29 X8:X29">
    <cfRule type="cellIs" dxfId="13" priority="2" operator="notEqual">
      <formula>0</formula>
    </cfRule>
  </conditionalFormatting>
  <conditionalFormatting sqref="S8:S29 X8:X29">
    <cfRule type="cellIs" dxfId="12" priority="1" operator="lessThan">
      <formula>-0.01</formula>
    </cfRule>
  </conditionalFormatting>
  <pageMargins left="0.7" right="0.7" top="0.75" bottom="0.75" header="0.3" footer="0.3"/>
  <pageSetup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55" zoomScaleNormal="55" workbookViewId="0">
      <selection activeCell="W16" sqref="W16"/>
    </sheetView>
  </sheetViews>
  <sheetFormatPr defaultRowHeight="15" x14ac:dyDescent="0.25"/>
  <cols>
    <col min="2" max="2" width="10" bestFit="1" customWidth="1"/>
    <col min="7" max="8" width="10.7109375" bestFit="1" customWidth="1"/>
    <col min="13" max="14" width="10.7109375" bestFit="1" customWidth="1"/>
  </cols>
  <sheetData>
    <row r="1" spans="1:17" ht="15.75" thickBot="1" x14ac:dyDescent="0.3">
      <c r="A1" s="13" t="s">
        <v>27</v>
      </c>
      <c r="B1" s="13" t="s">
        <v>38</v>
      </c>
      <c r="F1" s="2" t="s">
        <v>0</v>
      </c>
      <c r="G1" s="3" t="s">
        <v>1</v>
      </c>
      <c r="H1" s="3" t="s">
        <v>2</v>
      </c>
      <c r="I1" s="3" t="s">
        <v>13</v>
      </c>
      <c r="J1" s="3"/>
      <c r="K1" s="3" t="s">
        <v>3</v>
      </c>
      <c r="M1" s="4"/>
      <c r="N1" s="4"/>
      <c r="O1" s="3" t="s">
        <v>4</v>
      </c>
      <c r="P1" s="3" t="s">
        <v>5</v>
      </c>
      <c r="Q1" s="5" t="s">
        <v>6</v>
      </c>
    </row>
    <row r="2" spans="1:17" x14ac:dyDescent="0.25">
      <c r="A2" s="13" t="s">
        <v>29</v>
      </c>
      <c r="B2" s="11">
        <v>1E-3</v>
      </c>
      <c r="E2" s="146" t="s">
        <v>7</v>
      </c>
      <c r="F2" s="6">
        <f>($B$2)*($B$3)*($G$26)</f>
        <v>6.4166666666666663E-5</v>
      </c>
      <c r="G2" s="6">
        <f>($B$2)*($B$3)*($G$26)</f>
        <v>6.4166666666666663E-5</v>
      </c>
      <c r="H2" s="6">
        <f>($B$2)*($B$3)*($G$26)</f>
        <v>6.4166666666666663E-5</v>
      </c>
      <c r="I2" s="24">
        <f>$B$2</f>
        <v>1E-3</v>
      </c>
      <c r="J2" s="24">
        <f>I4/((P26)+($B$24))</f>
        <v>20.203355771668853</v>
      </c>
      <c r="K2" s="7">
        <f>1</f>
        <v>1</v>
      </c>
      <c r="M2" s="143" t="s">
        <v>7</v>
      </c>
      <c r="N2" s="8" t="s">
        <v>0</v>
      </c>
      <c r="O2" s="9">
        <v>4160</v>
      </c>
      <c r="P2" s="9">
        <v>4160</v>
      </c>
      <c r="Q2" s="10">
        <f>(O2-P2)/((1/2)*(O2+P2))</f>
        <v>0</v>
      </c>
    </row>
    <row r="3" spans="1:17" x14ac:dyDescent="0.25">
      <c r="A3" s="13" t="s">
        <v>30</v>
      </c>
      <c r="B3" s="22">
        <v>40</v>
      </c>
      <c r="E3" s="147"/>
      <c r="F3" s="11">
        <f>(H26)*(I26)*($B$4)*(1/1000)</f>
        <v>1.5438388287609899E-8</v>
      </c>
      <c r="G3" s="11">
        <f>(H26)*(J26)*($B$11)*(1/L26)*(1000)</f>
        <v>7.3979021585493791E-10</v>
      </c>
      <c r="H3" s="11">
        <f>(H26)*(M26)*($B$17)*(1/365)*($B$18)*((($B$19)*(1/24)*($N$26))+(($B$21)*(1/24)*($B$22)))*(O26)</f>
        <v>2.260167316497468E-9</v>
      </c>
      <c r="I3" s="25">
        <f>(Q26)*($B$27+$B$28)*($B$29)</f>
        <v>1.3024799999999999E-4</v>
      </c>
      <c r="J3" s="25">
        <f>($B$3*(G26))/(H26)</f>
        <v>1.0324264232162026</v>
      </c>
      <c r="K3" s="12">
        <f>(1/F4)+(1/G4)+(1/H4)+(1/J4)</f>
        <v>4.8229486596932526E-2</v>
      </c>
      <c r="M3" s="144"/>
      <c r="N3" s="13" t="s">
        <v>1</v>
      </c>
      <c r="O3" s="14">
        <v>86700</v>
      </c>
      <c r="P3" s="14">
        <v>86700</v>
      </c>
      <c r="Q3" s="15">
        <f t="shared" ref="Q3:Q6" si="0">(O3-P3)/((1/2)*(O3+P3))</f>
        <v>0</v>
      </c>
    </row>
    <row r="4" spans="1:17" ht="15.75" thickBot="1" x14ac:dyDescent="0.3">
      <c r="A4" s="61" t="s">
        <v>31</v>
      </c>
      <c r="B4" s="22">
        <f>((B5)*(B6)*(B7))+((B8)*(B9)*(B10))</f>
        <v>1350000</v>
      </c>
      <c r="E4" s="148"/>
      <c r="F4" s="16">
        <f>F2/F3</f>
        <v>4156.3060515950174</v>
      </c>
      <c r="G4" s="16">
        <f t="shared" ref="G4:K4" si="1">G2/G3</f>
        <v>86736.300766714674</v>
      </c>
      <c r="H4" s="16">
        <f t="shared" si="1"/>
        <v>28390.228545603582</v>
      </c>
      <c r="I4" s="53">
        <f t="shared" si="1"/>
        <v>7.6776610773294029</v>
      </c>
      <c r="J4" s="26">
        <f>J2*J3</f>
        <v>20.858478336308497</v>
      </c>
      <c r="K4" s="17">
        <f t="shared" si="1"/>
        <v>20.734203711461479</v>
      </c>
      <c r="M4" s="144"/>
      <c r="N4" s="13" t="s">
        <v>2</v>
      </c>
      <c r="O4" s="14">
        <v>28400</v>
      </c>
      <c r="P4" s="14">
        <v>28500</v>
      </c>
      <c r="Q4" s="15">
        <f t="shared" si="0"/>
        <v>-3.5149384885764497E-3</v>
      </c>
    </row>
    <row r="5" spans="1:17" x14ac:dyDescent="0.25">
      <c r="A5" s="13" t="s">
        <v>32</v>
      </c>
      <c r="B5" s="22">
        <v>300</v>
      </c>
      <c r="E5" s="146" t="s">
        <v>8</v>
      </c>
      <c r="F5" s="6">
        <f>($B$2)*($B$3)*($G$27)</f>
        <v>5.2599620493358635E-3</v>
      </c>
      <c r="G5" s="6">
        <f>($B$2)*($B$3)*($G$27)</f>
        <v>5.2599620493358635E-3</v>
      </c>
      <c r="H5" s="6">
        <f>($B$2)*($B$3)*($G$27)</f>
        <v>5.2599620493358635E-3</v>
      </c>
      <c r="I5" s="24">
        <f>$B$2</f>
        <v>1E-3</v>
      </c>
      <c r="J5" s="24">
        <f>I7/((P27)+($B$24))</f>
        <v>119.0883438586946</v>
      </c>
      <c r="K5" s="7">
        <f>1</f>
        <v>1</v>
      </c>
      <c r="M5" s="144"/>
      <c r="N5" s="3" t="s">
        <v>12</v>
      </c>
      <c r="O5" s="23">
        <v>20.9</v>
      </c>
      <c r="P5" s="23">
        <v>20.9</v>
      </c>
      <c r="Q5" s="15">
        <f t="shared" si="0"/>
        <v>0</v>
      </c>
    </row>
    <row r="6" spans="1:17" ht="15.75" thickBot="1" x14ac:dyDescent="0.3">
      <c r="A6" s="13" t="s">
        <v>33</v>
      </c>
      <c r="B6" s="22">
        <v>10</v>
      </c>
      <c r="E6" s="147"/>
      <c r="F6" s="11">
        <f>(H27)*(I27)*($B$4)*(1/1000)</f>
        <v>5.1167769360405592E-8</v>
      </c>
      <c r="G6" s="11">
        <f>(H27)*(J27)*($B$11)*(1/L27)*(1000)</f>
        <v>3.1723126209136504E-11</v>
      </c>
      <c r="H6" s="11">
        <f>(H27)*(M27)*($B$17)*(1/365)*($B$18)*((($B$19)*(1/24)*($N$27))+(($B$21)*(1/24)*($B$22)))*(O27)</f>
        <v>1.5969433231753656E-5</v>
      </c>
      <c r="I6" s="25">
        <f>(Q27)*($B$27+$B$28)*($B$29)</f>
        <v>2.16756E-5</v>
      </c>
      <c r="J6" s="25">
        <f>($B$3*(G27))/(H27)</f>
        <v>5.287432917037477</v>
      </c>
      <c r="K6" s="12">
        <f>(1/F7)+(1/G7)+(1/H7)+(1/J7)</f>
        <v>4.6338989985397223E-3</v>
      </c>
      <c r="M6" s="145"/>
      <c r="N6" s="18" t="s">
        <v>3</v>
      </c>
      <c r="O6" s="19">
        <v>20.7</v>
      </c>
      <c r="P6" s="19">
        <v>20.7</v>
      </c>
      <c r="Q6" s="20">
        <f t="shared" si="0"/>
        <v>0</v>
      </c>
    </row>
    <row r="7" spans="1:17" ht="15.75" customHeight="1" thickBot="1" x14ac:dyDescent="0.3">
      <c r="A7" s="13" t="s">
        <v>34</v>
      </c>
      <c r="B7" s="22">
        <v>180</v>
      </c>
      <c r="E7" s="148"/>
      <c r="F7" s="16">
        <f>F5/F6</f>
        <v>102798.34581583505</v>
      </c>
      <c r="G7" s="16">
        <f t="shared" ref="G7:I7" si="2">G5/G6</f>
        <v>165808439.39084899</v>
      </c>
      <c r="H7" s="16">
        <f t="shared" si="2"/>
        <v>329.3768772505303</v>
      </c>
      <c r="I7" s="53">
        <f t="shared" si="2"/>
        <v>46.134824410858293</v>
      </c>
      <c r="J7" s="26">
        <f>J5*J6</f>
        <v>629.67162935393969</v>
      </c>
      <c r="K7" s="17">
        <f t="shared" ref="K7" si="3">K5/K6</f>
        <v>215.80099184620326</v>
      </c>
      <c r="M7" s="143" t="s">
        <v>8</v>
      </c>
      <c r="N7" s="8" t="s">
        <v>0</v>
      </c>
      <c r="O7" s="9">
        <v>103000</v>
      </c>
      <c r="P7" s="9">
        <v>102000</v>
      </c>
      <c r="Q7" s="10">
        <f>(O7-P7)/((1/2)*(O7+P7))</f>
        <v>9.7560975609756097E-3</v>
      </c>
    </row>
    <row r="8" spans="1:17" x14ac:dyDescent="0.25">
      <c r="A8" s="13" t="s">
        <v>35</v>
      </c>
      <c r="B8" s="22">
        <v>300</v>
      </c>
      <c r="E8" s="146" t="s">
        <v>9</v>
      </c>
      <c r="F8" s="69"/>
      <c r="G8" s="6">
        <f>($B$2)*($B$3)*(G28)</f>
        <v>2.2536585365853655E-3</v>
      </c>
      <c r="H8" s="69"/>
      <c r="I8" s="24">
        <f>$B$2</f>
        <v>1E-3</v>
      </c>
      <c r="J8" s="24">
        <f>I10/((P28)+($B$24))</f>
        <v>1379.2452064057006</v>
      </c>
      <c r="K8" s="7">
        <f>1</f>
        <v>1</v>
      </c>
      <c r="M8" s="144"/>
      <c r="N8" s="13" t="s">
        <v>1</v>
      </c>
      <c r="O8" s="14">
        <v>166000000</v>
      </c>
      <c r="P8" s="14">
        <v>165000000</v>
      </c>
      <c r="Q8" s="15">
        <f t="shared" ref="Q8:Q11" si="4">(O8-P8)/((1/2)*(O8+P8))</f>
        <v>6.0422960725075529E-3</v>
      </c>
    </row>
    <row r="9" spans="1:17" x14ac:dyDescent="0.25">
      <c r="A9" s="13" t="s">
        <v>36</v>
      </c>
      <c r="B9" s="22">
        <v>30</v>
      </c>
      <c r="E9" s="147"/>
      <c r="F9" s="70"/>
      <c r="G9" s="11">
        <f>(H28)*(J28)*($B$11)*(1/L28)*(1000)</f>
        <v>8.6953123223614044E-6</v>
      </c>
      <c r="H9" s="70"/>
      <c r="I9" s="25">
        <f>(Q28)*($B$27+$B$28)*($B$29)</f>
        <v>1.3996799999999997E-7</v>
      </c>
      <c r="J9" s="25">
        <f>($B$3*(G28))/(H28)</f>
        <v>2.518094526416355</v>
      </c>
      <c r="K9" s="12">
        <f>(1/G10)+(1/J10)</f>
        <v>4.1462392955330264E-3</v>
      </c>
      <c r="M9" s="144"/>
      <c r="N9" s="13" t="s">
        <v>2</v>
      </c>
      <c r="O9" s="14">
        <v>329</v>
      </c>
      <c r="P9" s="14">
        <v>328</v>
      </c>
      <c r="Q9" s="15">
        <f t="shared" si="4"/>
        <v>3.0441400304414001E-3</v>
      </c>
    </row>
    <row r="10" spans="1:17" ht="15.75" thickBot="1" x14ac:dyDescent="0.3">
      <c r="A10" s="13" t="s">
        <v>37</v>
      </c>
      <c r="B10" s="22">
        <v>90</v>
      </c>
      <c r="E10" s="148"/>
      <c r="F10" s="71"/>
      <c r="G10" s="16">
        <f t="shared" ref="G10:K10" si="5">G8/G9</f>
        <v>259.18086125437009</v>
      </c>
      <c r="H10" s="71"/>
      <c r="I10" s="53">
        <f t="shared" ref="I10" si="6">I8/I9</f>
        <v>7144.4901691815285</v>
      </c>
      <c r="J10" s="26">
        <f>J8*J9</f>
        <v>3473.0698048361905</v>
      </c>
      <c r="K10" s="17">
        <f t="shared" si="5"/>
        <v>241.18241344086326</v>
      </c>
      <c r="M10" s="144"/>
      <c r="N10" s="3" t="s">
        <v>12</v>
      </c>
      <c r="O10" s="23">
        <v>630</v>
      </c>
      <c r="P10" s="23">
        <v>627</v>
      </c>
      <c r="Q10" s="15">
        <f t="shared" si="4"/>
        <v>4.7732696897374704E-3</v>
      </c>
    </row>
    <row r="11" spans="1:17" ht="15.75" thickBot="1" x14ac:dyDescent="0.3">
      <c r="A11" s="61" t="s">
        <v>39</v>
      </c>
      <c r="B11" s="22">
        <f>((B5)*(B6)*(B13)*(1/24)*(B14))+((B8)*(B9)*(B15)*(1/24)*(B16))</f>
        <v>195000</v>
      </c>
      <c r="E11" s="146" t="s">
        <v>10</v>
      </c>
      <c r="F11" s="6">
        <f>($B$2)*($B$3)*($G$29)</f>
        <v>3.1607753705815278E-4</v>
      </c>
      <c r="G11" s="6">
        <f>($B$2)*($B$3)*($G$29)</f>
        <v>3.1607753705815278E-4</v>
      </c>
      <c r="H11" s="6">
        <f>($B$2)*($B$3)*($G$29)</f>
        <v>3.1607753705815278E-4</v>
      </c>
      <c r="I11" s="24">
        <f>$B$2</f>
        <v>1E-3</v>
      </c>
      <c r="J11" s="24">
        <f>I13/((P29)+($B$24))</f>
        <v>16.019685374793983</v>
      </c>
      <c r="K11" s="7">
        <f>1</f>
        <v>1</v>
      </c>
      <c r="M11" s="145"/>
      <c r="N11" s="18" t="s">
        <v>3</v>
      </c>
      <c r="O11" s="19">
        <v>216</v>
      </c>
      <c r="P11" s="19">
        <v>215</v>
      </c>
      <c r="Q11" s="20">
        <f t="shared" si="4"/>
        <v>4.6403712296983757E-3</v>
      </c>
    </row>
    <row r="12" spans="1:17" ht="15" customHeight="1" x14ac:dyDescent="0.25">
      <c r="A12" s="61" t="s">
        <v>40</v>
      </c>
      <c r="B12" s="11">
        <f>(B42)*((3600)/((0.036)*(1-B37)*((B34/B36)^3)*(B41)))</f>
        <v>617614873.80391562</v>
      </c>
      <c r="E12" s="147"/>
      <c r="F12" s="11">
        <f>(H29)*(I29)*($B$4)*(1/1000)</f>
        <v>8.2315362067631884E-8</v>
      </c>
      <c r="G12" s="11">
        <f>(H29)*(J29)*($B$11)*(1/L29)*(1000)</f>
        <v>4.466341989806956E-9</v>
      </c>
      <c r="H12" s="11">
        <f>(H29)*(M29)*($B$17)*(1/365)*($B$18)*((($B$19)*(1/24)*($N$29))+(($B$21)*(1/24)*($B$22)))*(O29)</f>
        <v>4.0710246445533974E-11</v>
      </c>
      <c r="I12" s="25">
        <f>(Q29)*($B$27+$B$28)*($B$29)</f>
        <v>1.6426799999999999E-4</v>
      </c>
      <c r="J12" s="25">
        <f>($B$3*(G29))/(H29)</f>
        <v>1.166350356359138</v>
      </c>
      <c r="K12" s="12">
        <f>(1/F13)+(1/G13)+(1/H13)+(1/J13)</f>
        <v>5.3794796325765296E-2</v>
      </c>
      <c r="M12" s="143" t="s">
        <v>9</v>
      </c>
      <c r="N12" s="8" t="s">
        <v>0</v>
      </c>
      <c r="O12" s="65"/>
      <c r="P12" s="65"/>
      <c r="Q12" s="66"/>
    </row>
    <row r="13" spans="1:17" ht="15.75" thickBot="1" x14ac:dyDescent="0.3">
      <c r="A13" s="60" t="s">
        <v>41</v>
      </c>
      <c r="B13" s="22">
        <v>14</v>
      </c>
      <c r="E13" s="148"/>
      <c r="F13" s="16">
        <f>F11/F12</f>
        <v>3839.8365641453097</v>
      </c>
      <c r="G13" s="16">
        <f t="shared" ref="G13:K13" si="7">G11/G12</f>
        <v>70768.771800167116</v>
      </c>
      <c r="H13" s="16">
        <f t="shared" si="7"/>
        <v>7764078.2027942585</v>
      </c>
      <c r="I13" s="53">
        <f t="shared" si="7"/>
        <v>6.087612925219763</v>
      </c>
      <c r="J13" s="26">
        <f>J11*J12</f>
        <v>18.684565745652232</v>
      </c>
      <c r="K13" s="17">
        <f t="shared" si="7"/>
        <v>18.589158585977298</v>
      </c>
      <c r="M13" s="144"/>
      <c r="N13" s="13" t="s">
        <v>1</v>
      </c>
      <c r="O13" s="14">
        <v>259</v>
      </c>
      <c r="P13" s="14">
        <v>259</v>
      </c>
      <c r="Q13" s="15">
        <f t="shared" ref="Q13:Q16" si="8">(O13-P13)/((1/2)*(O13+P13))</f>
        <v>0</v>
      </c>
    </row>
    <row r="14" spans="1:17" x14ac:dyDescent="0.25">
      <c r="A14" s="60" t="s">
        <v>42</v>
      </c>
      <c r="B14" s="22">
        <v>15</v>
      </c>
      <c r="M14" s="144"/>
      <c r="N14" s="13" t="s">
        <v>2</v>
      </c>
      <c r="O14" s="67"/>
      <c r="P14" s="67"/>
      <c r="Q14" s="68"/>
    </row>
    <row r="15" spans="1:17" x14ac:dyDescent="0.25">
      <c r="A15" s="60" t="s">
        <v>43</v>
      </c>
      <c r="B15" s="22">
        <v>18</v>
      </c>
      <c r="M15" s="144"/>
      <c r="N15" s="3" t="s">
        <v>12</v>
      </c>
      <c r="O15" s="23">
        <v>3470</v>
      </c>
      <c r="P15" s="23">
        <v>3470</v>
      </c>
      <c r="Q15" s="15">
        <f t="shared" ref="Q15" si="9">(O15-P15)/((1/2)*(O15+P15))</f>
        <v>0</v>
      </c>
    </row>
    <row r="16" spans="1:17" ht="15.75" thickBot="1" x14ac:dyDescent="0.3">
      <c r="A16" s="60" t="s">
        <v>44</v>
      </c>
      <c r="B16" s="22">
        <v>25</v>
      </c>
      <c r="I16" s="27"/>
      <c r="J16" s="27"/>
      <c r="M16" s="145"/>
      <c r="N16" s="18" t="s">
        <v>3</v>
      </c>
      <c r="O16" s="19">
        <v>241</v>
      </c>
      <c r="P16" s="19">
        <v>241</v>
      </c>
      <c r="Q16" s="20">
        <f t="shared" si="8"/>
        <v>0</v>
      </c>
    </row>
    <row r="17" spans="1:18" ht="15" customHeight="1" x14ac:dyDescent="0.25">
      <c r="A17" s="60" t="s">
        <v>45</v>
      </c>
      <c r="B17" s="22">
        <v>300</v>
      </c>
      <c r="I17" s="28"/>
      <c r="J17" s="28"/>
      <c r="M17" s="143" t="s">
        <v>10</v>
      </c>
      <c r="N17" s="8" t="s">
        <v>0</v>
      </c>
      <c r="O17" s="9">
        <v>3840</v>
      </c>
      <c r="P17" s="9">
        <v>3840</v>
      </c>
      <c r="Q17" s="10">
        <f>(O17-P17)/((1/2)*(O17+P17))</f>
        <v>0</v>
      </c>
    </row>
    <row r="18" spans="1:18" x14ac:dyDescent="0.25">
      <c r="A18" s="60" t="s">
        <v>46</v>
      </c>
      <c r="B18" s="22">
        <v>40</v>
      </c>
      <c r="I18" s="28"/>
      <c r="J18" s="28"/>
      <c r="M18" s="144"/>
      <c r="N18" s="13" t="s">
        <v>1</v>
      </c>
      <c r="O18" s="14">
        <v>70800</v>
      </c>
      <c r="P18" s="14">
        <v>70800</v>
      </c>
      <c r="Q18" s="15">
        <f t="shared" ref="Q18:Q21" si="10">(O18-P18)/((1/2)*(O18+P18))</f>
        <v>0</v>
      </c>
    </row>
    <row r="19" spans="1:18" x14ac:dyDescent="0.25">
      <c r="A19" s="60" t="s">
        <v>47</v>
      </c>
      <c r="B19" s="22">
        <v>2.3540000000000001</v>
      </c>
      <c r="I19" s="28"/>
      <c r="J19" s="28"/>
      <c r="M19" s="144"/>
      <c r="N19" s="13" t="s">
        <v>2</v>
      </c>
      <c r="O19" s="14">
        <v>7760000</v>
      </c>
      <c r="P19" s="14">
        <v>7790000</v>
      </c>
      <c r="Q19" s="15">
        <f t="shared" si="10"/>
        <v>-3.8585209003215433E-3</v>
      </c>
    </row>
    <row r="20" spans="1:18" x14ac:dyDescent="0.25">
      <c r="A20" s="60" t="s">
        <v>48</v>
      </c>
      <c r="B20" s="22" t="s">
        <v>71</v>
      </c>
      <c r="I20" s="28"/>
      <c r="J20" s="28"/>
      <c r="M20" s="144"/>
      <c r="N20" s="3" t="s">
        <v>12</v>
      </c>
      <c r="O20" s="23">
        <v>18.7</v>
      </c>
      <c r="P20" s="23">
        <v>18.7</v>
      </c>
      <c r="Q20" s="15">
        <f t="shared" si="10"/>
        <v>0</v>
      </c>
      <c r="R20" s="59"/>
    </row>
    <row r="21" spans="1:18" ht="15.75" thickBot="1" x14ac:dyDescent="0.3">
      <c r="A21" s="60" t="s">
        <v>49</v>
      </c>
      <c r="B21" s="22">
        <v>14.752000000000001</v>
      </c>
      <c r="M21" s="145"/>
      <c r="N21" s="18" t="s">
        <v>3</v>
      </c>
      <c r="O21" s="19">
        <v>18.600000000000001</v>
      </c>
      <c r="P21" s="19">
        <v>18.600000000000001</v>
      </c>
      <c r="Q21" s="20">
        <f t="shared" si="10"/>
        <v>0</v>
      </c>
    </row>
    <row r="22" spans="1:18" x14ac:dyDescent="0.25">
      <c r="A22" s="60" t="s">
        <v>50</v>
      </c>
      <c r="B22" s="22">
        <v>0.6</v>
      </c>
    </row>
    <row r="23" spans="1:18" x14ac:dyDescent="0.25">
      <c r="A23" s="60" t="s">
        <v>51</v>
      </c>
      <c r="B23" s="22" t="s">
        <v>72</v>
      </c>
    </row>
    <row r="24" spans="1:18" x14ac:dyDescent="0.25">
      <c r="A24" s="60" t="s">
        <v>101</v>
      </c>
      <c r="B24" s="22">
        <v>0.38</v>
      </c>
    </row>
    <row r="25" spans="1:18" x14ac:dyDescent="0.25">
      <c r="A25" s="60" t="s">
        <v>52</v>
      </c>
      <c r="B25" s="22" t="s">
        <v>61</v>
      </c>
      <c r="D25" s="21"/>
      <c r="E25" s="13" t="s">
        <v>120</v>
      </c>
      <c r="F25" s="13" t="s">
        <v>11</v>
      </c>
      <c r="G25" s="79" t="s">
        <v>95</v>
      </c>
      <c r="H25" s="13" t="s">
        <v>100</v>
      </c>
      <c r="I25" s="60" t="s">
        <v>96</v>
      </c>
      <c r="J25" s="60" t="s">
        <v>97</v>
      </c>
      <c r="K25" s="60" t="s">
        <v>104</v>
      </c>
      <c r="L25" s="60" t="s">
        <v>40</v>
      </c>
      <c r="M25" s="60" t="s">
        <v>98</v>
      </c>
      <c r="N25" s="60" t="s">
        <v>118</v>
      </c>
      <c r="O25" s="60" t="s">
        <v>51</v>
      </c>
      <c r="P25" s="60" t="s">
        <v>61</v>
      </c>
      <c r="Q25" s="60" t="s">
        <v>99</v>
      </c>
    </row>
    <row r="26" spans="1:18" x14ac:dyDescent="0.25">
      <c r="A26" s="60" t="s">
        <v>53</v>
      </c>
      <c r="B26" s="22" t="s">
        <v>101</v>
      </c>
      <c r="D26" s="22" t="s">
        <v>7</v>
      </c>
      <c r="E26" s="22" t="s">
        <v>126</v>
      </c>
      <c r="F26" s="14">
        <v>432</v>
      </c>
      <c r="G26" s="14">
        <f>0.693/F26</f>
        <v>1.6041666666666665E-3</v>
      </c>
      <c r="H26" s="14">
        <f>(1-EXP(-(G26)*$B$3))</f>
        <v>6.2151321608735488E-2</v>
      </c>
      <c r="I26" s="14">
        <f>'Isotope Specific Factors'!E11</f>
        <v>1.8400000000000001E-10</v>
      </c>
      <c r="J26" s="14">
        <f>'Isotope Specific Factors'!C19</f>
        <v>3.77E-8</v>
      </c>
      <c r="K26" s="81">
        <f>($B$38)*EXP((((LN($B$35))-($B$39))^2)/($B$40))</f>
        <v>49.038399413186255</v>
      </c>
      <c r="L26" s="14">
        <f>(K26)*((3600)/((0.036)*(1-$B$37)*(($B$34/$B$36)^3)*($B$41)))</f>
        <v>617614873.80391562</v>
      </c>
      <c r="M26" s="14">
        <f>'Isotope Specific Factors'!D3</f>
        <v>2.77E-8</v>
      </c>
      <c r="N26" s="14">
        <v>9.5999999999999992E-3</v>
      </c>
      <c r="O26" s="14">
        <v>0.108</v>
      </c>
      <c r="P26" s="14">
        <v>1.91E-5</v>
      </c>
      <c r="Q26" s="14">
        <f>'Isotope Specific Factors'!D11</f>
        <v>1.34E-10</v>
      </c>
    </row>
    <row r="27" spans="1:18" x14ac:dyDescent="0.25">
      <c r="A27" s="61" t="s">
        <v>54</v>
      </c>
      <c r="B27" s="22">
        <f>((B5)*(B6)*(B30))+((B8)*(B9)*(B31))</f>
        <v>1890000</v>
      </c>
      <c r="D27" s="22" t="s">
        <v>8</v>
      </c>
      <c r="E27" s="22" t="s">
        <v>126</v>
      </c>
      <c r="F27" s="14">
        <v>5.27</v>
      </c>
      <c r="G27" s="14">
        <f>0.693/F27</f>
        <v>0.13149905123339659</v>
      </c>
      <c r="H27" s="14">
        <f t="shared" ref="H27:H29" si="11">(1-EXP(-(G27)*$B$3))</f>
        <v>0.99480449811228899</v>
      </c>
      <c r="I27" s="14">
        <f>'Isotope Specific Factors'!E12</f>
        <v>3.8100000000000003E-11</v>
      </c>
      <c r="J27" s="14">
        <f>'Isotope Specific Factors'!C24</f>
        <v>1.01E-10</v>
      </c>
      <c r="K27" s="81">
        <f>($B$38)*EXP((((LN($B$35))-($B$39))^2)/($B$40))</f>
        <v>49.038399413186255</v>
      </c>
      <c r="L27" s="14">
        <f>(K27)*((3600)/((0.036)*(1-$B$37)*(($B$34/$B$36)^3)*($B$41)))</f>
        <v>617614873.80391562</v>
      </c>
      <c r="M27" s="14">
        <f>'Isotope Specific Factors'!D4</f>
        <v>1.24E-5</v>
      </c>
      <c r="N27" s="14">
        <v>0.32400000000000001</v>
      </c>
      <c r="O27" s="14">
        <v>9.8299999999999998E-2</v>
      </c>
      <c r="P27" s="14">
        <v>7.4000000000000003E-3</v>
      </c>
      <c r="Q27" s="14">
        <f>'Isotope Specific Factors'!D12</f>
        <v>2.23E-11</v>
      </c>
    </row>
    <row r="28" spans="1:18" x14ac:dyDescent="0.25">
      <c r="A28" s="61" t="s">
        <v>55</v>
      </c>
      <c r="B28" s="22">
        <f>((B5)*(B6)*(B32))+((B8)*(B9)*(B33))</f>
        <v>1350000</v>
      </c>
      <c r="D28" s="22" t="s">
        <v>9</v>
      </c>
      <c r="E28" s="22" t="s">
        <v>126</v>
      </c>
      <c r="F28" s="14">
        <v>12.3</v>
      </c>
      <c r="G28" s="14">
        <f>0.693/F28</f>
        <v>5.6341463414634141E-2</v>
      </c>
      <c r="H28" s="14">
        <f t="shared" si="11"/>
        <v>0.89498567783818528</v>
      </c>
      <c r="I28" s="80"/>
      <c r="J28" s="14">
        <f>'Isotope Specific Factors'!C27</f>
        <v>8.4700000000000003E-13</v>
      </c>
      <c r="K28" s="83"/>
      <c r="L28" s="84">
        <v>17</v>
      </c>
      <c r="M28" s="80"/>
      <c r="N28" s="80"/>
      <c r="O28" s="14">
        <v>0.9</v>
      </c>
      <c r="P28" s="14">
        <v>4.8</v>
      </c>
      <c r="Q28" s="14">
        <f>'Isotope Specific Factors'!D14</f>
        <v>1.4399999999999999E-13</v>
      </c>
    </row>
    <row r="29" spans="1:18" x14ac:dyDescent="0.25">
      <c r="A29" s="60" t="s">
        <v>56</v>
      </c>
      <c r="B29" s="22">
        <v>0.3</v>
      </c>
      <c r="D29" s="22" t="s">
        <v>10</v>
      </c>
      <c r="E29" s="22" t="s">
        <v>126</v>
      </c>
      <c r="F29" s="14">
        <v>87.7</v>
      </c>
      <c r="G29" s="14">
        <f>0.693/F29</f>
        <v>7.9019384264538192E-3</v>
      </c>
      <c r="H29" s="14">
        <f t="shared" si="11"/>
        <v>0.27099707676586626</v>
      </c>
      <c r="I29" s="14">
        <f>'Isotope Specific Factors'!E15</f>
        <v>2.25E-10</v>
      </c>
      <c r="J29" s="14">
        <f>'Isotope Specific Factors'!C31</f>
        <v>5.2199999999999998E-8</v>
      </c>
      <c r="K29" s="81">
        <f>($B$38)*EXP((((LN($B$35))-($B$39))^2)/($B$40))</f>
        <v>49.038399413186255</v>
      </c>
      <c r="L29" s="14">
        <f>(K29)*((3600)/((0.036)*(1-$B$37)*(($B$34/$B$36)^3)*($B$41)))</f>
        <v>617614873.80391562</v>
      </c>
      <c r="M29" s="14">
        <f>'Isotope Specific Factors'!D7</f>
        <v>6.9200000000000004E-11</v>
      </c>
      <c r="N29" s="14">
        <v>8.7200000000000005E-4</v>
      </c>
      <c r="O29" s="14">
        <v>0.17899999999999999</v>
      </c>
      <c r="P29" s="14">
        <v>8.2700000000000004E-6</v>
      </c>
      <c r="Q29" s="14">
        <f>'Isotope Specific Factors'!D15</f>
        <v>1.6900000000000001E-10</v>
      </c>
    </row>
    <row r="30" spans="1:18" x14ac:dyDescent="0.25">
      <c r="A30" s="60" t="s">
        <v>57</v>
      </c>
      <c r="B30" s="22">
        <v>75</v>
      </c>
    </row>
    <row r="31" spans="1:18" x14ac:dyDescent="0.25">
      <c r="A31" s="60" t="s">
        <v>58</v>
      </c>
      <c r="B31" s="22">
        <v>185</v>
      </c>
    </row>
    <row r="32" spans="1:18" x14ac:dyDescent="0.25">
      <c r="A32" s="60" t="s">
        <v>59</v>
      </c>
      <c r="B32" s="22">
        <v>48</v>
      </c>
    </row>
    <row r="33" spans="1:2" x14ac:dyDescent="0.25">
      <c r="A33" s="60" t="s">
        <v>60</v>
      </c>
      <c r="B33" s="22">
        <v>134</v>
      </c>
    </row>
    <row r="34" spans="1:2" x14ac:dyDescent="0.25">
      <c r="A34" s="60" t="s">
        <v>62</v>
      </c>
      <c r="B34" s="22">
        <v>5.75</v>
      </c>
    </row>
    <row r="35" spans="1:2" x14ac:dyDescent="0.25">
      <c r="A35" s="60" t="s">
        <v>63</v>
      </c>
      <c r="B35" s="22">
        <v>10</v>
      </c>
    </row>
    <row r="36" spans="1:2" x14ac:dyDescent="0.25">
      <c r="A36" s="60" t="s">
        <v>64</v>
      </c>
      <c r="B36" s="22">
        <v>12.5</v>
      </c>
    </row>
    <row r="37" spans="1:2" x14ac:dyDescent="0.25">
      <c r="A37" s="60" t="s">
        <v>65</v>
      </c>
      <c r="B37" s="22">
        <v>0.8</v>
      </c>
    </row>
    <row r="38" spans="1:2" x14ac:dyDescent="0.25">
      <c r="A38" s="60" t="s">
        <v>66</v>
      </c>
      <c r="B38" s="62">
        <v>14.834899999999999</v>
      </c>
    </row>
    <row r="39" spans="1:2" x14ac:dyDescent="0.25">
      <c r="A39" s="60" t="s">
        <v>67</v>
      </c>
      <c r="B39" s="62">
        <v>17.925899999999999</v>
      </c>
    </row>
    <row r="40" spans="1:2" x14ac:dyDescent="0.25">
      <c r="A40" s="60" t="s">
        <v>70</v>
      </c>
      <c r="B40" s="62">
        <v>204.1516</v>
      </c>
    </row>
    <row r="41" spans="1:2" x14ac:dyDescent="0.25">
      <c r="A41" s="60" t="s">
        <v>68</v>
      </c>
      <c r="B41" s="62">
        <v>0.40786369510784198</v>
      </c>
    </row>
    <row r="42" spans="1:2" x14ac:dyDescent="0.25">
      <c r="A42" s="60" t="s">
        <v>69</v>
      </c>
      <c r="B42" s="62">
        <f>(B38)*EXP((((LN(B35))-(B39))^2)/(B40))</f>
        <v>49.038399413186255</v>
      </c>
    </row>
    <row r="43" spans="1:2" x14ac:dyDescent="0.25">
      <c r="A43" s="124"/>
      <c r="B43" s="138"/>
    </row>
    <row r="44" spans="1:2" x14ac:dyDescent="0.25">
      <c r="A44" s="126"/>
      <c r="B44" s="139"/>
    </row>
    <row r="45" spans="1:2" x14ac:dyDescent="0.25">
      <c r="A45" s="126"/>
      <c r="B45" s="139"/>
    </row>
  </sheetData>
  <mergeCells count="8">
    <mergeCell ref="M17:M21"/>
    <mergeCell ref="E2:E4"/>
    <mergeCell ref="M2:M6"/>
    <mergeCell ref="E5:E7"/>
    <mergeCell ref="M7:M11"/>
    <mergeCell ref="E8:E10"/>
    <mergeCell ref="E11:E13"/>
    <mergeCell ref="M12:M16"/>
  </mergeCells>
  <conditionalFormatting sqref="Q20">
    <cfRule type="cellIs" dxfId="11" priority="1" operator="lessThan">
      <formula>-0.01</formula>
    </cfRule>
    <cfRule type="cellIs" dxfId="10" priority="2" operator="notEqual">
      <formula>0</formula>
    </cfRule>
  </conditionalFormatting>
  <conditionalFormatting sqref="Q2:Q9 Q11:Q14 Q16:Q19 Q21">
    <cfRule type="cellIs" dxfId="9" priority="7" operator="lessThan">
      <formula>-0.01</formula>
    </cfRule>
    <cfRule type="cellIs" dxfId="8" priority="8" operator="notEqual">
      <formula>0</formula>
    </cfRule>
  </conditionalFormatting>
  <conditionalFormatting sqref="Q10">
    <cfRule type="cellIs" dxfId="7" priority="5" operator="lessThan">
      <formula>-0.01</formula>
    </cfRule>
    <cfRule type="cellIs" dxfId="6" priority="6" operator="notEqual">
      <formula>0</formula>
    </cfRule>
  </conditionalFormatting>
  <conditionalFormatting sqref="Q15">
    <cfRule type="cellIs" dxfId="5" priority="3" operator="lessThan">
      <formula>-0.01</formula>
    </cfRule>
    <cfRule type="cellIs" dxfId="4" priority="4" operator="notEqual">
      <formula>0</formula>
    </cfRule>
  </conditionalFormatting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0" zoomScaleNormal="70" workbookViewId="0">
      <selection activeCell="L1" sqref="L1:L26"/>
    </sheetView>
  </sheetViews>
  <sheetFormatPr defaultRowHeight="15" x14ac:dyDescent="0.25"/>
  <cols>
    <col min="6" max="6" width="10.7109375" bestFit="1" customWidth="1"/>
  </cols>
  <sheetData>
    <row r="1" spans="1:16" x14ac:dyDescent="0.25">
      <c r="D1" s="21"/>
      <c r="E1" s="151" t="s">
        <v>14</v>
      </c>
      <c r="F1" s="151"/>
      <c r="G1" s="151"/>
      <c r="H1" s="151" t="s">
        <v>15</v>
      </c>
      <c r="I1" s="151"/>
      <c r="J1" s="151"/>
    </row>
    <row r="2" spans="1:16" ht="26.25" thickBot="1" x14ac:dyDescent="0.3">
      <c r="A2" s="13" t="s">
        <v>27</v>
      </c>
      <c r="B2" s="13" t="s">
        <v>38</v>
      </c>
      <c r="D2" s="4"/>
      <c r="E2" s="2" t="s">
        <v>1</v>
      </c>
      <c r="F2" s="2" t="s">
        <v>2</v>
      </c>
      <c r="G2" s="29" t="s">
        <v>3</v>
      </c>
      <c r="H2" s="30" t="s">
        <v>1</v>
      </c>
      <c r="I2" s="2" t="s">
        <v>2</v>
      </c>
      <c r="J2" s="2" t="s">
        <v>3</v>
      </c>
      <c r="L2" s="4"/>
      <c r="M2" s="4"/>
      <c r="N2" s="3" t="s">
        <v>4</v>
      </c>
      <c r="O2" s="3" t="s">
        <v>5</v>
      </c>
      <c r="P2" s="5" t="s">
        <v>6</v>
      </c>
    </row>
    <row r="3" spans="1:16" x14ac:dyDescent="0.25">
      <c r="A3" s="13" t="s">
        <v>29</v>
      </c>
      <c r="B3" s="11">
        <v>1.9999999999999999E-6</v>
      </c>
      <c r="D3" s="152" t="s">
        <v>7</v>
      </c>
      <c r="E3" s="9">
        <f>($B$3)*(E22)*($B$4)</f>
        <v>2.3741666666666662E-7</v>
      </c>
      <c r="F3" s="9">
        <f>($B$3)*(E22)*($B$4)</f>
        <v>2.3741666666666662E-7</v>
      </c>
      <c r="G3" s="31">
        <f>1</f>
        <v>1</v>
      </c>
      <c r="H3" s="32">
        <f>$B$3</f>
        <v>1.9999999999999999E-6</v>
      </c>
      <c r="I3" s="9">
        <f>$B$3</f>
        <v>1.9999999999999999E-6</v>
      </c>
      <c r="J3" s="33">
        <f>1</f>
        <v>1</v>
      </c>
      <c r="L3" s="155" t="s">
        <v>7</v>
      </c>
      <c r="M3" s="8" t="s">
        <v>1</v>
      </c>
      <c r="N3" s="9">
        <v>6.4399999999999993E-5</v>
      </c>
      <c r="O3" s="9">
        <v>6.4399999999999993E-5</v>
      </c>
      <c r="P3" s="34">
        <f>(N3-O3)/((1/2)*(N3+O3))</f>
        <v>0</v>
      </c>
    </row>
    <row r="4" spans="1:16" x14ac:dyDescent="0.25">
      <c r="A4" s="13" t="s">
        <v>30</v>
      </c>
      <c r="B4" s="22">
        <v>74</v>
      </c>
      <c r="D4" s="153" t="s">
        <v>8</v>
      </c>
      <c r="E4" s="14">
        <f>(F22)*(G22)*($B$9)</f>
        <v>3.6862359851060297E-3</v>
      </c>
      <c r="F4" s="14">
        <f>(F22)*(H22)*($B$14)*(1/365)*($B$15)*($B$17)*(1/24)*($B$16)</f>
        <v>1.139797711602622E-9</v>
      </c>
      <c r="G4" s="35">
        <f>(1/E5)+(1/F5)</f>
        <v>15526.446296540857</v>
      </c>
      <c r="H4" s="36">
        <f>(G22)*($B$9)</f>
        <v>3.2932457999999998E-2</v>
      </c>
      <c r="I4" s="14">
        <f>(H22)*($B$14)*(1/365)*($B$15)*($B$17)*(1/24)*($B$16)</f>
        <v>1.0182837023324694E-8</v>
      </c>
      <c r="J4" s="37">
        <f>(1/H5)+(1/I5)</f>
        <v>16466.234091418512</v>
      </c>
      <c r="L4" s="156"/>
      <c r="M4" s="13" t="s">
        <v>2</v>
      </c>
      <c r="N4" s="14">
        <v>208</v>
      </c>
      <c r="O4" s="14">
        <v>209</v>
      </c>
      <c r="P4" s="38">
        <f t="shared" ref="P4:P26" si="0">(N4-O4)/((1/2)*(N4+O4))</f>
        <v>-4.7961630695443642E-3</v>
      </c>
    </row>
    <row r="5" spans="1:16" ht="15.75" thickBot="1" x14ac:dyDescent="0.3">
      <c r="A5" s="13" t="s">
        <v>32</v>
      </c>
      <c r="B5" s="22">
        <v>280</v>
      </c>
      <c r="D5" s="154" t="s">
        <v>9</v>
      </c>
      <c r="E5" s="39">
        <f>E3/E4</f>
        <v>6.440625820645545E-5</v>
      </c>
      <c r="F5" s="39">
        <f t="shared" ref="F5:J5" si="1">F3/F4</f>
        <v>208.29719541447838</v>
      </c>
      <c r="G5" s="40">
        <f t="shared" si="1"/>
        <v>6.4406238291809915E-5</v>
      </c>
      <c r="H5" s="41">
        <f t="shared" si="1"/>
        <v>6.0730359088289129E-5</v>
      </c>
      <c r="I5" s="39">
        <f t="shared" si="1"/>
        <v>196.40891781129582</v>
      </c>
      <c r="J5" s="42">
        <f t="shared" si="1"/>
        <v>6.0730340310244749E-5</v>
      </c>
      <c r="L5" s="156"/>
      <c r="M5" s="13" t="s">
        <v>3</v>
      </c>
      <c r="N5" s="14">
        <v>6.4399999999999993E-5</v>
      </c>
      <c r="O5" s="14">
        <v>6.4399999999999993E-5</v>
      </c>
      <c r="P5" s="38">
        <f t="shared" si="0"/>
        <v>0</v>
      </c>
    </row>
    <row r="6" spans="1:16" x14ac:dyDescent="0.25">
      <c r="A6" s="13" t="s">
        <v>33</v>
      </c>
      <c r="B6" s="22">
        <v>24</v>
      </c>
      <c r="D6" s="152" t="s">
        <v>8</v>
      </c>
      <c r="E6" s="9">
        <f>($B$3)*(E23)*($B$4)</f>
        <v>1.9461859582542693E-5</v>
      </c>
      <c r="F6" s="9">
        <f>($B$3)*(E23)*($B$4)</f>
        <v>1.9461859582542693E-5</v>
      </c>
      <c r="G6" s="31">
        <f>1</f>
        <v>1</v>
      </c>
      <c r="H6" s="32">
        <f>$B$3</f>
        <v>1.9999999999999999E-6</v>
      </c>
      <c r="I6" s="9">
        <f>$B$3</f>
        <v>1.9999999999999999E-6</v>
      </c>
      <c r="J6" s="33">
        <f>1</f>
        <v>1</v>
      </c>
      <c r="L6" s="156"/>
      <c r="M6" s="13" t="s">
        <v>1</v>
      </c>
      <c r="N6" s="14">
        <v>6.0699999999999998E-5</v>
      </c>
      <c r="O6" s="14">
        <v>6.0699999999999998E-5</v>
      </c>
      <c r="P6" s="38">
        <f t="shared" si="0"/>
        <v>0</v>
      </c>
    </row>
    <row r="7" spans="1:16" x14ac:dyDescent="0.25">
      <c r="A7" s="13" t="s">
        <v>35</v>
      </c>
      <c r="B7" s="22">
        <v>360</v>
      </c>
      <c r="D7" s="153" t="s">
        <v>7</v>
      </c>
      <c r="E7" s="14">
        <f>(F23)*(G23)*($B$9)</f>
        <v>8.8222297782232408E-5</v>
      </c>
      <c r="F7" s="14">
        <f>(F23)*(H23)*($B$14)*(1/365)*($B$15)*($B$17)*(1/24)*($B$16)</f>
        <v>1.9803652578475092E-6</v>
      </c>
      <c r="G7" s="35">
        <f>(1/E8)+(1/F8)</f>
        <v>4.6348429684998758</v>
      </c>
      <c r="H7" s="36">
        <f>(G23)*($B$9)</f>
        <v>8.8227540000000005E-5</v>
      </c>
      <c r="I7" s="14">
        <f>(H23)*($B$14)*(1/365)*($B$15)*($B$17)*(1/24)*($B$16)</f>
        <v>1.9804829322473153E-6</v>
      </c>
      <c r="J7" s="37">
        <f>(1/H8)+(1/I8)</f>
        <v>45.104011466123666</v>
      </c>
      <c r="L7" s="156"/>
      <c r="M7" s="13" t="s">
        <v>2</v>
      </c>
      <c r="N7" s="14">
        <v>196</v>
      </c>
      <c r="O7" s="14">
        <v>197</v>
      </c>
      <c r="P7" s="38">
        <f t="shared" si="0"/>
        <v>-5.0890585241730284E-3</v>
      </c>
    </row>
    <row r="8" spans="1:16" ht="15.75" thickBot="1" x14ac:dyDescent="0.3">
      <c r="A8" s="13" t="s">
        <v>36</v>
      </c>
      <c r="B8" s="22">
        <v>50</v>
      </c>
      <c r="D8" s="154" t="s">
        <v>8</v>
      </c>
      <c r="E8" s="39">
        <f>E6/E7</f>
        <v>0.22060023454141123</v>
      </c>
      <c r="F8" s="39">
        <f t="shared" ref="F8:J8" si="2">F6/F7</f>
        <v>9.8274091132542392</v>
      </c>
      <c r="G8" s="40">
        <f t="shared" si="2"/>
        <v>0.21575704005429602</v>
      </c>
      <c r="H8" s="41">
        <f t="shared" si="2"/>
        <v>2.2668658788400988E-2</v>
      </c>
      <c r="I8" s="39">
        <f t="shared" si="2"/>
        <v>1.009854701312946</v>
      </c>
      <c r="J8" s="42">
        <f t="shared" si="2"/>
        <v>2.2170976981749649E-2</v>
      </c>
      <c r="L8" s="157"/>
      <c r="M8" s="18" t="s">
        <v>3</v>
      </c>
      <c r="N8" s="19">
        <v>6.0699999999999998E-5</v>
      </c>
      <c r="O8" s="19">
        <v>6.0699999999999998E-5</v>
      </c>
      <c r="P8" s="43">
        <f t="shared" si="0"/>
        <v>0</v>
      </c>
    </row>
    <row r="9" spans="1:16" x14ac:dyDescent="0.25">
      <c r="A9" s="61" t="s">
        <v>39</v>
      </c>
      <c r="B9" s="22">
        <f>((B5)*(B6)*(B10)*(1/24)*(B11))+((B7)*(B8)*(B12)*(1/24)*(B13))</f>
        <v>873540</v>
      </c>
      <c r="D9" s="152" t="s">
        <v>9</v>
      </c>
      <c r="E9" s="9">
        <f>($B$3)*(E24)*($B$4)</f>
        <v>8.3385365853658521E-6</v>
      </c>
      <c r="F9" s="65"/>
      <c r="G9" s="31">
        <f>1</f>
        <v>1</v>
      </c>
      <c r="H9" s="32">
        <f>$B$3</f>
        <v>1.9999999999999999E-6</v>
      </c>
      <c r="I9" s="65"/>
      <c r="J9" s="33">
        <f>1</f>
        <v>1</v>
      </c>
      <c r="L9" s="143" t="s">
        <v>8</v>
      </c>
      <c r="M9" s="8" t="s">
        <v>1</v>
      </c>
      <c r="N9" s="9">
        <v>0.221</v>
      </c>
      <c r="O9" s="9">
        <v>0.22</v>
      </c>
      <c r="P9" s="34">
        <f t="shared" si="0"/>
        <v>4.535147392290253E-3</v>
      </c>
    </row>
    <row r="10" spans="1:16" x14ac:dyDescent="0.25">
      <c r="A10" s="60" t="s">
        <v>41</v>
      </c>
      <c r="B10" s="22">
        <v>18</v>
      </c>
      <c r="D10" s="153" t="s">
        <v>10</v>
      </c>
      <c r="E10" s="14">
        <f>(F24)*(G24)*($B$9)</f>
        <v>7.2844706365676502E-7</v>
      </c>
      <c r="F10" s="67"/>
      <c r="G10" s="35">
        <f>(1/E11)</f>
        <v>8.7359101468139036E-2</v>
      </c>
      <c r="H10" s="36">
        <f>(G24)*($B$9)</f>
        <v>7.3988837999999999E-7</v>
      </c>
      <c r="I10" s="67"/>
      <c r="J10" s="37">
        <f>(1/H11)</f>
        <v>0.36994419000000001</v>
      </c>
      <c r="L10" s="144"/>
      <c r="M10" s="13" t="s">
        <v>2</v>
      </c>
      <c r="N10" s="14">
        <v>9.83</v>
      </c>
      <c r="O10" s="14">
        <v>9.8800000000000008</v>
      </c>
      <c r="P10" s="38">
        <f t="shared" si="0"/>
        <v>-5.0735667174024056E-3</v>
      </c>
    </row>
    <row r="11" spans="1:16" ht="15.75" thickBot="1" x14ac:dyDescent="0.3">
      <c r="A11" s="60" t="s">
        <v>42</v>
      </c>
      <c r="B11" s="22">
        <v>26</v>
      </c>
      <c r="D11" s="154" t="s">
        <v>7</v>
      </c>
      <c r="E11" s="39">
        <f>E9/E10</f>
        <v>11.44700418381378</v>
      </c>
      <c r="F11" s="72"/>
      <c r="G11" s="40">
        <f t="shared" ref="G11:H11" si="3">G9/G10</f>
        <v>11.44700418381378</v>
      </c>
      <c r="H11" s="41">
        <f t="shared" si="3"/>
        <v>2.7031104340360095</v>
      </c>
      <c r="I11" s="72"/>
      <c r="J11" s="42">
        <f t="shared" ref="J11" si="4">J9/J10</f>
        <v>2.7031104340360095</v>
      </c>
      <c r="L11" s="144"/>
      <c r="M11" s="13" t="s">
        <v>3</v>
      </c>
      <c r="N11" s="14">
        <v>0.216</v>
      </c>
      <c r="O11" s="14">
        <v>0.215</v>
      </c>
      <c r="P11" s="38">
        <f t="shared" si="0"/>
        <v>4.64037122969838E-3</v>
      </c>
    </row>
    <row r="12" spans="1:16" x14ac:dyDescent="0.25">
      <c r="A12" s="60" t="s">
        <v>43</v>
      </c>
      <c r="B12" s="22">
        <v>22</v>
      </c>
      <c r="D12" s="152" t="s">
        <v>10</v>
      </c>
      <c r="E12" s="9">
        <f>($B$3)*(E25)*($B$4)</f>
        <v>1.1694868871151651E-6</v>
      </c>
      <c r="F12" s="9">
        <f>($B$3)*(E25)*($B$4)</f>
        <v>1.1694868871151651E-6</v>
      </c>
      <c r="G12" s="31">
        <f>1</f>
        <v>1</v>
      </c>
      <c r="H12" s="32">
        <f>$B$3</f>
        <v>1.9999999999999999E-6</v>
      </c>
      <c r="I12" s="9">
        <f>$B$3</f>
        <v>1.9999999999999999E-6</v>
      </c>
      <c r="J12" s="33">
        <f>1</f>
        <v>1</v>
      </c>
      <c r="L12" s="144"/>
      <c r="M12" s="13" t="s">
        <v>1</v>
      </c>
      <c r="N12" s="14">
        <v>2.2700000000000001E-2</v>
      </c>
      <c r="O12" s="14">
        <v>2.2700000000000001E-2</v>
      </c>
      <c r="P12" s="38">
        <f t="shared" si="0"/>
        <v>0</v>
      </c>
    </row>
    <row r="13" spans="1:16" x14ac:dyDescent="0.25">
      <c r="A13" s="60" t="s">
        <v>44</v>
      </c>
      <c r="B13" s="22">
        <v>45</v>
      </c>
      <c r="D13" s="153" t="s">
        <v>9</v>
      </c>
      <c r="E13" s="14">
        <f>(F25)*(G25)*($B$9)</f>
        <v>2.0188917683921476E-2</v>
      </c>
      <c r="F13" s="14">
        <f>(F25)*(H25)*($B$14)*(1/365)*($B$15)*($B$17)*(1/24)*($B$16)</f>
        <v>1.9865173556552546E-11</v>
      </c>
      <c r="G13" s="35">
        <f>(1/E14)+(1/F14)</f>
        <v>17263.056068621441</v>
      </c>
      <c r="H13" s="36">
        <f>(G25)*($B$9)</f>
        <v>4.5598788000000001E-2</v>
      </c>
      <c r="I13" s="14">
        <f>(H25)*($B$14)*(1/365)*($B$15)*($B$17)*(1/24)*($B$16)</f>
        <v>4.4867577934098469E-11</v>
      </c>
      <c r="J13" s="37">
        <f>(1/H14)+(1/I14)</f>
        <v>22799.394022433789</v>
      </c>
      <c r="L13" s="144"/>
      <c r="M13" s="13" t="s">
        <v>2</v>
      </c>
      <c r="N13" s="14">
        <v>1.01</v>
      </c>
      <c r="O13" s="14">
        <v>1.02</v>
      </c>
      <c r="P13" s="38">
        <f t="shared" si="0"/>
        <v>-9.85221674876848E-3</v>
      </c>
    </row>
    <row r="14" spans="1:16" ht="15.75" thickBot="1" x14ac:dyDescent="0.3">
      <c r="A14" s="60" t="s">
        <v>45</v>
      </c>
      <c r="B14" s="63">
        <v>334.05405405405401</v>
      </c>
      <c r="D14" s="154" t="s">
        <v>10</v>
      </c>
      <c r="E14" s="39">
        <f>E12/E13</f>
        <v>5.7927171006623524E-5</v>
      </c>
      <c r="F14" s="39">
        <f t="shared" ref="F14:J14" si="5">F12/F13</f>
        <v>58871.214177205555</v>
      </c>
      <c r="G14" s="40">
        <f t="shared" si="5"/>
        <v>5.7927170949625261E-5</v>
      </c>
      <c r="H14" s="41">
        <f t="shared" si="5"/>
        <v>4.3860814897097701E-5</v>
      </c>
      <c r="I14" s="39">
        <f t="shared" si="5"/>
        <v>44575.617675141752</v>
      </c>
      <c r="J14" s="42">
        <f t="shared" si="5"/>
        <v>4.3860814853940227E-5</v>
      </c>
      <c r="L14" s="145"/>
      <c r="M14" s="18" t="s">
        <v>3</v>
      </c>
      <c r="N14" s="19">
        <v>2.2200000000000001E-2</v>
      </c>
      <c r="O14" s="19">
        <v>2.2200000000000001E-2</v>
      </c>
      <c r="P14" s="43">
        <f t="shared" si="0"/>
        <v>0</v>
      </c>
    </row>
    <row r="15" spans="1:16" ht="15" customHeight="1" x14ac:dyDescent="0.25">
      <c r="A15" s="60" t="s">
        <v>46</v>
      </c>
      <c r="B15" s="22">
        <v>74</v>
      </c>
      <c r="L15" s="143" t="s">
        <v>9</v>
      </c>
      <c r="M15" s="8" t="s">
        <v>1</v>
      </c>
      <c r="N15" s="9">
        <v>11.4</v>
      </c>
      <c r="O15" s="9">
        <v>11.4</v>
      </c>
      <c r="P15" s="34">
        <f t="shared" si="0"/>
        <v>0</v>
      </c>
    </row>
    <row r="16" spans="1:16" x14ac:dyDescent="0.25">
      <c r="A16" s="60" t="s">
        <v>74</v>
      </c>
      <c r="B16" s="22">
        <v>3</v>
      </c>
      <c r="L16" s="144"/>
      <c r="M16" s="13" t="s">
        <v>2</v>
      </c>
      <c r="N16" s="67"/>
      <c r="O16" s="67"/>
      <c r="P16" s="73"/>
    </row>
    <row r="17" spans="1:16" x14ac:dyDescent="0.25">
      <c r="A17" s="60" t="s">
        <v>73</v>
      </c>
      <c r="B17" s="63">
        <v>20.702702702702702</v>
      </c>
      <c r="L17" s="144"/>
      <c r="M17" s="13" t="s">
        <v>3</v>
      </c>
      <c r="N17" s="14">
        <v>11.4</v>
      </c>
      <c r="O17" s="14">
        <v>11.4</v>
      </c>
      <c r="P17" s="38">
        <f t="shared" si="0"/>
        <v>0</v>
      </c>
    </row>
    <row r="18" spans="1:16" x14ac:dyDescent="0.25">
      <c r="L18" s="144"/>
      <c r="M18" s="13" t="s">
        <v>1</v>
      </c>
      <c r="N18" s="14">
        <v>2.7</v>
      </c>
      <c r="O18" s="14">
        <v>2.7</v>
      </c>
      <c r="P18" s="38">
        <f t="shared" si="0"/>
        <v>0</v>
      </c>
    </row>
    <row r="19" spans="1:16" x14ac:dyDescent="0.25">
      <c r="L19" s="144"/>
      <c r="M19" s="13" t="s">
        <v>2</v>
      </c>
      <c r="N19" s="67"/>
      <c r="O19" s="67"/>
      <c r="P19" s="73"/>
    </row>
    <row r="20" spans="1:16" ht="15.75" thickBot="1" x14ac:dyDescent="0.3">
      <c r="L20" s="145"/>
      <c r="M20" s="18" t="s">
        <v>3</v>
      </c>
      <c r="N20" s="19">
        <v>2.7</v>
      </c>
      <c r="O20" s="19">
        <v>2.7</v>
      </c>
      <c r="P20" s="43">
        <f t="shared" si="0"/>
        <v>0</v>
      </c>
    </row>
    <row r="21" spans="1:16" x14ac:dyDescent="0.25">
      <c r="B21" s="21"/>
      <c r="C21" s="13" t="s">
        <v>120</v>
      </c>
      <c r="D21" s="13" t="s">
        <v>11</v>
      </c>
      <c r="E21" s="13" t="s">
        <v>95</v>
      </c>
      <c r="F21" s="13" t="s">
        <v>102</v>
      </c>
      <c r="G21" s="60" t="s">
        <v>97</v>
      </c>
      <c r="H21" s="60" t="s">
        <v>103</v>
      </c>
      <c r="L21" s="143" t="s">
        <v>10</v>
      </c>
      <c r="M21" s="8" t="s">
        <v>1</v>
      </c>
      <c r="N21" s="9">
        <v>5.7899999999999998E-5</v>
      </c>
      <c r="O21" s="9">
        <v>5.7899999999999998E-5</v>
      </c>
      <c r="P21" s="34">
        <f t="shared" si="0"/>
        <v>0</v>
      </c>
    </row>
    <row r="22" spans="1:16" x14ac:dyDescent="0.25">
      <c r="B22" s="22" t="s">
        <v>7</v>
      </c>
      <c r="C22" s="22" t="s">
        <v>126</v>
      </c>
      <c r="D22" s="14">
        <v>432</v>
      </c>
      <c r="E22" s="14">
        <f>0.693/D22</f>
        <v>1.6041666666666665E-3</v>
      </c>
      <c r="F22" s="14">
        <f>(1-EXP(-(E22)*$B$4))</f>
        <v>0.11193321752983121</v>
      </c>
      <c r="G22" s="14">
        <f>'Isotope Specific Factors'!C19</f>
        <v>3.77E-8</v>
      </c>
      <c r="H22" s="14">
        <f>'Isotope Specific Factors'!I3</f>
        <v>5.8100000000000005E-11</v>
      </c>
      <c r="L22" s="144"/>
      <c r="M22" s="13" t="s">
        <v>2</v>
      </c>
      <c r="N22" s="14">
        <v>58900</v>
      </c>
      <c r="O22" s="14">
        <v>58900</v>
      </c>
      <c r="P22" s="38">
        <f t="shared" si="0"/>
        <v>0</v>
      </c>
    </row>
    <row r="23" spans="1:16" x14ac:dyDescent="0.25">
      <c r="B23" s="22" t="s">
        <v>8</v>
      </c>
      <c r="C23" s="22" t="s">
        <v>126</v>
      </c>
      <c r="D23" s="14">
        <v>5.27</v>
      </c>
      <c r="E23" s="14">
        <f t="shared" ref="E23:E25" si="6">0.693/D23</f>
        <v>0.13149905123339659</v>
      </c>
      <c r="F23" s="14">
        <f t="shared" ref="F23:F25" si="7">(1-EXP(-(E23)*$B$4))</f>
        <v>0.99994058297706601</v>
      </c>
      <c r="G23" s="14">
        <f>'Isotope Specific Factors'!C24</f>
        <v>1.01E-10</v>
      </c>
      <c r="H23" s="14">
        <f>'Isotope Specific Factors'!I4</f>
        <v>1.1299999999999999E-8</v>
      </c>
      <c r="L23" s="144"/>
      <c r="M23" s="13" t="s">
        <v>3</v>
      </c>
      <c r="N23" s="14">
        <v>5.7899999999999998E-5</v>
      </c>
      <c r="O23" s="14">
        <v>5.7899999999999998E-5</v>
      </c>
      <c r="P23" s="38">
        <f t="shared" si="0"/>
        <v>0</v>
      </c>
    </row>
    <row r="24" spans="1:16" x14ac:dyDescent="0.25">
      <c r="B24" s="22" t="s">
        <v>9</v>
      </c>
      <c r="C24" s="22" t="s">
        <v>126</v>
      </c>
      <c r="D24" s="14">
        <v>12.3</v>
      </c>
      <c r="E24" s="14">
        <f t="shared" si="6"/>
        <v>5.6341463414634141E-2</v>
      </c>
      <c r="F24" s="14">
        <f t="shared" si="7"/>
        <v>0.98453642920674733</v>
      </c>
      <c r="G24" s="14">
        <f>'Isotope Specific Factors'!C27</f>
        <v>8.4700000000000003E-13</v>
      </c>
      <c r="H24" s="80"/>
      <c r="L24" s="144"/>
      <c r="M24" s="13" t="s">
        <v>1</v>
      </c>
      <c r="N24" s="14">
        <v>4.3900000000000003E-5</v>
      </c>
      <c r="O24" s="14">
        <v>4.3900000000000003E-5</v>
      </c>
      <c r="P24" s="38">
        <f t="shared" si="0"/>
        <v>0</v>
      </c>
    </row>
    <row r="25" spans="1:16" x14ac:dyDescent="0.25">
      <c r="B25" s="22" t="s">
        <v>10</v>
      </c>
      <c r="C25" s="22" t="s">
        <v>126</v>
      </c>
      <c r="D25" s="14">
        <v>87.7</v>
      </c>
      <c r="E25" s="14">
        <f t="shared" si="6"/>
        <v>7.9019384264538192E-3</v>
      </c>
      <c r="F25" s="14">
        <f t="shared" si="7"/>
        <v>0.44275119075361113</v>
      </c>
      <c r="G25" s="14">
        <f>'Isotope Specific Factors'!C31</f>
        <v>5.2199999999999998E-8</v>
      </c>
      <c r="H25" s="14">
        <f>'Isotope Specific Factors'!I7</f>
        <v>2.5600000000000002E-13</v>
      </c>
      <c r="L25" s="144"/>
      <c r="M25" s="13" t="s">
        <v>2</v>
      </c>
      <c r="N25" s="14">
        <v>44600</v>
      </c>
      <c r="O25" s="14">
        <v>44600</v>
      </c>
      <c r="P25" s="38">
        <f t="shared" si="0"/>
        <v>0</v>
      </c>
    </row>
    <row r="26" spans="1:16" ht="15.75" thickBot="1" x14ac:dyDescent="0.3">
      <c r="L26" s="145"/>
      <c r="M26" s="18" t="s">
        <v>3</v>
      </c>
      <c r="N26" s="19">
        <v>4.3900000000000003E-5</v>
      </c>
      <c r="O26" s="19">
        <v>4.3900000000000003E-5</v>
      </c>
      <c r="P26" s="43">
        <f t="shared" si="0"/>
        <v>0</v>
      </c>
    </row>
  </sheetData>
  <mergeCells count="10">
    <mergeCell ref="L15:L20"/>
    <mergeCell ref="L21:L26"/>
    <mergeCell ref="E1:G1"/>
    <mergeCell ref="H1:J1"/>
    <mergeCell ref="D3:D5"/>
    <mergeCell ref="L3:L8"/>
    <mergeCell ref="D6:D8"/>
    <mergeCell ref="D9:D11"/>
    <mergeCell ref="L9:L14"/>
    <mergeCell ref="D12:D14"/>
  </mergeCells>
  <conditionalFormatting sqref="P3:P26">
    <cfRule type="cellIs" dxfId="3" priority="1" operator="lessThan">
      <formula>-0.01</formula>
    </cfRule>
    <cfRule type="cellIs" dxfId="2" priority="2" operator="notEqual">
      <formula>0</formula>
    </cfRule>
  </conditionalFormatting>
  <pageMargins left="0.7" right="0.7" top="0.75" bottom="0.75" header="0.3" footer="0.3"/>
  <pageSetup scale="7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="55" zoomScaleNormal="55" workbookViewId="0">
      <selection activeCell="K1" sqref="K1:K23"/>
    </sheetView>
  </sheetViews>
  <sheetFormatPr defaultRowHeight="15" x14ac:dyDescent="0.25"/>
  <cols>
    <col min="5" max="5" width="10.28515625" bestFit="1" customWidth="1"/>
    <col min="12" max="12" width="8.28515625" bestFit="1" customWidth="1"/>
    <col min="13" max="13" width="10.7109375" bestFit="1" customWidth="1"/>
    <col min="20" max="20" width="9.42578125" bestFit="1" customWidth="1"/>
    <col min="21" max="21" width="12.7109375" bestFit="1" customWidth="1"/>
    <col min="22" max="22" width="8.28515625" bestFit="1" customWidth="1"/>
    <col min="23" max="23" width="12.42578125" bestFit="1" customWidth="1"/>
    <col min="24" max="24" width="8.28515625" bestFit="1" customWidth="1"/>
  </cols>
  <sheetData>
    <row r="1" spans="1:20" ht="26.25" thickBot="1" x14ac:dyDescent="0.3">
      <c r="A1" s="13" t="s">
        <v>27</v>
      </c>
      <c r="B1" s="13" t="s">
        <v>38</v>
      </c>
      <c r="D1" s="4"/>
      <c r="E1" s="2" t="s">
        <v>25</v>
      </c>
      <c r="F1" s="2" t="s">
        <v>1</v>
      </c>
      <c r="G1" s="2" t="s">
        <v>16</v>
      </c>
      <c r="H1" s="2" t="s">
        <v>17</v>
      </c>
      <c r="I1" s="44" t="s">
        <v>3</v>
      </c>
      <c r="K1" s="4"/>
      <c r="L1" s="4"/>
      <c r="M1" s="3" t="s">
        <v>4</v>
      </c>
      <c r="N1" s="3" t="s">
        <v>5</v>
      </c>
      <c r="O1" s="5" t="s">
        <v>6</v>
      </c>
      <c r="P1" s="4"/>
      <c r="Q1" s="4"/>
      <c r="R1" s="3" t="s">
        <v>4</v>
      </c>
      <c r="S1" s="3" t="s">
        <v>5</v>
      </c>
      <c r="T1" s="5" t="s">
        <v>6</v>
      </c>
    </row>
    <row r="2" spans="1:20" x14ac:dyDescent="0.25">
      <c r="A2" s="13" t="s">
        <v>29</v>
      </c>
      <c r="B2" s="11">
        <v>2E-3</v>
      </c>
      <c r="D2" s="152" t="s">
        <v>7</v>
      </c>
      <c r="E2" s="9">
        <f>$B$2</f>
        <v>2E-3</v>
      </c>
      <c r="F2" s="65"/>
      <c r="G2" s="9">
        <f>$B$2</f>
        <v>2E-3</v>
      </c>
      <c r="H2" s="9" t="e">
        <f>(($B$2)/((W27)*($B$26+$B$27)*($B$28)))</f>
        <v>#DIV/0!</v>
      </c>
      <c r="I2" s="45">
        <f>1</f>
        <v>1</v>
      </c>
      <c r="K2" s="143" t="s">
        <v>7</v>
      </c>
      <c r="L2" s="8" t="s">
        <v>0</v>
      </c>
      <c r="M2" s="9">
        <v>517</v>
      </c>
      <c r="N2" s="9">
        <v>517</v>
      </c>
      <c r="O2" s="34">
        <f>(M2-N2)/((1/2)*(M2+N2))</f>
        <v>0</v>
      </c>
      <c r="P2" s="143" t="s">
        <v>9</v>
      </c>
      <c r="Q2" s="8" t="s">
        <v>0</v>
      </c>
      <c r="R2" s="9">
        <v>1060000</v>
      </c>
      <c r="S2" s="9">
        <v>1060000</v>
      </c>
      <c r="T2" s="34">
        <f>(R2-S2)/((1/2)*(R2+S2))</f>
        <v>0</v>
      </c>
    </row>
    <row r="3" spans="1:20" x14ac:dyDescent="0.25">
      <c r="A3" s="13" t="s">
        <v>30</v>
      </c>
      <c r="B3" s="22">
        <v>49</v>
      </c>
      <c r="D3" s="153"/>
      <c r="E3" s="14">
        <f>(M27)*($B$4)</f>
        <v>0</v>
      </c>
      <c r="F3" s="67"/>
      <c r="G3" s="14">
        <f>(O27)*(1/8760)*($B$12)</f>
        <v>0</v>
      </c>
      <c r="H3" s="14" t="e">
        <f>(1/1000)*(E18+F18+G18)</f>
        <v>#DIV/0!</v>
      </c>
      <c r="I3" s="46" t="e">
        <f>(1/E4)+(1/G4)+(1/H4)</f>
        <v>#DIV/0!</v>
      </c>
      <c r="K3" s="144"/>
      <c r="L3" s="47" t="s">
        <v>1</v>
      </c>
      <c r="M3" s="75"/>
      <c r="N3" s="75"/>
      <c r="O3" s="76"/>
      <c r="P3" s="144"/>
      <c r="Q3" s="47" t="s">
        <v>1</v>
      </c>
      <c r="R3" s="48">
        <v>7180</v>
      </c>
      <c r="S3" s="48">
        <v>7180</v>
      </c>
      <c r="T3" s="49">
        <f>(R3-S3)/((1/2)*(R3+S3))</f>
        <v>0</v>
      </c>
    </row>
    <row r="4" spans="1:20" ht="15.75" thickBot="1" x14ac:dyDescent="0.3">
      <c r="A4" s="61" t="s">
        <v>75</v>
      </c>
      <c r="B4" s="22">
        <f>((B5)*(B6)*(B7))+((B8)*(B9)*(B10))</f>
        <v>37166</v>
      </c>
      <c r="D4" s="154"/>
      <c r="E4" s="39" t="e">
        <f>E2/E3</f>
        <v>#DIV/0!</v>
      </c>
      <c r="F4" s="72"/>
      <c r="G4" s="39" t="e">
        <f>G2/G3</f>
        <v>#DIV/0!</v>
      </c>
      <c r="H4" s="39" t="e">
        <f>H2/H3</f>
        <v>#DIV/0!</v>
      </c>
      <c r="I4" s="50" t="e">
        <f>I2/I3</f>
        <v>#DIV/0!</v>
      </c>
      <c r="K4" s="144"/>
      <c r="L4" s="47" t="s">
        <v>16</v>
      </c>
      <c r="M4" s="48">
        <v>2580000000</v>
      </c>
      <c r="N4" s="48">
        <v>2580000000</v>
      </c>
      <c r="O4" s="49">
        <f t="shared" ref="O4:O11" si="0">(M4-N4)/((1/2)*(M4+N4))</f>
        <v>0</v>
      </c>
      <c r="P4" s="144"/>
      <c r="Q4" s="47" t="s">
        <v>16</v>
      </c>
      <c r="R4" s="75"/>
      <c r="S4" s="75"/>
      <c r="T4" s="76"/>
    </row>
    <row r="5" spans="1:20" x14ac:dyDescent="0.25">
      <c r="A5" s="13" t="s">
        <v>32</v>
      </c>
      <c r="B5" s="22">
        <v>120</v>
      </c>
      <c r="D5" s="152" t="s">
        <v>8</v>
      </c>
      <c r="E5" s="9">
        <f>$B$2</f>
        <v>2E-3</v>
      </c>
      <c r="F5" s="65"/>
      <c r="G5" s="9">
        <f>$B$2</f>
        <v>2E-3</v>
      </c>
      <c r="H5" s="9" t="e">
        <f>(($B$2)/((W28)*($B$26+$B$27)*($B$28)))</f>
        <v>#DIV/0!</v>
      </c>
      <c r="I5" s="45">
        <f>1</f>
        <v>1</v>
      </c>
      <c r="K5" s="144"/>
      <c r="L5" s="47" t="s">
        <v>18</v>
      </c>
      <c r="M5" s="48">
        <v>4.3900000000000003E-6</v>
      </c>
      <c r="N5" s="48">
        <v>4.3900000000000003E-6</v>
      </c>
      <c r="O5" s="49">
        <f t="shared" si="0"/>
        <v>0</v>
      </c>
      <c r="P5" s="144"/>
      <c r="Q5" s="47" t="s">
        <v>18</v>
      </c>
      <c r="R5" s="48">
        <v>1.54E-4</v>
      </c>
      <c r="S5" s="48">
        <v>1.54E-4</v>
      </c>
      <c r="T5" s="49">
        <f t="shared" ref="T5:T11" si="1">(R5-S5)/((1/2)*(R5+S5))</f>
        <v>0</v>
      </c>
    </row>
    <row r="6" spans="1:20" x14ac:dyDescent="0.25">
      <c r="A6" s="13" t="s">
        <v>33</v>
      </c>
      <c r="B6" s="22">
        <v>12</v>
      </c>
      <c r="D6" s="153"/>
      <c r="E6" s="14">
        <f>(M28)*($B$4)</f>
        <v>0</v>
      </c>
      <c r="F6" s="67"/>
      <c r="G6" s="14">
        <f>(O28)*(1/8760)*($B$12)</f>
        <v>0</v>
      </c>
      <c r="H6" s="14" t="e">
        <f>(1/1000)*(E21+F21+G21)</f>
        <v>#DIV/0!</v>
      </c>
      <c r="I6" s="46" t="e">
        <f>(1/E7)+(1/G7)+(1/H7)</f>
        <v>#DIV/0!</v>
      </c>
      <c r="K6" s="144"/>
      <c r="L6" s="47" t="s">
        <v>19</v>
      </c>
      <c r="M6" s="48">
        <v>6.9400000000000006E-5</v>
      </c>
      <c r="N6" s="48">
        <v>6.9400000000000006E-5</v>
      </c>
      <c r="O6" s="49">
        <f t="shared" si="0"/>
        <v>0</v>
      </c>
      <c r="P6" s="144"/>
      <c r="Q6" s="47" t="s">
        <v>19</v>
      </c>
      <c r="R6" s="48">
        <v>2.1900000000000001E-4</v>
      </c>
      <c r="S6" s="48">
        <v>2.1900000000000001E-4</v>
      </c>
      <c r="T6" s="49">
        <f t="shared" si="1"/>
        <v>0</v>
      </c>
    </row>
    <row r="7" spans="1:20" ht="15.75" thickBot="1" x14ac:dyDescent="0.3">
      <c r="A7" s="13" t="s">
        <v>76</v>
      </c>
      <c r="B7" s="22">
        <v>1.4</v>
      </c>
      <c r="D7" s="153"/>
      <c r="E7" s="51" t="e">
        <f>E5/E6</f>
        <v>#DIV/0!</v>
      </c>
      <c r="F7" s="74"/>
      <c r="G7" s="51" t="e">
        <f>G5/G6</f>
        <v>#DIV/0!</v>
      </c>
      <c r="H7" s="51" t="e">
        <f>H5/H6</f>
        <v>#DIV/0!</v>
      </c>
      <c r="I7" s="52" t="e">
        <f>I5/I6</f>
        <v>#DIV/0!</v>
      </c>
      <c r="K7" s="144"/>
      <c r="L7" s="47" t="s">
        <v>20</v>
      </c>
      <c r="M7" s="48">
        <v>3.85E-2</v>
      </c>
      <c r="N7" s="48">
        <v>3.85E-2</v>
      </c>
      <c r="O7" s="49">
        <f t="shared" si="0"/>
        <v>0</v>
      </c>
      <c r="P7" s="144"/>
      <c r="Q7" s="47" t="s">
        <v>20</v>
      </c>
      <c r="R7" s="48">
        <v>3.8300000000000001E-2</v>
      </c>
      <c r="S7" s="48">
        <v>3.85E-2</v>
      </c>
      <c r="T7" s="49">
        <f t="shared" si="1"/>
        <v>-5.208333333333301E-3</v>
      </c>
    </row>
    <row r="8" spans="1:20" x14ac:dyDescent="0.25">
      <c r="A8" s="13" t="s">
        <v>35</v>
      </c>
      <c r="B8" s="22">
        <v>250</v>
      </c>
      <c r="D8" s="152" t="s">
        <v>9</v>
      </c>
      <c r="E8" s="9">
        <f>$B$2</f>
        <v>2E-3</v>
      </c>
      <c r="F8" s="9">
        <f>$B$2</f>
        <v>2E-3</v>
      </c>
      <c r="G8" s="65"/>
      <c r="H8" s="9" t="e">
        <f>(($B$2)/((X30)*($B$26+$B$27)*($B$28)))</f>
        <v>#DIV/0!</v>
      </c>
      <c r="I8" s="45">
        <f>1</f>
        <v>1</v>
      </c>
      <c r="K8" s="144"/>
      <c r="L8" s="47" t="s">
        <v>21</v>
      </c>
      <c r="M8" s="48">
        <v>1.1999999999999999E-3</v>
      </c>
      <c r="N8" s="48">
        <v>1.1999999999999999E-3</v>
      </c>
      <c r="O8" s="49">
        <f t="shared" si="0"/>
        <v>0</v>
      </c>
      <c r="P8" s="144"/>
      <c r="Q8" s="47" t="s">
        <v>21</v>
      </c>
      <c r="R8" s="48">
        <v>156</v>
      </c>
      <c r="S8" s="48">
        <v>156</v>
      </c>
      <c r="T8" s="49">
        <f t="shared" si="1"/>
        <v>0</v>
      </c>
    </row>
    <row r="9" spans="1:20" x14ac:dyDescent="0.25">
      <c r="A9" s="13" t="s">
        <v>36</v>
      </c>
      <c r="B9" s="22">
        <v>37</v>
      </c>
      <c r="D9" s="153"/>
      <c r="E9" s="14" t="e">
        <f>(#REF!)*($B$4)</f>
        <v>#REF!</v>
      </c>
      <c r="F9" s="14" t="e">
        <f>(#REF!)*($B$11)*($B$38)</f>
        <v>#REF!</v>
      </c>
      <c r="G9" s="67"/>
      <c r="H9" s="14" t="e">
        <f>(1/1000)*(E24+F24+G24)</f>
        <v>#REF!</v>
      </c>
      <c r="I9" s="46" t="e">
        <f>(1/E10)+(1/F10)+(1/H10)</f>
        <v>#REF!</v>
      </c>
      <c r="K9" s="144"/>
      <c r="L9" s="47" t="s">
        <v>22</v>
      </c>
      <c r="M9" s="48">
        <v>28.2</v>
      </c>
      <c r="N9" s="48">
        <v>28.2</v>
      </c>
      <c r="O9" s="49">
        <f t="shared" si="0"/>
        <v>0</v>
      </c>
      <c r="P9" s="144"/>
      <c r="Q9" s="47" t="s">
        <v>22</v>
      </c>
      <c r="R9" s="48">
        <v>14.6</v>
      </c>
      <c r="S9" s="48">
        <v>14.7</v>
      </c>
      <c r="T9" s="49">
        <f t="shared" si="1"/>
        <v>-6.8259385665528777E-3</v>
      </c>
    </row>
    <row r="10" spans="1:20" ht="15.75" thickBot="1" x14ac:dyDescent="0.3">
      <c r="A10" s="13" t="s">
        <v>77</v>
      </c>
      <c r="B10" s="22">
        <v>3.8</v>
      </c>
      <c r="D10" s="154"/>
      <c r="E10" s="39" t="e">
        <f>E8/E9</f>
        <v>#REF!</v>
      </c>
      <c r="F10" s="39" t="e">
        <f>F8/F9</f>
        <v>#REF!</v>
      </c>
      <c r="G10" s="72"/>
      <c r="H10" s="39" t="e">
        <f>H8/H9</f>
        <v>#DIV/0!</v>
      </c>
      <c r="I10" s="50" t="e">
        <f>I8/I9</f>
        <v>#REF!</v>
      </c>
      <c r="K10" s="144"/>
      <c r="L10" s="47" t="s">
        <v>23</v>
      </c>
      <c r="M10" s="48">
        <v>18.100000000000001</v>
      </c>
      <c r="N10" s="48">
        <v>18.100000000000001</v>
      </c>
      <c r="O10" s="49">
        <f t="shared" si="0"/>
        <v>0</v>
      </c>
      <c r="P10" s="144"/>
      <c r="Q10" s="47" t="s">
        <v>23</v>
      </c>
      <c r="R10" s="48">
        <v>18.100000000000001</v>
      </c>
      <c r="S10" s="48">
        <v>18.100000000000001</v>
      </c>
      <c r="T10" s="49">
        <f t="shared" si="1"/>
        <v>0</v>
      </c>
    </row>
    <row r="11" spans="1:20" x14ac:dyDescent="0.25">
      <c r="A11" s="61" t="s">
        <v>39</v>
      </c>
      <c r="B11" s="77">
        <f>((B5)*(B6)*(B13)*(1/24)*(B14))+((B8)*(B9)*(B15)*(1/24)*(B16))</f>
        <v>274111.66666666663</v>
      </c>
      <c r="D11" s="152" t="s">
        <v>10</v>
      </c>
      <c r="E11" s="9">
        <f>$B$2</f>
        <v>2E-3</v>
      </c>
      <c r="F11" s="65"/>
      <c r="G11" s="9">
        <f>$B$2</f>
        <v>2E-3</v>
      </c>
      <c r="H11" s="9" t="e">
        <f>(($B$2)/((X31)*($B$26+$B$27)*($B$28)))</f>
        <v>#DIV/0!</v>
      </c>
      <c r="I11" s="45">
        <f>1</f>
        <v>1</v>
      </c>
      <c r="K11" s="144"/>
      <c r="L11" s="47" t="s">
        <v>24</v>
      </c>
      <c r="M11" s="48">
        <v>239</v>
      </c>
      <c r="N11" s="48">
        <v>239</v>
      </c>
      <c r="O11" s="49">
        <f t="shared" si="0"/>
        <v>0</v>
      </c>
      <c r="P11" s="144"/>
      <c r="Q11" s="47" t="s">
        <v>24</v>
      </c>
      <c r="R11" s="48">
        <v>120000</v>
      </c>
      <c r="S11" s="48">
        <v>120000</v>
      </c>
      <c r="T11" s="49">
        <f t="shared" si="1"/>
        <v>0</v>
      </c>
    </row>
    <row r="12" spans="1:20" ht="15.75" thickBot="1" x14ac:dyDescent="0.3">
      <c r="A12" s="61" t="s">
        <v>78</v>
      </c>
      <c r="B12" s="78">
        <f>((B5)*(B6)*(B33)*(B44))+((B8)*(B9)*(B34)*(B42))</f>
        <v>51434</v>
      </c>
      <c r="D12" s="153"/>
      <c r="E12" s="14" t="e">
        <f>(#REF!)*($B$4)</f>
        <v>#REF!</v>
      </c>
      <c r="F12" s="67"/>
      <c r="G12" s="14" t="e">
        <f>(#REF!)*(1/8760)*($B$12)</f>
        <v>#REF!</v>
      </c>
      <c r="H12" s="14" t="e">
        <f>(1/1000)*(E27+F27+G27)</f>
        <v>#REF!</v>
      </c>
      <c r="I12" s="46" t="e">
        <f>(1/E13)+(1/G13)+(1/H13)</f>
        <v>#REF!</v>
      </c>
      <c r="K12" s="145"/>
      <c r="L12" s="18" t="s">
        <v>3</v>
      </c>
      <c r="M12" s="19">
        <v>163</v>
      </c>
      <c r="N12" s="19">
        <v>163</v>
      </c>
      <c r="O12" s="43">
        <f>(M12-N12)/((1/2)*(M12+N12))</f>
        <v>0</v>
      </c>
      <c r="P12" s="145"/>
      <c r="Q12" s="18" t="s">
        <v>3</v>
      </c>
      <c r="R12" s="19">
        <v>6730</v>
      </c>
      <c r="S12" s="19">
        <v>6730</v>
      </c>
      <c r="T12" s="43">
        <f>(R12-S12)/((1/2)*(R12+S12))</f>
        <v>0</v>
      </c>
    </row>
    <row r="13" spans="1:20" ht="15.75" customHeight="1" thickBot="1" x14ac:dyDescent="0.3">
      <c r="A13" s="60" t="s">
        <v>41</v>
      </c>
      <c r="B13" s="22">
        <v>12</v>
      </c>
      <c r="D13" s="154"/>
      <c r="E13" s="39" t="e">
        <f>E11/E12</f>
        <v>#REF!</v>
      </c>
      <c r="F13" s="72"/>
      <c r="G13" s="39" t="e">
        <f>G11/G12</f>
        <v>#REF!</v>
      </c>
      <c r="H13" s="39" t="e">
        <f>H11/H12</f>
        <v>#DIV/0!</v>
      </c>
      <c r="I13" s="50" t="e">
        <f>I11/I12</f>
        <v>#REF!</v>
      </c>
      <c r="K13" s="143" t="s">
        <v>8</v>
      </c>
      <c r="L13" s="8" t="s">
        <v>0</v>
      </c>
      <c r="M13" s="9">
        <v>3410</v>
      </c>
      <c r="N13" s="9">
        <v>3410</v>
      </c>
      <c r="O13" s="34">
        <f>(M13-N13)/((1/2)*(M13+N13))</f>
        <v>0</v>
      </c>
      <c r="P13" s="143" t="s">
        <v>10</v>
      </c>
      <c r="Q13" s="8" t="s">
        <v>0</v>
      </c>
      <c r="R13" s="9">
        <v>411</v>
      </c>
      <c r="S13" s="9">
        <v>411</v>
      </c>
      <c r="T13" s="34">
        <f>(R13-S13)/((1/2)*(R13+S13))</f>
        <v>0</v>
      </c>
    </row>
    <row r="14" spans="1:20" x14ac:dyDescent="0.25">
      <c r="A14" s="60" t="s">
        <v>42</v>
      </c>
      <c r="B14" s="22">
        <v>6</v>
      </c>
      <c r="K14" s="144"/>
      <c r="L14" s="47" t="s">
        <v>1</v>
      </c>
      <c r="M14" s="75"/>
      <c r="N14" s="75"/>
      <c r="O14" s="76"/>
      <c r="P14" s="144"/>
      <c r="Q14" s="47" t="s">
        <v>1</v>
      </c>
      <c r="R14" s="75"/>
      <c r="S14" s="75"/>
      <c r="T14" s="76"/>
    </row>
    <row r="15" spans="1:20" ht="15.75" thickBot="1" x14ac:dyDescent="0.3">
      <c r="A15" s="60" t="s">
        <v>43</v>
      </c>
      <c r="B15" s="22">
        <v>20</v>
      </c>
      <c r="D15" s="4"/>
      <c r="E15" s="2" t="s">
        <v>21</v>
      </c>
      <c r="F15" s="2" t="s">
        <v>22</v>
      </c>
      <c r="G15" s="93" t="s">
        <v>23</v>
      </c>
      <c r="H15" s="94"/>
      <c r="K15" s="144"/>
      <c r="L15" s="47" t="s">
        <v>16</v>
      </c>
      <c r="M15" s="48">
        <v>14000000</v>
      </c>
      <c r="N15" s="48">
        <v>14000000</v>
      </c>
      <c r="O15" s="49">
        <f t="shared" ref="O15:O22" si="2">(M15-N15)/((1/2)*(M15+N15))</f>
        <v>0</v>
      </c>
      <c r="P15" s="144"/>
      <c r="Q15" s="47" t="s">
        <v>16</v>
      </c>
      <c r="R15" s="48">
        <v>572000000000</v>
      </c>
      <c r="S15" s="48">
        <v>572000000000</v>
      </c>
      <c r="T15" s="49">
        <f t="shared" ref="T15:T22" si="3">(R15-S15)/((1/2)*(R15+S15))</f>
        <v>0</v>
      </c>
    </row>
    <row r="16" spans="1:20" x14ac:dyDescent="0.25">
      <c r="A16" s="60" t="s">
        <v>44</v>
      </c>
      <c r="B16" s="22">
        <v>35</v>
      </c>
      <c r="D16" s="152" t="s">
        <v>7</v>
      </c>
      <c r="E16" s="9">
        <f>($B$37)*($B$35)*(P27)*(T27)</f>
        <v>0</v>
      </c>
      <c r="F16" s="9">
        <f>($B$37)*($B$35)*($B$23)*(T27)</f>
        <v>0</v>
      </c>
      <c r="G16" s="33">
        <f>($B$37)*($B$35)*($B$36)*($B$41)*(V27)</f>
        <v>0</v>
      </c>
      <c r="H16" s="95"/>
      <c r="K16" s="144"/>
      <c r="L16" s="47" t="s">
        <v>18</v>
      </c>
      <c r="M16" s="48">
        <v>3.6000000000000002E-4</v>
      </c>
      <c r="N16" s="48">
        <v>3.6099999999999999E-4</v>
      </c>
      <c r="O16" s="49">
        <f t="shared" si="2"/>
        <v>-2.7739251040221082E-3</v>
      </c>
      <c r="P16" s="144"/>
      <c r="Q16" s="47" t="s">
        <v>18</v>
      </c>
      <c r="R16" s="48">
        <v>2.16E-5</v>
      </c>
      <c r="S16" s="48">
        <v>2.1699999999999999E-5</v>
      </c>
      <c r="T16" s="49">
        <f t="shared" si="3"/>
        <v>-4.6189376443417579E-3</v>
      </c>
    </row>
    <row r="17" spans="1:25" x14ac:dyDescent="0.25">
      <c r="A17" s="60" t="s">
        <v>45</v>
      </c>
      <c r="B17" s="63">
        <v>218.16326530612201</v>
      </c>
      <c r="D17" s="153"/>
      <c r="E17" s="14">
        <f>($B$40*S27)</f>
        <v>0</v>
      </c>
      <c r="F17" s="14">
        <f>($B$40*(S27))</f>
        <v>0</v>
      </c>
      <c r="G17" s="37">
        <f>($B$47*U27)</f>
        <v>0</v>
      </c>
      <c r="H17" s="95"/>
      <c r="K17" s="144"/>
      <c r="L17" s="47" t="s">
        <v>19</v>
      </c>
      <c r="M17" s="48">
        <v>4.2499999999999998E-4</v>
      </c>
      <c r="N17" s="48">
        <v>4.26E-4</v>
      </c>
      <c r="O17" s="49">
        <f t="shared" si="2"/>
        <v>-2.3501762632197986E-3</v>
      </c>
      <c r="P17" s="144"/>
      <c r="Q17" s="47" t="s">
        <v>19</v>
      </c>
      <c r="R17" s="48">
        <v>8.6600000000000004E-5</v>
      </c>
      <c r="S17" s="48">
        <v>8.6700000000000007E-5</v>
      </c>
      <c r="T17" s="49">
        <f t="shared" si="3"/>
        <v>-1.1540680900173389E-3</v>
      </c>
    </row>
    <row r="18" spans="1:25" ht="15.75" thickBot="1" x14ac:dyDescent="0.3">
      <c r="A18" s="60" t="s">
        <v>46</v>
      </c>
      <c r="B18" s="22">
        <v>49</v>
      </c>
      <c r="D18" s="154"/>
      <c r="E18" s="91" t="e">
        <f>E16/E17</f>
        <v>#DIV/0!</v>
      </c>
      <c r="F18" s="91" t="e">
        <f>F16/F17</f>
        <v>#DIV/0!</v>
      </c>
      <c r="G18" s="92" t="e">
        <f>G16/G17</f>
        <v>#DIV/0!</v>
      </c>
      <c r="H18" s="95"/>
      <c r="K18" s="144"/>
      <c r="L18" s="47" t="s">
        <v>20</v>
      </c>
      <c r="M18" s="48">
        <v>3.8100000000000002E-2</v>
      </c>
      <c r="N18" s="48">
        <v>3.85E-2</v>
      </c>
      <c r="O18" s="49">
        <f t="shared" si="2"/>
        <v>-1.0443864229764949E-2</v>
      </c>
      <c r="P18" s="144"/>
      <c r="Q18" s="47" t="s">
        <v>20</v>
      </c>
      <c r="R18" s="48">
        <v>3.85E-2</v>
      </c>
      <c r="S18" s="48">
        <v>3.85E-2</v>
      </c>
      <c r="T18" s="49">
        <f t="shared" si="3"/>
        <v>0</v>
      </c>
    </row>
    <row r="19" spans="1:25" x14ac:dyDescent="0.25">
      <c r="A19" s="60" t="s">
        <v>47</v>
      </c>
      <c r="B19" s="22"/>
      <c r="D19" s="152" t="s">
        <v>8</v>
      </c>
      <c r="E19" s="9">
        <f>($B$37)*($B$35)*(P28)*(T28)</f>
        <v>0</v>
      </c>
      <c r="F19" s="9">
        <f>($B$37)*($B$35)*($B$23)*(T28)</f>
        <v>0</v>
      </c>
      <c r="G19" s="33">
        <f>($B$37)*($B$35)*($B$36)*($B$41)*(V28)</f>
        <v>0</v>
      </c>
      <c r="H19" s="95"/>
      <c r="K19" s="144"/>
      <c r="L19" s="47" t="s">
        <v>21</v>
      </c>
      <c r="M19" s="48">
        <v>0.13300000000000001</v>
      </c>
      <c r="N19" s="48">
        <v>0.13300000000000001</v>
      </c>
      <c r="O19" s="49">
        <f t="shared" si="2"/>
        <v>0</v>
      </c>
      <c r="P19" s="144"/>
      <c r="Q19" s="47" t="s">
        <v>21</v>
      </c>
      <c r="R19" s="48">
        <v>4.75E-4</v>
      </c>
      <c r="S19" s="48">
        <v>4.75E-4</v>
      </c>
      <c r="T19" s="49">
        <f t="shared" si="3"/>
        <v>0</v>
      </c>
    </row>
    <row r="20" spans="1:25" x14ac:dyDescent="0.25">
      <c r="A20" s="60" t="s">
        <v>48</v>
      </c>
      <c r="B20" s="22"/>
      <c r="D20" s="153"/>
      <c r="E20" s="14">
        <f>($B$40*S28)</f>
        <v>0</v>
      </c>
      <c r="F20" s="14">
        <f>($B$40*(S28))</f>
        <v>0</v>
      </c>
      <c r="G20" s="37">
        <f>($B$47*U28)</f>
        <v>0</v>
      </c>
      <c r="H20" s="95"/>
      <c r="K20" s="144"/>
      <c r="L20" s="47" t="s">
        <v>22</v>
      </c>
      <c r="M20" s="48">
        <v>8.09</v>
      </c>
      <c r="N20" s="48">
        <v>8.08</v>
      </c>
      <c r="O20" s="49">
        <f t="shared" si="2"/>
        <v>1.236858379715496E-3</v>
      </c>
      <c r="P20" s="144"/>
      <c r="Q20" s="47" t="s">
        <v>22</v>
      </c>
      <c r="R20" s="48">
        <v>25.8</v>
      </c>
      <c r="S20" s="48">
        <v>25.8</v>
      </c>
      <c r="T20" s="49">
        <f t="shared" si="3"/>
        <v>0</v>
      </c>
    </row>
    <row r="21" spans="1:25" ht="15.75" thickBot="1" x14ac:dyDescent="0.3">
      <c r="A21" s="60" t="s">
        <v>49</v>
      </c>
      <c r="B21" s="22"/>
      <c r="D21" s="154"/>
      <c r="E21" s="91" t="e">
        <f>E19/E20</f>
        <v>#DIV/0!</v>
      </c>
      <c r="F21" s="91" t="e">
        <f>F19/F20</f>
        <v>#DIV/0!</v>
      </c>
      <c r="G21" s="92" t="e">
        <f>G19/G20</f>
        <v>#DIV/0!</v>
      </c>
      <c r="H21" s="95"/>
      <c r="K21" s="144"/>
      <c r="L21" s="47" t="s">
        <v>23</v>
      </c>
      <c r="M21" s="48">
        <v>18.2</v>
      </c>
      <c r="N21" s="48">
        <v>18.100000000000001</v>
      </c>
      <c r="O21" s="49">
        <f t="shared" si="2"/>
        <v>5.50964187327812E-3</v>
      </c>
      <c r="P21" s="144"/>
      <c r="Q21" s="47" t="s">
        <v>23</v>
      </c>
      <c r="R21" s="48">
        <v>18.100000000000001</v>
      </c>
      <c r="S21" s="48">
        <v>18.100000000000001</v>
      </c>
      <c r="T21" s="49">
        <f t="shared" si="3"/>
        <v>0</v>
      </c>
    </row>
    <row r="22" spans="1:25" x14ac:dyDescent="0.25">
      <c r="A22" s="60" t="s">
        <v>50</v>
      </c>
      <c r="B22" s="22"/>
      <c r="D22" s="152" t="s">
        <v>9</v>
      </c>
      <c r="E22" s="9" t="e">
        <f>($B$37)*($B$35)*(#REF!)*(#REF!)</f>
        <v>#REF!</v>
      </c>
      <c r="F22" s="9" t="e">
        <f>($B$37)*($B$35)*($B$23)*(#REF!)</f>
        <v>#REF!</v>
      </c>
      <c r="G22" s="33">
        <f>($B$37)*($B$35)*($B$36)*($B$41)*(W30)</f>
        <v>0</v>
      </c>
      <c r="H22" s="95"/>
      <c r="K22" s="144"/>
      <c r="L22" s="47" t="s">
        <v>24</v>
      </c>
      <c r="M22" s="48">
        <v>2510</v>
      </c>
      <c r="N22" s="48">
        <v>2530</v>
      </c>
      <c r="O22" s="49">
        <f t="shared" si="2"/>
        <v>-7.9365079365079361E-3</v>
      </c>
      <c r="P22" s="144"/>
      <c r="Q22" s="47" t="s">
        <v>24</v>
      </c>
      <c r="R22" s="48">
        <v>200</v>
      </c>
      <c r="S22" s="48">
        <v>200</v>
      </c>
      <c r="T22" s="49">
        <f t="shared" si="3"/>
        <v>0</v>
      </c>
    </row>
    <row r="23" spans="1:25" ht="15.75" thickBot="1" x14ac:dyDescent="0.3">
      <c r="A23" s="60" t="s">
        <v>101</v>
      </c>
      <c r="B23" s="22">
        <v>0.45</v>
      </c>
      <c r="D23" s="153"/>
      <c r="E23" s="14" t="e">
        <f>($B$40*#REF!)</f>
        <v>#REF!</v>
      </c>
      <c r="F23" s="14" t="e">
        <f>($B$40*(#REF!))</f>
        <v>#REF!</v>
      </c>
      <c r="G23" s="37" t="e">
        <f>($B$47*#REF!)</f>
        <v>#REF!</v>
      </c>
      <c r="H23" s="95"/>
      <c r="K23" s="145"/>
      <c r="L23" s="18" t="s">
        <v>3</v>
      </c>
      <c r="M23" s="19">
        <v>1450</v>
      </c>
      <c r="N23" s="19">
        <v>1450</v>
      </c>
      <c r="O23" s="43">
        <f>(M23-N23)/((1/2)*(M23+N23))</f>
        <v>0</v>
      </c>
      <c r="P23" s="145"/>
      <c r="Q23" s="18" t="s">
        <v>3</v>
      </c>
      <c r="R23" s="19">
        <v>134</v>
      </c>
      <c r="S23" s="19">
        <v>134</v>
      </c>
      <c r="T23" s="43">
        <f>(R23-S23)/((1/2)*(R23+S23))</f>
        <v>0</v>
      </c>
    </row>
    <row r="24" spans="1:25" ht="15.75" thickBot="1" x14ac:dyDescent="0.3">
      <c r="A24" s="60" t="s">
        <v>52</v>
      </c>
      <c r="B24" s="22" t="s">
        <v>61</v>
      </c>
      <c r="D24" s="154"/>
      <c r="E24" s="91" t="e">
        <f>E22/E23</f>
        <v>#REF!</v>
      </c>
      <c r="F24" s="91" t="e">
        <f>F22/F23</f>
        <v>#REF!</v>
      </c>
      <c r="G24" s="92" t="e">
        <f>G22/G23</f>
        <v>#REF!</v>
      </c>
      <c r="H24" s="95"/>
      <c r="K24" s="28"/>
    </row>
    <row r="25" spans="1:25" x14ac:dyDescent="0.25">
      <c r="A25" s="60" t="s">
        <v>53</v>
      </c>
      <c r="B25" s="22" t="s">
        <v>101</v>
      </c>
      <c r="D25" s="152" t="s">
        <v>10</v>
      </c>
      <c r="E25" s="9" t="e">
        <f>($B$37)*($B$35)*(#REF!)*(#REF!)</f>
        <v>#REF!</v>
      </c>
      <c r="F25" s="9" t="e">
        <f>($B$37)*($B$35)*($B$23)*(#REF!)</f>
        <v>#REF!</v>
      </c>
      <c r="G25" s="33">
        <f>($B$37)*($B$35)*($B$36)*($B$41)*(W31)</f>
        <v>0</v>
      </c>
      <c r="H25" s="95"/>
      <c r="K25" s="28"/>
    </row>
    <row r="26" spans="1:25" x14ac:dyDescent="0.25">
      <c r="A26" s="61" t="s">
        <v>54</v>
      </c>
      <c r="B26" s="22">
        <f>((B5)*(B6)*(B29))+((B8)*(B9)*(B30))</f>
        <v>2122010</v>
      </c>
      <c r="D26" s="153"/>
      <c r="E26" s="14" t="e">
        <f>($B$40*#REF!)</f>
        <v>#REF!</v>
      </c>
      <c r="F26" s="14" t="e">
        <f>($B$40*(#REF!))</f>
        <v>#REF!</v>
      </c>
      <c r="G26" s="37" t="e">
        <f>($B$47*#REF!)</f>
        <v>#REF!</v>
      </c>
      <c r="H26" s="95"/>
      <c r="I26" s="122"/>
      <c r="J26" s="126"/>
      <c r="K26" s="130"/>
      <c r="L26" s="126"/>
      <c r="M26" s="126"/>
      <c r="N26" s="126"/>
      <c r="O26" s="126"/>
      <c r="P26" s="126"/>
      <c r="Q26" s="126"/>
      <c r="R26" s="130"/>
      <c r="S26" s="130"/>
      <c r="T26" s="126"/>
      <c r="U26" s="130"/>
      <c r="V26" s="126"/>
      <c r="W26" s="126"/>
    </row>
    <row r="27" spans="1:25" ht="15.75" thickBot="1" x14ac:dyDescent="0.3">
      <c r="A27" s="61" t="s">
        <v>55</v>
      </c>
      <c r="B27" s="22">
        <f>((B5)*(B6)*(B31))+((B8)*(B9)*(B32))</f>
        <v>1433800</v>
      </c>
      <c r="D27" s="154"/>
      <c r="E27" s="91" t="e">
        <f>E25/E26</f>
        <v>#REF!</v>
      </c>
      <c r="F27" s="91" t="e">
        <f>F25/F26</f>
        <v>#REF!</v>
      </c>
      <c r="G27" s="92" t="e">
        <f>G25/G26</f>
        <v>#REF!</v>
      </c>
      <c r="H27" s="95"/>
      <c r="I27" s="131"/>
      <c r="J27" s="131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5" x14ac:dyDescent="0.25">
      <c r="A28" s="60" t="s">
        <v>56</v>
      </c>
      <c r="B28" s="22">
        <v>0.38</v>
      </c>
      <c r="I28" s="131"/>
      <c r="J28" s="131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</row>
    <row r="29" spans="1:25" x14ac:dyDescent="0.25">
      <c r="A29" s="60" t="s">
        <v>57</v>
      </c>
      <c r="B29" s="22">
        <v>54</v>
      </c>
      <c r="D29" s="21"/>
      <c r="E29" s="22" t="s">
        <v>26</v>
      </c>
      <c r="L29" s="28"/>
      <c r="W29" s="95"/>
      <c r="X29" s="95"/>
    </row>
    <row r="30" spans="1:25" x14ac:dyDescent="0.25">
      <c r="A30" s="60" t="s">
        <v>58</v>
      </c>
      <c r="B30" s="22">
        <v>221</v>
      </c>
      <c r="D30" s="158" t="s">
        <v>7</v>
      </c>
      <c r="E30" s="14">
        <f>$B$2</f>
        <v>2E-3</v>
      </c>
      <c r="G30" s="86"/>
      <c r="H30" s="27"/>
      <c r="I30" s="27"/>
      <c r="J30" s="87"/>
      <c r="K30" s="27"/>
      <c r="L30" s="126"/>
      <c r="M30" s="126"/>
      <c r="N30" s="126"/>
      <c r="O30" s="126"/>
      <c r="P30" s="126"/>
      <c r="Q30" s="130"/>
      <c r="R30" s="130"/>
      <c r="S30" s="27"/>
      <c r="T30" s="130"/>
      <c r="U30" s="27"/>
      <c r="V30" s="126"/>
      <c r="W30" s="95"/>
      <c r="X30" s="95"/>
      <c r="Y30" s="59"/>
    </row>
    <row r="31" spans="1:25" x14ac:dyDescent="0.25">
      <c r="A31" s="60" t="s">
        <v>59</v>
      </c>
      <c r="B31" s="22">
        <v>45</v>
      </c>
      <c r="D31" s="159"/>
      <c r="E31" s="14">
        <f>(W27)*($B$17)*($B$18)*($B$48)*($B$49)</f>
        <v>0</v>
      </c>
      <c r="G31" s="88"/>
      <c r="H31" s="8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95"/>
      <c r="X31" s="95"/>
    </row>
    <row r="32" spans="1:25" x14ac:dyDescent="0.25">
      <c r="A32" s="60" t="s">
        <v>60</v>
      </c>
      <c r="B32" s="22">
        <v>148</v>
      </c>
      <c r="D32" s="160"/>
      <c r="E32" s="54" t="e">
        <f>E30/E31</f>
        <v>#DIV/0!</v>
      </c>
      <c r="G32" s="88"/>
      <c r="H32" s="8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x14ac:dyDescent="0.25">
      <c r="A33" s="60" t="s">
        <v>79</v>
      </c>
      <c r="B33" s="64">
        <v>3</v>
      </c>
      <c r="D33" s="158" t="s">
        <v>8</v>
      </c>
      <c r="E33" s="14">
        <f>$B$2</f>
        <v>2E-3</v>
      </c>
      <c r="G33" s="88"/>
      <c r="H33" s="8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x14ac:dyDescent="0.25">
      <c r="A34" s="60" t="s">
        <v>80</v>
      </c>
      <c r="B34" s="64">
        <v>2</v>
      </c>
      <c r="D34" s="159"/>
      <c r="E34" s="14">
        <f>(W28)*($B$17)*($B$18)*($B$48)*($B$49)</f>
        <v>0</v>
      </c>
      <c r="G34" s="88"/>
      <c r="H34" s="88"/>
      <c r="I34" s="28"/>
      <c r="J34" s="28"/>
      <c r="K34" s="28"/>
      <c r="L34" s="95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x14ac:dyDescent="0.25">
      <c r="A35" s="60" t="s">
        <v>81</v>
      </c>
      <c r="B35" s="22">
        <v>0.4</v>
      </c>
      <c r="D35" s="160"/>
      <c r="E35" s="54" t="e">
        <f>E33/E34</f>
        <v>#DIV/0!</v>
      </c>
      <c r="G35" s="88"/>
      <c r="H35" s="8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x14ac:dyDescent="0.25">
      <c r="A36" s="60" t="s">
        <v>82</v>
      </c>
      <c r="B36" s="22">
        <v>0.56000000000000005</v>
      </c>
      <c r="D36" s="158" t="s">
        <v>9</v>
      </c>
      <c r="E36" s="14">
        <f>$B$2</f>
        <v>2E-3</v>
      </c>
      <c r="G36" s="122"/>
      <c r="H36" s="122"/>
      <c r="I36" s="122"/>
      <c r="J36" s="122"/>
      <c r="K36" s="122"/>
    </row>
    <row r="37" spans="1:22" ht="15.75" thickBot="1" x14ac:dyDescent="0.3">
      <c r="A37" s="60" t="s">
        <v>83</v>
      </c>
      <c r="B37" s="64">
        <v>5.48</v>
      </c>
      <c r="D37" s="159"/>
      <c r="E37" s="14">
        <f>(X29)*($B$17)*($B$18)*($B$48)*($B$49)</f>
        <v>0</v>
      </c>
      <c r="G37" s="4"/>
      <c r="H37" s="4"/>
      <c r="I37" s="3" t="s">
        <v>4</v>
      </c>
      <c r="J37" s="3" t="s">
        <v>5</v>
      </c>
      <c r="K37" s="5" t="s">
        <v>6</v>
      </c>
    </row>
    <row r="38" spans="1:22" ht="15" customHeight="1" x14ac:dyDescent="0.25">
      <c r="A38" s="60" t="s">
        <v>84</v>
      </c>
      <c r="B38" s="64">
        <v>1.2</v>
      </c>
      <c r="D38" s="160"/>
      <c r="E38" s="54" t="e">
        <f>E36/E37</f>
        <v>#DIV/0!</v>
      </c>
      <c r="G38" s="56" t="s">
        <v>7</v>
      </c>
      <c r="H38" s="8" t="s">
        <v>26</v>
      </c>
      <c r="I38" s="9">
        <v>21.5</v>
      </c>
      <c r="J38" s="9">
        <v>21.5</v>
      </c>
      <c r="K38" s="34">
        <f t="shared" ref="K38:K41" si="4">(I38-J38)/((1/2)*(I38+J38))</f>
        <v>0</v>
      </c>
    </row>
    <row r="39" spans="1:22" x14ac:dyDescent="0.25">
      <c r="A39" s="60" t="s">
        <v>85</v>
      </c>
      <c r="B39" s="64">
        <v>6.4999999999999994E-5</v>
      </c>
      <c r="D39" s="158" t="s">
        <v>10</v>
      </c>
      <c r="E39" s="14">
        <f>$B$2</f>
        <v>2E-3</v>
      </c>
      <c r="G39" s="57" t="s">
        <v>8</v>
      </c>
      <c r="H39" s="13" t="s">
        <v>26</v>
      </c>
      <c r="I39" s="14">
        <v>129</v>
      </c>
      <c r="J39" s="14">
        <v>129</v>
      </c>
      <c r="K39" s="49">
        <f t="shared" si="4"/>
        <v>0</v>
      </c>
    </row>
    <row r="40" spans="1:22" x14ac:dyDescent="0.25">
      <c r="A40" s="60" t="s">
        <v>86</v>
      </c>
      <c r="B40" s="64">
        <v>285</v>
      </c>
      <c r="D40" s="159"/>
      <c r="E40" s="14">
        <f>(X31)*($B$17)*($B$18)*($B$48)*($B$49)</f>
        <v>0</v>
      </c>
      <c r="G40" s="57" t="s">
        <v>9</v>
      </c>
      <c r="H40" s="13" t="s">
        <v>26</v>
      </c>
      <c r="I40" s="14">
        <v>20000</v>
      </c>
      <c r="J40" s="14">
        <v>20000</v>
      </c>
      <c r="K40" s="49">
        <f t="shared" si="4"/>
        <v>0</v>
      </c>
    </row>
    <row r="41" spans="1:22" ht="15.75" thickBot="1" x14ac:dyDescent="0.3">
      <c r="A41" s="60" t="s">
        <v>87</v>
      </c>
      <c r="B41" s="64">
        <v>3</v>
      </c>
      <c r="D41" s="160"/>
      <c r="E41" s="54" t="e">
        <f>E39/E40</f>
        <v>#DIV/0!</v>
      </c>
      <c r="G41" s="58" t="s">
        <v>10</v>
      </c>
      <c r="H41" s="18" t="s">
        <v>26</v>
      </c>
      <c r="I41" s="19">
        <v>17</v>
      </c>
      <c r="J41" s="19">
        <v>17</v>
      </c>
      <c r="K41" s="55">
        <f t="shared" si="4"/>
        <v>0</v>
      </c>
    </row>
    <row r="42" spans="1:22" x14ac:dyDescent="0.25">
      <c r="A42" s="60" t="s">
        <v>88</v>
      </c>
      <c r="B42" s="64">
        <v>2.5</v>
      </c>
    </row>
    <row r="43" spans="1:22" x14ac:dyDescent="0.25">
      <c r="A43" s="60" t="s">
        <v>89</v>
      </c>
      <c r="B43" s="64">
        <v>12000</v>
      </c>
      <c r="O43" s="122"/>
      <c r="P43" s="122"/>
      <c r="Q43" s="126"/>
      <c r="R43" s="126"/>
      <c r="S43" s="127"/>
      <c r="T43" s="122"/>
    </row>
    <row r="44" spans="1:22" x14ac:dyDescent="0.25">
      <c r="A44" s="60" t="s">
        <v>90</v>
      </c>
      <c r="B44" s="64">
        <v>1.2</v>
      </c>
      <c r="D44" s="21"/>
      <c r="E44" s="13" t="s">
        <v>120</v>
      </c>
      <c r="F44" s="13" t="s">
        <v>11</v>
      </c>
      <c r="G44" s="79" t="s">
        <v>95</v>
      </c>
      <c r="H44" s="13" t="s">
        <v>100</v>
      </c>
      <c r="I44" s="60" t="s">
        <v>108</v>
      </c>
      <c r="J44" s="60" t="s">
        <v>97</v>
      </c>
      <c r="K44" s="60" t="s">
        <v>109</v>
      </c>
      <c r="L44" s="60" t="s">
        <v>61</v>
      </c>
      <c r="M44" s="60" t="s">
        <v>111</v>
      </c>
      <c r="N44" s="90" t="s">
        <v>112</v>
      </c>
      <c r="O44" s="90" t="s">
        <v>113</v>
      </c>
      <c r="P44" s="13" t="s">
        <v>115</v>
      </c>
      <c r="Q44" s="90" t="s">
        <v>114</v>
      </c>
      <c r="R44" s="13" t="s">
        <v>116</v>
      </c>
      <c r="S44" s="60" t="s">
        <v>99</v>
      </c>
      <c r="T44" s="122"/>
    </row>
    <row r="45" spans="1:22" x14ac:dyDescent="0.25">
      <c r="A45" s="60" t="s">
        <v>91</v>
      </c>
      <c r="B45" s="64">
        <v>75</v>
      </c>
      <c r="D45" s="22" t="s">
        <v>7</v>
      </c>
      <c r="E45" s="22" t="s">
        <v>126</v>
      </c>
      <c r="F45" s="14">
        <v>432</v>
      </c>
      <c r="G45" s="14">
        <f>0.693/F45</f>
        <v>1.6041666666666665E-3</v>
      </c>
      <c r="H45" s="14">
        <f>(1-EXP(-(G45)*$B$3))</f>
        <v>7.5594237350785853E-2</v>
      </c>
      <c r="I45" s="14" t="e">
        <f>'Isotope Specific Factors'!#REF!</f>
        <v>#REF!</v>
      </c>
      <c r="J45" s="14" t="e">
        <f>'Isotope Specific Factors'!#REF!</f>
        <v>#REF!</v>
      </c>
      <c r="K45" s="14">
        <f>'Isotope Specific Factors'!C24</f>
        <v>1.01E-10</v>
      </c>
      <c r="L45" s="14">
        <v>1.91E-5</v>
      </c>
      <c r="M45" s="14">
        <f>(F45)*(365)</f>
        <v>157680</v>
      </c>
      <c r="N45" s="14">
        <f>0.693/(($B$2)-(M45))</f>
        <v>-4.394977224695297E-6</v>
      </c>
      <c r="O45" s="14">
        <f>$B$39-(N45)</f>
        <v>6.9394977224695296E-5</v>
      </c>
      <c r="P45" s="14">
        <f>(1-EXP(-(O45)*$B$43))</f>
        <v>0.56514373452734201</v>
      </c>
      <c r="Q45" s="14">
        <f>(N45)+(0.693/$B$46)</f>
        <v>3.8495605022775305E-2</v>
      </c>
      <c r="R45" s="14">
        <f>(1-EXP(-(Q45)*$B$45))</f>
        <v>0.94426630493991337</v>
      </c>
      <c r="S45" s="14" t="e">
        <f>'Isotope Specific Factors'!#REF!</f>
        <v>#REF!</v>
      </c>
      <c r="T45" s="122"/>
    </row>
    <row r="46" spans="1:22" x14ac:dyDescent="0.25">
      <c r="A46" s="60" t="s">
        <v>92</v>
      </c>
      <c r="B46" s="64">
        <v>18</v>
      </c>
      <c r="D46" s="22" t="s">
        <v>8</v>
      </c>
      <c r="E46" s="22" t="s">
        <v>126</v>
      </c>
      <c r="F46" s="14">
        <v>5.27</v>
      </c>
      <c r="G46" s="14">
        <f t="shared" ref="G46:G49" si="5">0.693/F46</f>
        <v>0.13149905123339659</v>
      </c>
      <c r="H46" s="14">
        <f t="shared" ref="H46:H49" si="6">(1-EXP(-(G46)*$B$3))</f>
        <v>0.99840909701751046</v>
      </c>
      <c r="I46" s="14" t="e">
        <f>'Isotope Specific Factors'!#REF!</f>
        <v>#REF!</v>
      </c>
      <c r="J46" s="14" t="e">
        <f>'Isotope Specific Factors'!#REF!</f>
        <v>#REF!</v>
      </c>
      <c r="K46" s="14">
        <f>'Isotope Specific Factors'!C25</f>
        <v>1.9499999999999999E-14</v>
      </c>
      <c r="L46" s="14">
        <v>7.4000000000000003E-3</v>
      </c>
      <c r="M46" s="14">
        <f t="shared" ref="M46:M49" si="7">(F46)*(365)</f>
        <v>1923.55</v>
      </c>
      <c r="N46" s="14">
        <f t="shared" ref="N46:N49" si="8">0.693/(($B$2)-(M46))</f>
        <v>-3.602717478326509E-4</v>
      </c>
      <c r="O46" s="14">
        <f t="shared" ref="O46:O49" si="9">$B$39-(N46)</f>
        <v>4.2527174783265091E-4</v>
      </c>
      <c r="P46" s="14">
        <f t="shared" ref="P46:P49" si="10">(1-EXP(-(O46)*$B$43))</f>
        <v>0.99392310238542336</v>
      </c>
      <c r="Q46" s="14">
        <f t="shared" ref="Q46:Q49" si="11">(N46)+(0.693/$B$46)</f>
        <v>3.8139728252167347E-2</v>
      </c>
      <c r="R46" s="14">
        <f t="shared" ref="R46:R49" si="12">(1-EXP(-(Q46)*$B$45))</f>
        <v>0.9427587003292176</v>
      </c>
      <c r="S46" s="14" t="e">
        <f>'Isotope Specific Factors'!#REF!</f>
        <v>#REF!</v>
      </c>
      <c r="T46" s="122"/>
    </row>
    <row r="47" spans="1:22" x14ac:dyDescent="0.25">
      <c r="A47" s="60" t="s">
        <v>93</v>
      </c>
      <c r="B47" s="64">
        <v>5</v>
      </c>
      <c r="D47" s="22" t="s">
        <v>9</v>
      </c>
      <c r="E47" s="22" t="s">
        <v>126</v>
      </c>
      <c r="F47" s="14">
        <v>12.3</v>
      </c>
      <c r="G47" s="14">
        <f t="shared" si="5"/>
        <v>5.6341463414634141E-2</v>
      </c>
      <c r="H47" s="14">
        <f t="shared" si="6"/>
        <v>0.93675452575144313</v>
      </c>
      <c r="I47" s="14" t="e">
        <f>'Isotope Specific Factors'!#REF!</f>
        <v>#REF!</v>
      </c>
      <c r="J47" s="14" t="e">
        <f>'Isotope Specific Factors'!#REF!</f>
        <v>#REF!</v>
      </c>
      <c r="K47" s="14">
        <f>'Isotope Specific Factors'!C27</f>
        <v>8.4700000000000003E-13</v>
      </c>
      <c r="L47" s="14">
        <v>4.8</v>
      </c>
      <c r="M47" s="14">
        <f t="shared" si="7"/>
        <v>4489.5</v>
      </c>
      <c r="N47" s="14">
        <f t="shared" si="8"/>
        <v>-1.5436024250372758E-4</v>
      </c>
      <c r="O47" s="14">
        <f t="shared" si="9"/>
        <v>2.1936024250372759E-4</v>
      </c>
      <c r="P47" s="14">
        <f t="shared" si="10"/>
        <v>0.92808877523117783</v>
      </c>
      <c r="Q47" s="14">
        <f t="shared" si="11"/>
        <v>3.8345639757496275E-2</v>
      </c>
      <c r="R47" s="14">
        <f t="shared" si="12"/>
        <v>0.9436359075439662</v>
      </c>
      <c r="S47" s="14" t="e">
        <f>'Isotope Specific Factors'!#REF!</f>
        <v>#REF!</v>
      </c>
      <c r="T47" s="122"/>
    </row>
    <row r="48" spans="1:22" x14ac:dyDescent="0.25">
      <c r="A48" s="60" t="s">
        <v>94</v>
      </c>
      <c r="B48" s="64">
        <v>65</v>
      </c>
      <c r="D48" s="22" t="s">
        <v>9</v>
      </c>
      <c r="E48" s="22" t="s">
        <v>65</v>
      </c>
      <c r="F48" s="14">
        <v>12.3</v>
      </c>
      <c r="G48" s="14">
        <f t="shared" si="5"/>
        <v>5.6341463414634141E-2</v>
      </c>
      <c r="H48" s="14">
        <f t="shared" si="6"/>
        <v>0.93675452575144313</v>
      </c>
      <c r="I48" s="89" t="e">
        <f>'Isotope Specific Factors'!#REF!</f>
        <v>#REF!</v>
      </c>
      <c r="J48" s="14" t="e">
        <f>'Isotope Specific Factors'!#REF!</f>
        <v>#REF!</v>
      </c>
      <c r="K48" s="14">
        <f>'Isotope Specific Factors'!C26</f>
        <v>1.9900000000000001E-13</v>
      </c>
      <c r="L48" s="14">
        <v>4.8</v>
      </c>
      <c r="M48" s="14">
        <f t="shared" si="7"/>
        <v>4489.5</v>
      </c>
      <c r="N48" s="14">
        <f t="shared" si="8"/>
        <v>-1.5436024250372758E-4</v>
      </c>
      <c r="O48" s="14">
        <f t="shared" si="9"/>
        <v>2.1936024250372759E-4</v>
      </c>
      <c r="P48" s="14">
        <f t="shared" si="10"/>
        <v>0.92808877523117783</v>
      </c>
      <c r="Q48" s="14">
        <f t="shared" si="11"/>
        <v>3.8345639757496275E-2</v>
      </c>
      <c r="R48" s="14">
        <f t="shared" si="12"/>
        <v>0.9436359075439662</v>
      </c>
      <c r="S48" s="14" t="e">
        <f>'Isotope Specific Factors'!#REF!</f>
        <v>#REF!</v>
      </c>
      <c r="T48" s="122"/>
    </row>
    <row r="49" spans="1:20" x14ac:dyDescent="0.25">
      <c r="A49" s="60" t="s">
        <v>117</v>
      </c>
      <c r="B49" s="64">
        <v>1</v>
      </c>
      <c r="D49" s="22" t="s">
        <v>10</v>
      </c>
      <c r="E49" s="22" t="s">
        <v>126</v>
      </c>
      <c r="F49" s="14">
        <v>87.7</v>
      </c>
      <c r="G49" s="14">
        <f t="shared" si="5"/>
        <v>7.9019384264538192E-3</v>
      </c>
      <c r="H49" s="14">
        <f t="shared" si="6"/>
        <v>0.32104130331374525</v>
      </c>
      <c r="I49" s="14" t="e">
        <f>'Isotope Specific Factors'!#REF!</f>
        <v>#REF!</v>
      </c>
      <c r="J49" s="14" t="e">
        <f>'Isotope Specific Factors'!#REF!</f>
        <v>#REF!</v>
      </c>
      <c r="K49" s="14">
        <f>'Isotope Specific Factors'!C28</f>
        <v>5.6200000000000003E-14</v>
      </c>
      <c r="L49" s="14">
        <v>8.2700000000000004E-6</v>
      </c>
      <c r="M49" s="14">
        <f t="shared" si="7"/>
        <v>32010.5</v>
      </c>
      <c r="N49" s="14">
        <f t="shared" si="8"/>
        <v>-2.1649147726473983E-5</v>
      </c>
      <c r="O49" s="14">
        <f t="shared" si="9"/>
        <v>8.6649147726473974E-5</v>
      </c>
      <c r="P49" s="14">
        <f t="shared" si="10"/>
        <v>0.64647100441290872</v>
      </c>
      <c r="Q49" s="14">
        <f t="shared" si="11"/>
        <v>3.8478350852273524E-2</v>
      </c>
      <c r="R49" s="14">
        <f t="shared" si="12"/>
        <v>0.94419413535320174</v>
      </c>
      <c r="S49" s="14" t="e">
        <f>'Isotope Specific Factors'!#REF!</f>
        <v>#REF!</v>
      </c>
      <c r="T49" s="122"/>
    </row>
  </sheetData>
  <mergeCells count="16">
    <mergeCell ref="D2:D4"/>
    <mergeCell ref="K2:K12"/>
    <mergeCell ref="P2:P12"/>
    <mergeCell ref="D5:D7"/>
    <mergeCell ref="D8:D10"/>
    <mergeCell ref="D11:D13"/>
    <mergeCell ref="K13:K23"/>
    <mergeCell ref="P13:P23"/>
    <mergeCell ref="D16:D18"/>
    <mergeCell ref="D19:D21"/>
    <mergeCell ref="D39:D41"/>
    <mergeCell ref="D22:D24"/>
    <mergeCell ref="D25:D27"/>
    <mergeCell ref="D30:D32"/>
    <mergeCell ref="D33:D35"/>
    <mergeCell ref="D36:D38"/>
  </mergeCells>
  <conditionalFormatting sqref="O2:O23 T2:T23 K38:K41">
    <cfRule type="cellIs" dxfId="1" priority="8" operator="notEqual">
      <formula>0</formula>
    </cfRule>
  </conditionalFormatting>
  <conditionalFormatting sqref="O2:O23 T2:T23 K38:K41">
    <cfRule type="cellIs" dxfId="0" priority="7" operator="lessThan">
      <formula>-0.01</formula>
    </cfRule>
  </conditionalFormatting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zoomScaleNormal="100" workbookViewId="0">
      <selection activeCell="W27" sqref="W27"/>
    </sheetView>
  </sheetViews>
  <sheetFormatPr defaultRowHeight="15" x14ac:dyDescent="0.25"/>
  <cols>
    <col min="2" max="2" width="12.85546875" bestFit="1" customWidth="1"/>
    <col min="3" max="3" width="11.7109375" bestFit="1" customWidth="1"/>
    <col min="4" max="4" width="10.28515625" bestFit="1" customWidth="1"/>
    <col min="6" max="6" width="10.28515625" bestFit="1" customWidth="1"/>
    <col min="15" max="15" width="12.7109375" bestFit="1" customWidth="1"/>
    <col min="16" max="16" width="8.28515625" bestFit="1" customWidth="1"/>
    <col min="17" max="17" width="12.42578125" bestFit="1" customWidth="1"/>
    <col min="18" max="18" width="11.7109375" bestFit="1" customWidth="1"/>
  </cols>
  <sheetData>
    <row r="1" spans="1:29" x14ac:dyDescent="0.25">
      <c r="A1" s="167" t="s">
        <v>119</v>
      </c>
      <c r="B1" s="168"/>
      <c r="C1" s="168"/>
      <c r="D1" s="168"/>
      <c r="E1" s="168"/>
      <c r="F1" s="168"/>
      <c r="G1" s="168"/>
      <c r="H1" s="168"/>
      <c r="I1" s="169"/>
    </row>
    <row r="2" spans="1:29" x14ac:dyDescent="0.25">
      <c r="A2" s="97"/>
      <c r="B2" s="98" t="s">
        <v>120</v>
      </c>
      <c r="C2" s="98" t="s">
        <v>121</v>
      </c>
      <c r="D2" s="98" t="s">
        <v>122</v>
      </c>
      <c r="E2" s="98" t="s">
        <v>123</v>
      </c>
      <c r="F2" s="98" t="s">
        <v>124</v>
      </c>
      <c r="G2" s="98" t="s">
        <v>125</v>
      </c>
      <c r="H2" s="98" t="s">
        <v>109</v>
      </c>
      <c r="I2" s="99" t="s">
        <v>103</v>
      </c>
    </row>
    <row r="3" spans="1:29" x14ac:dyDescent="0.25">
      <c r="A3" s="100" t="s">
        <v>7</v>
      </c>
      <c r="B3" s="88" t="s">
        <v>126</v>
      </c>
      <c r="C3" s="28">
        <v>1.8699999999999999E-8</v>
      </c>
      <c r="D3" s="28">
        <v>2.77E-8</v>
      </c>
      <c r="E3" s="28">
        <v>1.3799999999999999E-8</v>
      </c>
      <c r="F3" s="28">
        <v>2.5799999999999999E-8</v>
      </c>
      <c r="G3" s="28">
        <v>2.77E-8</v>
      </c>
      <c r="H3" s="28">
        <v>1.3199999999999999E-13</v>
      </c>
      <c r="I3" s="101">
        <f>0.0000581/(10^6)</f>
        <v>5.8100000000000005E-11</v>
      </c>
    </row>
    <row r="4" spans="1:29" x14ac:dyDescent="0.25">
      <c r="A4" s="100" t="s">
        <v>8</v>
      </c>
      <c r="B4" s="88" t="s">
        <v>126</v>
      </c>
      <c r="C4" s="28">
        <v>2.1900000000000002E-6</v>
      </c>
      <c r="D4" s="28">
        <v>1.24E-5</v>
      </c>
      <c r="E4" s="28">
        <v>2.26E-6</v>
      </c>
      <c r="F4" s="28">
        <v>6.4899999999999997E-6</v>
      </c>
      <c r="G4" s="28">
        <v>1.04E-5</v>
      </c>
      <c r="H4" s="28">
        <v>2.4400000000000001E-11</v>
      </c>
      <c r="I4" s="101">
        <f>0.0113/(10^6)</f>
        <v>1.1299999999999999E-8</v>
      </c>
    </row>
    <row r="5" spans="1:29" x14ac:dyDescent="0.25">
      <c r="A5" s="100" t="s">
        <v>9</v>
      </c>
      <c r="B5" s="88" t="s">
        <v>65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101">
        <v>0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</row>
    <row r="6" spans="1:29" x14ac:dyDescent="0.25">
      <c r="A6" s="100" t="s">
        <v>9</v>
      </c>
      <c r="B6" s="88" t="s">
        <v>126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101">
        <v>0</v>
      </c>
      <c r="L6" s="141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</row>
    <row r="7" spans="1:29" ht="15.75" thickBot="1" x14ac:dyDescent="0.3">
      <c r="A7" s="105" t="s">
        <v>10</v>
      </c>
      <c r="B7" s="106" t="s">
        <v>126</v>
      </c>
      <c r="C7" s="107">
        <v>3.6800000000000002E-10</v>
      </c>
      <c r="D7" s="107">
        <v>6.9200000000000004E-11</v>
      </c>
      <c r="E7" s="107">
        <v>4.8100000000000001E-11</v>
      </c>
      <c r="F7" s="107">
        <v>6.3000000000000002E-11</v>
      </c>
      <c r="G7" s="107">
        <v>6.8700000000000006E-11</v>
      </c>
      <c r="H7" s="107">
        <v>5.9600000000000002E-16</v>
      </c>
      <c r="I7" s="108">
        <f>0.000000256/(10^6)</f>
        <v>2.5600000000000002E-13</v>
      </c>
      <c r="L7" s="141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</row>
    <row r="8" spans="1:29" ht="15.75" thickBot="1" x14ac:dyDescent="0.3">
      <c r="L8" s="141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</row>
    <row r="9" spans="1:29" x14ac:dyDescent="0.25">
      <c r="A9" s="170" t="s">
        <v>0</v>
      </c>
      <c r="B9" s="171"/>
      <c r="C9" s="171"/>
      <c r="D9" s="171"/>
      <c r="E9" s="171"/>
      <c r="F9" s="172"/>
      <c r="L9" s="141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</row>
    <row r="10" spans="1:29" x14ac:dyDescent="0.25">
      <c r="A10" s="109"/>
      <c r="B10" s="110" t="s">
        <v>120</v>
      </c>
      <c r="C10" s="110" t="s">
        <v>108</v>
      </c>
      <c r="D10" s="110" t="s">
        <v>99</v>
      </c>
      <c r="E10" s="110" t="s">
        <v>96</v>
      </c>
      <c r="F10" s="111" t="s">
        <v>145</v>
      </c>
      <c r="L10" s="141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</row>
    <row r="11" spans="1:29" x14ac:dyDescent="0.25">
      <c r="A11" s="100" t="s">
        <v>7</v>
      </c>
      <c r="B11" s="88" t="s">
        <v>126</v>
      </c>
      <c r="C11" s="28">
        <v>1.04E-10</v>
      </c>
      <c r="D11" s="28">
        <v>1.34E-10</v>
      </c>
      <c r="E11" s="28">
        <v>1.8400000000000001E-10</v>
      </c>
      <c r="F11" s="101">
        <v>9.0999999999999996E-11</v>
      </c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</row>
    <row r="12" spans="1:29" x14ac:dyDescent="0.25">
      <c r="A12" s="100" t="s">
        <v>8</v>
      </c>
      <c r="B12" s="88" t="s">
        <v>126</v>
      </c>
      <c r="C12" s="28">
        <v>1.58E-11</v>
      </c>
      <c r="D12" s="28">
        <v>2.23E-11</v>
      </c>
      <c r="E12" s="28">
        <v>3.8100000000000003E-11</v>
      </c>
      <c r="F12" s="101">
        <v>7.3300000000000005E-12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</row>
    <row r="13" spans="1:29" x14ac:dyDescent="0.25">
      <c r="A13" s="100" t="s">
        <v>9</v>
      </c>
      <c r="B13" s="88" t="s">
        <v>65</v>
      </c>
      <c r="C13" s="28">
        <v>5.0700000000000001E-14</v>
      </c>
      <c r="D13" s="28">
        <v>6.5099999999999995E-14</v>
      </c>
      <c r="E13" s="28">
        <v>8.9900000000000001E-14</v>
      </c>
      <c r="F13" s="101">
        <v>4.5099999999999998E-14</v>
      </c>
      <c r="L13" s="141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</row>
    <row r="14" spans="1:29" x14ac:dyDescent="0.25">
      <c r="A14" s="100" t="s">
        <v>9</v>
      </c>
      <c r="B14" s="88" t="s">
        <v>126</v>
      </c>
      <c r="C14" s="28">
        <v>1.12E-13</v>
      </c>
      <c r="D14" s="28">
        <v>1.4399999999999999E-13</v>
      </c>
      <c r="E14" s="28">
        <v>0</v>
      </c>
      <c r="F14" s="101">
        <v>0</v>
      </c>
      <c r="L14" s="14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</row>
    <row r="15" spans="1:29" ht="15.75" thickBot="1" x14ac:dyDescent="0.3">
      <c r="A15" s="105" t="s">
        <v>10</v>
      </c>
      <c r="B15" s="106" t="s">
        <v>126</v>
      </c>
      <c r="C15" s="107">
        <v>1.3100000000000001E-10</v>
      </c>
      <c r="D15" s="107">
        <v>1.6900000000000001E-10</v>
      </c>
      <c r="E15" s="107">
        <v>2.25E-10</v>
      </c>
      <c r="F15" s="108">
        <v>1.1700000000000001E-10</v>
      </c>
      <c r="L15" s="141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</row>
    <row r="16" spans="1:29" ht="15.75" thickBot="1" x14ac:dyDescent="0.3">
      <c r="L16" s="141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</row>
    <row r="17" spans="1:29" x14ac:dyDescent="0.25">
      <c r="A17" s="173" t="s">
        <v>1</v>
      </c>
      <c r="B17" s="174"/>
      <c r="C17" s="175"/>
      <c r="L17" s="141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</row>
    <row r="18" spans="1:29" x14ac:dyDescent="0.25">
      <c r="A18" s="115"/>
      <c r="B18" s="116" t="s">
        <v>146</v>
      </c>
      <c r="C18" s="117" t="s">
        <v>97</v>
      </c>
    </row>
    <row r="19" spans="1:29" x14ac:dyDescent="0.25">
      <c r="A19" s="100" t="s">
        <v>7</v>
      </c>
      <c r="B19" s="88" t="s">
        <v>81</v>
      </c>
      <c r="C19" s="118">
        <v>3.77E-8</v>
      </c>
    </row>
    <row r="20" spans="1:29" x14ac:dyDescent="0.25">
      <c r="A20" s="100" t="s">
        <v>7</v>
      </c>
      <c r="B20" s="88" t="s">
        <v>126</v>
      </c>
      <c r="C20" s="118">
        <v>2.81E-8</v>
      </c>
    </row>
    <row r="21" spans="1:29" x14ac:dyDescent="0.25">
      <c r="A21" s="100" t="s">
        <v>7</v>
      </c>
      <c r="B21" s="88" t="s">
        <v>147</v>
      </c>
      <c r="C21" s="119">
        <v>3.5399999999999999E-8</v>
      </c>
    </row>
    <row r="22" spans="1:29" x14ac:dyDescent="0.25">
      <c r="A22" s="100" t="s">
        <v>8</v>
      </c>
      <c r="B22" s="88" t="s">
        <v>81</v>
      </c>
      <c r="C22" s="119">
        <v>1.7100000000000001E-11</v>
      </c>
    </row>
    <row r="23" spans="1:29" x14ac:dyDescent="0.25">
      <c r="A23" s="100" t="s">
        <v>8</v>
      </c>
      <c r="B23" s="88" t="s">
        <v>126</v>
      </c>
      <c r="C23" s="101">
        <v>3.59E-11</v>
      </c>
    </row>
    <row r="24" spans="1:29" x14ac:dyDescent="0.25">
      <c r="A24" s="100" t="s">
        <v>8</v>
      </c>
      <c r="B24" s="88" t="s">
        <v>147</v>
      </c>
      <c r="C24" s="101">
        <v>1.01E-10</v>
      </c>
    </row>
    <row r="25" spans="1:29" x14ac:dyDescent="0.25">
      <c r="A25" s="120" t="s">
        <v>9</v>
      </c>
      <c r="B25" s="88" t="s">
        <v>81</v>
      </c>
      <c r="C25" s="101">
        <v>1.9499999999999999E-14</v>
      </c>
    </row>
    <row r="26" spans="1:29" x14ac:dyDescent="0.25">
      <c r="A26" s="120" t="s">
        <v>9</v>
      </c>
      <c r="B26" s="88" t="s">
        <v>126</v>
      </c>
      <c r="C26" s="101">
        <v>1.9900000000000001E-13</v>
      </c>
    </row>
    <row r="27" spans="1:29" x14ac:dyDescent="0.25">
      <c r="A27" s="120" t="s">
        <v>9</v>
      </c>
      <c r="B27" s="88" t="s">
        <v>147</v>
      </c>
      <c r="C27" s="101">
        <v>8.4700000000000003E-13</v>
      </c>
    </row>
    <row r="28" spans="1:29" x14ac:dyDescent="0.25">
      <c r="A28" s="120" t="s">
        <v>9</v>
      </c>
      <c r="B28" s="88" t="s">
        <v>65</v>
      </c>
      <c r="C28" s="101">
        <v>5.6200000000000003E-14</v>
      </c>
    </row>
    <row r="29" spans="1:29" x14ac:dyDescent="0.25">
      <c r="A29" s="120" t="s">
        <v>9</v>
      </c>
      <c r="B29" s="88" t="s">
        <v>148</v>
      </c>
      <c r="C29" s="101">
        <v>5.6200000000000001E-18</v>
      </c>
    </row>
    <row r="30" spans="1:29" x14ac:dyDescent="0.25">
      <c r="A30" s="120" t="s">
        <v>9</v>
      </c>
      <c r="B30" s="88" t="s">
        <v>149</v>
      </c>
      <c r="C30" s="101">
        <v>1.2800000000000001E-13</v>
      </c>
    </row>
    <row r="31" spans="1:29" x14ac:dyDescent="0.25">
      <c r="A31" s="120" t="s">
        <v>10</v>
      </c>
      <c r="B31" s="88" t="s">
        <v>81</v>
      </c>
      <c r="C31" s="101">
        <v>5.2199999999999998E-8</v>
      </c>
    </row>
    <row r="32" spans="1:29" x14ac:dyDescent="0.25">
      <c r="A32" s="120" t="s">
        <v>10</v>
      </c>
      <c r="B32" s="88" t="s">
        <v>126</v>
      </c>
      <c r="C32" s="101">
        <v>3.3600000000000003E-8</v>
      </c>
    </row>
    <row r="33" spans="1:18" ht="15.75" thickBot="1" x14ac:dyDescent="0.3">
      <c r="A33" s="121" t="s">
        <v>10</v>
      </c>
      <c r="B33" s="106" t="s">
        <v>147</v>
      </c>
      <c r="C33" s="108">
        <v>3.55E-8</v>
      </c>
    </row>
    <row r="34" spans="1:18" ht="15.75" thickBot="1" x14ac:dyDescent="0.3"/>
    <row r="35" spans="1:18" x14ac:dyDescent="0.25">
      <c r="A35" s="161" t="s">
        <v>127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3"/>
    </row>
    <row r="36" spans="1:18" x14ac:dyDescent="0.25">
      <c r="A36" s="102"/>
      <c r="B36" s="103" t="s">
        <v>128</v>
      </c>
      <c r="C36" s="103" t="s">
        <v>129</v>
      </c>
      <c r="D36" s="103" t="s">
        <v>130</v>
      </c>
      <c r="E36" s="103" t="s">
        <v>131</v>
      </c>
      <c r="F36" s="103" t="s">
        <v>132</v>
      </c>
      <c r="G36" s="103" t="s">
        <v>133</v>
      </c>
      <c r="H36" s="103" t="s">
        <v>134</v>
      </c>
      <c r="I36" s="103" t="s">
        <v>135</v>
      </c>
      <c r="J36" s="103" t="s">
        <v>136</v>
      </c>
      <c r="K36" s="103" t="s">
        <v>137</v>
      </c>
      <c r="L36" s="103" t="s">
        <v>138</v>
      </c>
      <c r="M36" s="103" t="s">
        <v>139</v>
      </c>
      <c r="N36" s="103" t="s">
        <v>140</v>
      </c>
      <c r="O36" s="103" t="s">
        <v>141</v>
      </c>
      <c r="P36" s="103" t="s">
        <v>142</v>
      </c>
      <c r="Q36" s="103" t="s">
        <v>143</v>
      </c>
      <c r="R36" s="104" t="s">
        <v>144</v>
      </c>
    </row>
    <row r="37" spans="1:18" x14ac:dyDescent="0.25">
      <c r="A37" s="100" t="s">
        <v>7</v>
      </c>
      <c r="B37" s="28">
        <v>8.4000000000000005E-2</v>
      </c>
      <c r="C37" s="28">
        <v>0.15</v>
      </c>
      <c r="D37" s="28">
        <v>0.27</v>
      </c>
      <c r="E37" s="28">
        <v>0.39</v>
      </c>
      <c r="F37" s="28">
        <v>0.51</v>
      </c>
      <c r="G37" s="28">
        <v>0.65</v>
      </c>
      <c r="H37" s="28">
        <v>0.74</v>
      </c>
      <c r="I37" s="28">
        <v>0.81</v>
      </c>
      <c r="J37" s="28">
        <v>0.87</v>
      </c>
      <c r="K37" s="28">
        <v>0.91</v>
      </c>
      <c r="L37" s="28">
        <v>0.93</v>
      </c>
      <c r="M37" s="28">
        <v>0.95</v>
      </c>
      <c r="N37" s="28">
        <v>0.98</v>
      </c>
      <c r="O37" s="28">
        <v>0.99</v>
      </c>
      <c r="P37" s="28">
        <v>0.99</v>
      </c>
      <c r="Q37" s="28">
        <v>1</v>
      </c>
      <c r="R37" s="101">
        <v>1</v>
      </c>
    </row>
    <row r="38" spans="1:18" x14ac:dyDescent="0.25">
      <c r="A38" s="100" t="s">
        <v>8</v>
      </c>
      <c r="B38" s="28">
        <v>2.8000000000000001E-2</v>
      </c>
      <c r="C38" s="28">
        <v>5.1999999999999998E-2</v>
      </c>
      <c r="D38" s="28">
        <v>9.8000000000000004E-2</v>
      </c>
      <c r="E38" s="28">
        <v>0.15</v>
      </c>
      <c r="F38" s="28">
        <v>0.21</v>
      </c>
      <c r="G38" s="28">
        <v>0.28999999999999998</v>
      </c>
      <c r="H38" s="28">
        <v>0.37</v>
      </c>
      <c r="I38" s="28">
        <v>0.44</v>
      </c>
      <c r="J38" s="28">
        <v>0.54</v>
      </c>
      <c r="K38" s="28">
        <v>0.59</v>
      </c>
      <c r="L38" s="28">
        <v>0.66</v>
      </c>
      <c r="M38" s="28">
        <v>0.74</v>
      </c>
      <c r="N38" s="28">
        <v>0.81</v>
      </c>
      <c r="O38" s="28">
        <v>0.87</v>
      </c>
      <c r="P38" s="28">
        <v>0.91</v>
      </c>
      <c r="Q38" s="28">
        <v>0.97</v>
      </c>
      <c r="R38" s="101">
        <v>1</v>
      </c>
    </row>
    <row r="39" spans="1:18" x14ac:dyDescent="0.25">
      <c r="A39" s="100" t="s">
        <v>9</v>
      </c>
      <c r="B39" s="28">
        <v>1</v>
      </c>
      <c r="C39" s="28">
        <v>1</v>
      </c>
      <c r="D39" s="28">
        <v>1</v>
      </c>
      <c r="E39" s="28">
        <v>1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  <c r="M39" s="28">
        <v>1</v>
      </c>
      <c r="N39" s="28">
        <v>1</v>
      </c>
      <c r="O39" s="28">
        <v>1</v>
      </c>
      <c r="P39" s="28">
        <v>1</v>
      </c>
      <c r="Q39" s="28">
        <v>1</v>
      </c>
      <c r="R39" s="101">
        <v>1</v>
      </c>
    </row>
    <row r="40" spans="1:18" ht="15.75" thickBot="1" x14ac:dyDescent="0.3">
      <c r="A40" s="105" t="s">
        <v>10</v>
      </c>
      <c r="B40" s="107">
        <v>0.1</v>
      </c>
      <c r="C40" s="107">
        <v>0.18</v>
      </c>
      <c r="D40" s="107">
        <v>0.33</v>
      </c>
      <c r="E40" s="107">
        <v>0.47</v>
      </c>
      <c r="F40" s="107">
        <v>0.61</v>
      </c>
      <c r="G40" s="107">
        <v>0.78</v>
      </c>
      <c r="H40" s="107">
        <v>0.87</v>
      </c>
      <c r="I40" s="107">
        <v>0.94</v>
      </c>
      <c r="J40" s="107">
        <v>0.99</v>
      </c>
      <c r="K40" s="107">
        <v>1</v>
      </c>
      <c r="L40" s="107">
        <v>1</v>
      </c>
      <c r="M40" s="107">
        <v>1</v>
      </c>
      <c r="N40" s="107">
        <v>1</v>
      </c>
      <c r="O40" s="107">
        <v>1</v>
      </c>
      <c r="P40" s="107">
        <v>1</v>
      </c>
      <c r="Q40" s="107">
        <v>1</v>
      </c>
      <c r="R40" s="108">
        <v>1</v>
      </c>
    </row>
    <row r="41" spans="1:18" ht="15.75" thickBot="1" x14ac:dyDescent="0.3"/>
    <row r="42" spans="1:18" x14ac:dyDescent="0.25">
      <c r="A42" s="164" t="s">
        <v>122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</row>
    <row r="43" spans="1:18" x14ac:dyDescent="0.25">
      <c r="A43" s="112"/>
      <c r="B43" s="113" t="s">
        <v>128</v>
      </c>
      <c r="C43" s="113" t="s">
        <v>129</v>
      </c>
      <c r="D43" s="113" t="s">
        <v>130</v>
      </c>
      <c r="E43" s="113" t="s">
        <v>131</v>
      </c>
      <c r="F43" s="113" t="s">
        <v>132</v>
      </c>
      <c r="G43" s="113" t="s">
        <v>133</v>
      </c>
      <c r="H43" s="113" t="s">
        <v>134</v>
      </c>
      <c r="I43" s="113" t="s">
        <v>135</v>
      </c>
      <c r="J43" s="113" t="s">
        <v>136</v>
      </c>
      <c r="K43" s="113" t="s">
        <v>137</v>
      </c>
      <c r="L43" s="113" t="s">
        <v>138</v>
      </c>
      <c r="M43" s="113" t="s">
        <v>139</v>
      </c>
      <c r="N43" s="113" t="s">
        <v>140</v>
      </c>
      <c r="O43" s="113" t="s">
        <v>141</v>
      </c>
      <c r="P43" s="113" t="s">
        <v>142</v>
      </c>
      <c r="Q43" s="113" t="s">
        <v>143</v>
      </c>
      <c r="R43" s="114" t="s">
        <v>144</v>
      </c>
    </row>
    <row r="44" spans="1:18" x14ac:dyDescent="0.25">
      <c r="A44" s="100" t="s">
        <v>7</v>
      </c>
      <c r="B44" s="28">
        <v>0.1</v>
      </c>
      <c r="C44" s="28">
        <v>0.19</v>
      </c>
      <c r="D44" s="28">
        <v>0.32</v>
      </c>
      <c r="E44" s="28">
        <v>0.48</v>
      </c>
      <c r="F44" s="28">
        <v>0.55000000000000004</v>
      </c>
      <c r="G44" s="28">
        <v>0.66</v>
      </c>
      <c r="H44" s="28">
        <v>0.69</v>
      </c>
      <c r="I44" s="28">
        <v>0.75</v>
      </c>
      <c r="J44" s="28">
        <v>0.74</v>
      </c>
      <c r="K44" s="28">
        <v>0.82</v>
      </c>
      <c r="L44" s="28">
        <v>0.87</v>
      </c>
      <c r="M44" s="28">
        <v>0.91</v>
      </c>
      <c r="N44" s="28">
        <v>1.1000000000000001</v>
      </c>
      <c r="O44" s="28">
        <v>0.95</v>
      </c>
      <c r="P44" s="28">
        <v>0.99</v>
      </c>
      <c r="Q44" s="28">
        <v>1</v>
      </c>
      <c r="R44" s="101">
        <v>1</v>
      </c>
    </row>
    <row r="45" spans="1:18" x14ac:dyDescent="0.25">
      <c r="A45" s="100" t="s">
        <v>8</v>
      </c>
      <c r="B45" s="28">
        <v>9.8000000000000004E-2</v>
      </c>
      <c r="C45" s="28">
        <v>0.18</v>
      </c>
      <c r="D45" s="28">
        <v>0.33</v>
      </c>
      <c r="E45" s="28">
        <v>0.49</v>
      </c>
      <c r="F45" s="28">
        <v>0.59</v>
      </c>
      <c r="G45" s="28">
        <v>0.7</v>
      </c>
      <c r="H45" s="28">
        <v>0.74</v>
      </c>
      <c r="I45" s="28">
        <v>0.76</v>
      </c>
      <c r="J45" s="28">
        <v>0.71</v>
      </c>
      <c r="K45" s="28">
        <v>0.93</v>
      </c>
      <c r="L45" s="28">
        <v>0.85</v>
      </c>
      <c r="M45" s="28">
        <v>0.88</v>
      </c>
      <c r="N45" s="28">
        <v>0.92</v>
      </c>
      <c r="O45" s="28">
        <v>0.94</v>
      </c>
      <c r="P45" s="28">
        <v>1</v>
      </c>
      <c r="Q45" s="28">
        <v>0.95</v>
      </c>
      <c r="R45" s="101">
        <v>1</v>
      </c>
    </row>
    <row r="46" spans="1:18" x14ac:dyDescent="0.25">
      <c r="A46" s="100" t="s">
        <v>9</v>
      </c>
      <c r="B46" s="28">
        <v>1</v>
      </c>
      <c r="C46" s="28">
        <v>1</v>
      </c>
      <c r="D46" s="28">
        <v>1</v>
      </c>
      <c r="E46" s="28">
        <v>1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>
        <v>1</v>
      </c>
      <c r="O46" s="28">
        <v>1</v>
      </c>
      <c r="P46" s="28">
        <v>1</v>
      </c>
      <c r="Q46" s="28">
        <v>1</v>
      </c>
      <c r="R46" s="101">
        <v>1</v>
      </c>
    </row>
    <row r="47" spans="1:18" ht="15.75" thickBot="1" x14ac:dyDescent="0.3">
      <c r="A47" s="105" t="s">
        <v>10</v>
      </c>
      <c r="B47" s="107">
        <v>0.18</v>
      </c>
      <c r="C47" s="107">
        <v>0.28000000000000003</v>
      </c>
      <c r="D47" s="107">
        <v>0.59</v>
      </c>
      <c r="E47" s="107">
        <v>0.82</v>
      </c>
      <c r="F47" s="107">
        <v>0.86</v>
      </c>
      <c r="G47" s="107">
        <v>0.98</v>
      </c>
      <c r="H47" s="107">
        <v>1</v>
      </c>
      <c r="I47" s="107">
        <v>0.94</v>
      </c>
      <c r="J47" s="107">
        <v>0.97</v>
      </c>
      <c r="K47" s="107">
        <v>1</v>
      </c>
      <c r="L47" s="107">
        <v>1</v>
      </c>
      <c r="M47" s="107">
        <v>1</v>
      </c>
      <c r="N47" s="107">
        <v>1.1000000000000001</v>
      </c>
      <c r="O47" s="107">
        <v>1.1000000000000001</v>
      </c>
      <c r="P47" s="107">
        <v>0.99</v>
      </c>
      <c r="Q47" s="107">
        <v>1</v>
      </c>
      <c r="R47" s="108">
        <v>1</v>
      </c>
    </row>
  </sheetData>
  <mergeCells count="5">
    <mergeCell ref="A35:R35"/>
    <mergeCell ref="A42:R42"/>
    <mergeCell ref="A1:I1"/>
    <mergeCell ref="A9:F9"/>
    <mergeCell ref="A17:C17"/>
  </mergeCells>
  <pageMargins left="0.7" right="0.7" top="0.75" bottom="0.75" header="0.3" footer="0.3"/>
  <pageSetup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Soil</vt:lpstr>
      <vt:lpstr>Air</vt:lpstr>
      <vt:lpstr>Tapwater&amp;Fish</vt:lpstr>
      <vt:lpstr>Soil (Manual)</vt:lpstr>
      <vt:lpstr>Air (Manual)</vt:lpstr>
      <vt:lpstr>Tapwater&amp;Fish (Manual)</vt:lpstr>
      <vt:lpstr>Isotope Specific Factors</vt:lpstr>
    </vt:vector>
  </TitlesOfParts>
  <Company>SRS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Stagich, Brooke</dc:creator>
  <cp:lastModifiedBy>Manning, Karessa L.</cp:lastModifiedBy>
  <cp:lastPrinted>2015-10-05T20:27:33Z</cp:lastPrinted>
  <dcterms:created xsi:type="dcterms:W3CDTF">2015-07-21T20:03:38Z</dcterms:created>
  <dcterms:modified xsi:type="dcterms:W3CDTF">2015-10-12T15:06:15Z</dcterms:modified>
</cp:coreProperties>
</file>